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F468"/>
  <sheetViews>
    <sheetView workbookViewId="0">
      <selection activeCell="A1" sqref="A1"/>
    </sheetView>
  </sheetViews>
  <sheetFormatPr baseColWidth="8" defaultRowHeight="15"/>
  <sheetData>
    <row r="1">
      <c r="A1" t="inlineStr">
        <is>
          <t>Keep in Collection?</t>
        </is>
      </c>
      <c r="B1" t="inlineStr">
        <is>
          <t>Collection Code</t>
        </is>
      </c>
      <c r="C1" t="inlineStr">
        <is>
          <t>Location Code</t>
        </is>
      </c>
      <c r="D1" t="inlineStr">
        <is>
          <t>Display Call Number</t>
        </is>
      </c>
      <c r="E1" t="inlineStr">
        <is>
          <t>Display Call Number Normalized</t>
        </is>
      </c>
      <c r="F1" t="inlineStr">
        <is>
          <t>Title</t>
        </is>
      </c>
      <c r="G1" t="inlineStr">
        <is>
          <t>Enumeration</t>
        </is>
      </c>
      <c r="H1" t="inlineStr">
        <is>
          <t>Possible Multi-Volume Set</t>
        </is>
      </c>
      <c r="I1" t="inlineStr">
        <is>
          <t>Copy Number</t>
        </is>
      </c>
      <c r="J1" t="inlineStr">
        <is>
          <t>Possible Duplicate</t>
        </is>
      </c>
      <c r="K1" t="inlineStr">
        <is>
          <t>Multi-Edition Title</t>
        </is>
      </c>
      <c r="L1" t="inlineStr">
        <is>
          <t>Number of Related Ebooks</t>
        </is>
      </c>
      <c r="M1" t="inlineStr">
        <is>
          <t>Author</t>
        </is>
      </c>
      <c r="N1" t="inlineStr">
        <is>
          <t>Publisher</t>
        </is>
      </c>
      <c r="O1" t="inlineStr">
        <is>
          <t>Publication Year</t>
        </is>
      </c>
      <c r="P1" t="inlineStr">
        <is>
          <t>Edition</t>
        </is>
      </c>
      <c r="Q1" t="inlineStr">
        <is>
          <t>Primary Language</t>
        </is>
      </c>
      <c r="R1" t="inlineStr">
        <is>
          <t>Place of Publication</t>
        </is>
      </c>
      <c r="S1" t="inlineStr">
        <is>
          <t>Series</t>
        </is>
      </c>
      <c r="T1" t="inlineStr">
        <is>
          <t>LC Subclass</t>
        </is>
      </c>
      <c r="U1" t="inlineStr">
        <is>
          <t>Recorded Uses - Item</t>
        </is>
      </c>
      <c r="V1" t="inlineStr">
        <is>
          <t>Recorded Uses - Title</t>
        </is>
      </c>
      <c r="W1" t="inlineStr">
        <is>
          <t>Last Charge Date - Item</t>
        </is>
      </c>
      <c r="X1" t="inlineStr">
        <is>
          <t>Last Charge Date - Title</t>
        </is>
      </c>
      <c r="Y1" t="inlineStr">
        <is>
          <t>Last Add Date - Item</t>
        </is>
      </c>
      <c r="Z1" t="inlineStr">
        <is>
          <t>Last Add Date - Title</t>
        </is>
      </c>
      <c r="AA1" t="inlineStr">
        <is>
          <t>Global Holdings - Same Edition</t>
        </is>
      </c>
      <c r="AB1" t="inlineStr">
        <is>
          <t>US Holdings - Same Edition</t>
        </is>
      </c>
      <c r="AC1" t="inlineStr">
        <is>
          <t>US Holdings</t>
        </is>
      </c>
      <c r="AD1" t="inlineStr">
        <is>
          <t>Nebraska Holdings - Same Edition</t>
        </is>
      </c>
      <c r="AE1" t="inlineStr">
        <is>
          <t>Nebraska Holdings</t>
        </is>
      </c>
      <c r="AF1" t="inlineStr">
        <is>
          <t>All Comparator Library Holdings - Same Edition</t>
        </is>
      </c>
      <c r="AG1" t="inlineStr">
        <is>
          <t>All Comparator Library Holdings</t>
        </is>
      </c>
      <c r="AH1" t="inlineStr">
        <is>
          <t>Affinity Libraries - Same Edition</t>
        </is>
      </c>
      <c r="AI1" t="inlineStr">
        <is>
          <t>Affinity Libraries - Any Edition</t>
        </is>
      </c>
      <c r="AJ1" t="inlineStr">
        <is>
          <t>Big East - Same Edition</t>
        </is>
      </c>
      <c r="AK1" t="inlineStr">
        <is>
          <t>Big East - Any Edition</t>
        </is>
      </c>
      <c r="AL1" t="inlineStr">
        <is>
          <t>AJCU - Same Edition</t>
        </is>
      </c>
      <c r="AM1" t="inlineStr">
        <is>
          <t>AJCU - Any Edition</t>
        </is>
      </c>
      <c r="AN1" t="inlineStr">
        <is>
          <t>Nebraska Colleges &amp; Universities - Same Edition</t>
        </is>
      </c>
      <c r="AO1" t="inlineStr">
        <is>
          <t>Nebraska Colleges &amp; Universities - Any Edition</t>
        </is>
      </c>
      <c r="AP1" t="inlineStr">
        <is>
          <t>MALLCO - Same Edition</t>
        </is>
      </c>
      <c r="AQ1" t="inlineStr">
        <is>
          <t>MALLCO - Any Edition</t>
        </is>
      </c>
      <c r="AR1" t="inlineStr">
        <is>
          <t>HathiTrust Public Domain</t>
        </is>
      </c>
      <c r="AS1" t="inlineStr">
        <is>
          <t>HathiTrust In Copyright</t>
        </is>
      </c>
      <c r="AT1" t="inlineStr">
        <is>
          <t>HathiTrust URL</t>
        </is>
      </c>
      <c r="AU1" t="inlineStr">
        <is>
          <t>OPAC URL</t>
        </is>
      </c>
      <c r="AV1" t="inlineStr">
        <is>
          <t>WorldCat URL</t>
        </is>
      </c>
      <c r="AW1" t="inlineStr">
        <is>
          <t>OCLC Work ID</t>
        </is>
      </c>
      <c r="AX1" t="inlineStr">
        <is>
          <t>WorldCat OCLC Number</t>
        </is>
      </c>
      <c r="AY1" t="inlineStr">
        <is>
          <t>Bib Record Number</t>
        </is>
      </c>
      <c r="AZ1" t="inlineStr">
        <is>
          <t>Bib Control Number</t>
        </is>
      </c>
      <c r="BA1" t="inlineStr">
        <is>
          <t>Item Control Number</t>
        </is>
      </c>
      <c r="BB1" t="inlineStr">
        <is>
          <t>Item Type Code</t>
        </is>
      </c>
      <c r="BC1" t="inlineStr">
        <is>
          <t>Item Status Code</t>
        </is>
      </c>
      <c r="BD1" t="inlineStr">
        <is>
          <t>ISBN</t>
        </is>
      </c>
      <c r="BE1" t="inlineStr">
        <is>
          <t>Barcode</t>
        </is>
      </c>
      <c r="BF1" t="inlineStr">
        <is>
          <t>SCS Item ID</t>
        </is>
      </c>
    </row>
    <row r="2">
      <c r="B2" t="inlineStr">
        <is>
          <t>CURAL</t>
        </is>
      </c>
      <c r="C2" t="inlineStr">
        <is>
          <t>SHELVES</t>
        </is>
      </c>
      <c r="D2" t="inlineStr">
        <is>
          <t>K1 .C3</t>
        </is>
      </c>
      <c r="E2" t="inlineStr">
        <is>
          <t>0                      K  0001000C  3</t>
        </is>
      </c>
      <c r="F2" t="inlineStr">
        <is>
          <t>Legal philosophy from Plato to Hegel / by Huntington Cairns.</t>
        </is>
      </c>
      <c r="H2" t="inlineStr">
        <is>
          <t>No</t>
        </is>
      </c>
      <c r="I2" t="inlineStr">
        <is>
          <t>1</t>
        </is>
      </c>
      <c r="J2" t="inlineStr">
        <is>
          <t>No</t>
        </is>
      </c>
      <c r="K2" t="inlineStr">
        <is>
          <t>No</t>
        </is>
      </c>
      <c r="L2" t="inlineStr">
        <is>
          <t>0</t>
        </is>
      </c>
      <c r="M2" t="inlineStr">
        <is>
          <t>Cairns, Huntington, 1904-1985.</t>
        </is>
      </c>
      <c r="N2" t="inlineStr">
        <is>
          <t>Baltimore, Johns Hopkins Press [1949]</t>
        </is>
      </c>
      <c r="O2" t="inlineStr">
        <is>
          <t>1949</t>
        </is>
      </c>
      <c r="Q2" t="inlineStr">
        <is>
          <t>eng</t>
        </is>
      </c>
      <c r="R2" t="inlineStr">
        <is>
          <t xml:space="preserve">xx </t>
        </is>
      </c>
      <c r="T2" t="inlineStr">
        <is>
          <t xml:space="preserve">K  </t>
        </is>
      </c>
      <c r="U2" t="n">
        <v>5</v>
      </c>
      <c r="V2" t="n">
        <v>5</v>
      </c>
      <c r="W2" t="inlineStr">
        <is>
          <t>1999-04-08</t>
        </is>
      </c>
      <c r="X2" t="inlineStr">
        <is>
          <t>1999-04-08</t>
        </is>
      </c>
      <c r="Y2" t="inlineStr">
        <is>
          <t>1992-06-12</t>
        </is>
      </c>
      <c r="Z2" t="inlineStr">
        <is>
          <t>1992-06-12</t>
        </is>
      </c>
      <c r="AA2" t="n">
        <v>877</v>
      </c>
      <c r="AB2" t="n">
        <v>750</v>
      </c>
      <c r="AC2" t="n">
        <v>965</v>
      </c>
      <c r="AD2" t="n">
        <v>5</v>
      </c>
      <c r="AE2" t="n">
        <v>8</v>
      </c>
      <c r="AF2" t="n">
        <v>51</v>
      </c>
      <c r="AG2" t="n">
        <v>61</v>
      </c>
      <c r="AH2" t="n">
        <v>11</v>
      </c>
      <c r="AI2" t="n">
        <v>13</v>
      </c>
      <c r="AJ2" t="n">
        <v>8</v>
      </c>
      <c r="AK2" t="n">
        <v>9</v>
      </c>
      <c r="AL2" t="n">
        <v>21</v>
      </c>
      <c r="AM2" t="n">
        <v>22</v>
      </c>
      <c r="AN2" t="n">
        <v>4</v>
      </c>
      <c r="AO2" t="n">
        <v>7</v>
      </c>
      <c r="AP2" t="n">
        <v>17</v>
      </c>
      <c r="AQ2" t="n">
        <v>21</v>
      </c>
      <c r="AR2" t="inlineStr">
        <is>
          <t>No</t>
        </is>
      </c>
      <c r="AS2" t="inlineStr">
        <is>
          <t>Yes</t>
        </is>
      </c>
      <c r="AT2">
        <f>HYPERLINK("http://catalog.hathitrust.org/Record/001278328","HathiTrust Record")</f>
        <v/>
      </c>
      <c r="AU2">
        <f>HYPERLINK("https://creighton-primo.hosted.exlibrisgroup.com/primo-explore/search?tab=default_tab&amp;search_scope=EVERYTHING&amp;vid=01CRU&amp;lang=en_US&amp;offset=0&amp;query=any,contains,991004229159702656","Catalog Record")</f>
        <v/>
      </c>
      <c r="AV2">
        <f>HYPERLINK("http://www.worldcat.org/oclc/497360","WorldCat Record")</f>
        <v/>
      </c>
      <c r="AW2" t="inlineStr">
        <is>
          <t>112821699:eng</t>
        </is>
      </c>
      <c r="AX2" t="inlineStr">
        <is>
          <t>497360</t>
        </is>
      </c>
      <c r="AY2" t="inlineStr">
        <is>
          <t>991004229159702656</t>
        </is>
      </c>
      <c r="AZ2" t="inlineStr">
        <is>
          <t>991004229159702656</t>
        </is>
      </c>
      <c r="BA2" t="inlineStr">
        <is>
          <t>2261146480002656</t>
        </is>
      </c>
      <c r="BB2" t="inlineStr">
        <is>
          <t>BOOK</t>
        </is>
      </c>
      <c r="BE2" t="inlineStr">
        <is>
          <t>32285001174571</t>
        </is>
      </c>
      <c r="BF2" t="inlineStr">
        <is>
          <t>893429809</t>
        </is>
      </c>
    </row>
    <row r="3">
      <c r="B3" t="inlineStr">
        <is>
          <t>CURAL</t>
        </is>
      </c>
      <c r="C3" t="inlineStr">
        <is>
          <t>SHELVES</t>
        </is>
      </c>
      <c r="D3" t="inlineStr">
        <is>
          <t>K1420.5 .P6</t>
        </is>
      </c>
      <c r="E3" t="inlineStr">
        <is>
          <t>0                      K  1420500P  6</t>
        </is>
      </c>
      <c r="F3" t="inlineStr">
        <is>
          <t>Copyright : intellectual property in the information age / Edward W. Ploman and L. Clark Hamilton.</t>
        </is>
      </c>
      <c r="H3" t="inlineStr">
        <is>
          <t>No</t>
        </is>
      </c>
      <c r="I3" t="inlineStr">
        <is>
          <t>1</t>
        </is>
      </c>
      <c r="J3" t="inlineStr">
        <is>
          <t>No</t>
        </is>
      </c>
      <c r="K3" t="inlineStr">
        <is>
          <t>No</t>
        </is>
      </c>
      <c r="L3" t="inlineStr">
        <is>
          <t>0</t>
        </is>
      </c>
      <c r="M3" t="inlineStr">
        <is>
          <t>Ploman, Edward W., 1926-</t>
        </is>
      </c>
      <c r="N3" t="inlineStr">
        <is>
          <t>London ; Boston : Routledge &amp; Kegan Paul, 1980.</t>
        </is>
      </c>
      <c r="O3" t="inlineStr">
        <is>
          <t>1980</t>
        </is>
      </c>
      <c r="Q3" t="inlineStr">
        <is>
          <t>eng</t>
        </is>
      </c>
      <c r="R3" t="inlineStr">
        <is>
          <t>enk</t>
        </is>
      </c>
      <c r="T3" t="inlineStr">
        <is>
          <t xml:space="preserve">K  </t>
        </is>
      </c>
      <c r="U3" t="n">
        <v>6</v>
      </c>
      <c r="V3" t="n">
        <v>6</v>
      </c>
      <c r="W3" t="inlineStr">
        <is>
          <t>2004-12-11</t>
        </is>
      </c>
      <c r="X3" t="inlineStr">
        <is>
          <t>2004-12-11</t>
        </is>
      </c>
      <c r="Y3" t="inlineStr">
        <is>
          <t>1992-06-11</t>
        </is>
      </c>
      <c r="Z3" t="inlineStr">
        <is>
          <t>1992-06-11</t>
        </is>
      </c>
      <c r="AA3" t="n">
        <v>421</v>
      </c>
      <c r="AB3" t="n">
        <v>262</v>
      </c>
      <c r="AC3" t="n">
        <v>265</v>
      </c>
      <c r="AD3" t="n">
        <v>1</v>
      </c>
      <c r="AE3" t="n">
        <v>1</v>
      </c>
      <c r="AF3" t="n">
        <v>18</v>
      </c>
      <c r="AG3" t="n">
        <v>18</v>
      </c>
      <c r="AH3" t="n">
        <v>1</v>
      </c>
      <c r="AI3" t="n">
        <v>1</v>
      </c>
      <c r="AJ3" t="n">
        <v>1</v>
      </c>
      <c r="AK3" t="n">
        <v>1</v>
      </c>
      <c r="AL3" t="n">
        <v>4</v>
      </c>
      <c r="AM3" t="n">
        <v>4</v>
      </c>
      <c r="AN3" t="n">
        <v>0</v>
      </c>
      <c r="AO3" t="n">
        <v>0</v>
      </c>
      <c r="AP3" t="n">
        <v>13</v>
      </c>
      <c r="AQ3" t="n">
        <v>13</v>
      </c>
      <c r="AR3" t="inlineStr">
        <is>
          <t>No</t>
        </is>
      </c>
      <c r="AS3" t="inlineStr">
        <is>
          <t>Yes</t>
        </is>
      </c>
      <c r="AT3">
        <f>HYPERLINK("http://catalog.hathitrust.org/Record/000745457","HathiTrust Record")</f>
        <v/>
      </c>
      <c r="AU3">
        <f>HYPERLINK("https://creighton-primo.hosted.exlibrisgroup.com/primo-explore/search?tab=default_tab&amp;search_scope=EVERYTHING&amp;vid=01CRU&amp;lang=en_US&amp;offset=0&amp;query=any,contains,991005065709702656","Catalog Record")</f>
        <v/>
      </c>
      <c r="AV3">
        <f>HYPERLINK("http://www.worldcat.org/oclc/6953622","WorldCat Record")</f>
        <v/>
      </c>
      <c r="AW3" t="inlineStr">
        <is>
          <t>889388595:eng</t>
        </is>
      </c>
      <c r="AX3" t="inlineStr">
        <is>
          <t>6953622</t>
        </is>
      </c>
      <c r="AY3" t="inlineStr">
        <is>
          <t>991005065709702656</t>
        </is>
      </c>
      <c r="AZ3" t="inlineStr">
        <is>
          <t>991005065709702656</t>
        </is>
      </c>
      <c r="BA3" t="inlineStr">
        <is>
          <t>2258025140002656</t>
        </is>
      </c>
      <c r="BB3" t="inlineStr">
        <is>
          <t>BOOK</t>
        </is>
      </c>
      <c r="BD3" t="inlineStr">
        <is>
          <t>9780710005397</t>
        </is>
      </c>
      <c r="BE3" t="inlineStr">
        <is>
          <t>32285001171106</t>
        </is>
      </c>
      <c r="BF3" t="inlineStr">
        <is>
          <t>893513971</t>
        </is>
      </c>
    </row>
    <row r="4">
      <c r="B4" t="inlineStr">
        <is>
          <t>CURAL</t>
        </is>
      </c>
      <c r="C4" t="inlineStr">
        <is>
          <t>SHELVES</t>
        </is>
      </c>
      <c r="D4" t="inlineStr">
        <is>
          <t>K150 .W37 1985</t>
        </is>
      </c>
      <c r="E4" t="inlineStr">
        <is>
          <t>0                      K  0150000W  37          1985</t>
        </is>
      </c>
      <c r="F4" t="inlineStr">
        <is>
          <t>The evolution of law / Alan Watson.</t>
        </is>
      </c>
      <c r="H4" t="inlineStr">
        <is>
          <t>No</t>
        </is>
      </c>
      <c r="I4" t="inlineStr">
        <is>
          <t>1</t>
        </is>
      </c>
      <c r="J4" t="inlineStr">
        <is>
          <t>No</t>
        </is>
      </c>
      <c r="K4" t="inlineStr">
        <is>
          <t>No</t>
        </is>
      </c>
      <c r="L4" t="inlineStr">
        <is>
          <t>0</t>
        </is>
      </c>
      <c r="M4" t="inlineStr">
        <is>
          <t>Watson, Alan, 1933-2018.</t>
        </is>
      </c>
      <c r="N4" t="inlineStr">
        <is>
          <t>Baltimore : Johns Hopkins University Press, 1985.</t>
        </is>
      </c>
      <c r="O4" t="inlineStr">
        <is>
          <t>1985</t>
        </is>
      </c>
      <c r="Q4" t="inlineStr">
        <is>
          <t>eng</t>
        </is>
      </c>
      <c r="R4" t="inlineStr">
        <is>
          <t>mdu</t>
        </is>
      </c>
      <c r="T4" t="inlineStr">
        <is>
          <t xml:space="preserve">K  </t>
        </is>
      </c>
      <c r="U4" t="n">
        <v>3</v>
      </c>
      <c r="V4" t="n">
        <v>3</v>
      </c>
      <c r="W4" t="inlineStr">
        <is>
          <t>2002-10-22</t>
        </is>
      </c>
      <c r="X4" t="inlineStr">
        <is>
          <t>2002-10-22</t>
        </is>
      </c>
      <c r="Y4" t="inlineStr">
        <is>
          <t>1990-03-05</t>
        </is>
      </c>
      <c r="Z4" t="inlineStr">
        <is>
          <t>1990-03-05</t>
        </is>
      </c>
      <c r="AA4" t="n">
        <v>607</v>
      </c>
      <c r="AB4" t="n">
        <v>528</v>
      </c>
      <c r="AC4" t="n">
        <v>577</v>
      </c>
      <c r="AD4" t="n">
        <v>3</v>
      </c>
      <c r="AE4" t="n">
        <v>3</v>
      </c>
      <c r="AF4" t="n">
        <v>43</v>
      </c>
      <c r="AG4" t="n">
        <v>44</v>
      </c>
      <c r="AH4" t="n">
        <v>9</v>
      </c>
      <c r="AI4" t="n">
        <v>9</v>
      </c>
      <c r="AJ4" t="n">
        <v>6</v>
      </c>
      <c r="AK4" t="n">
        <v>7</v>
      </c>
      <c r="AL4" t="n">
        <v>13</v>
      </c>
      <c r="AM4" t="n">
        <v>13</v>
      </c>
      <c r="AN4" t="n">
        <v>1</v>
      </c>
      <c r="AO4" t="n">
        <v>1</v>
      </c>
      <c r="AP4" t="n">
        <v>20</v>
      </c>
      <c r="AQ4" t="n">
        <v>20</v>
      </c>
      <c r="AR4" t="inlineStr">
        <is>
          <t>No</t>
        </is>
      </c>
      <c r="AS4" t="inlineStr">
        <is>
          <t>Yes</t>
        </is>
      </c>
      <c r="AT4">
        <f>HYPERLINK("http://catalog.hathitrust.org/Record/000340823","HathiTrust Record")</f>
        <v/>
      </c>
      <c r="AU4">
        <f>HYPERLINK("https://creighton-primo.hosted.exlibrisgroup.com/primo-explore/search?tab=default_tab&amp;search_scope=EVERYTHING&amp;vid=01CRU&amp;lang=en_US&amp;offset=0&amp;query=any,contains,991000510749702656","Catalog Record")</f>
        <v/>
      </c>
      <c r="AV4">
        <f>HYPERLINK("http://www.worldcat.org/oclc/11235823","WorldCat Record")</f>
        <v/>
      </c>
      <c r="AW4" t="inlineStr">
        <is>
          <t>903663:eng</t>
        </is>
      </c>
      <c r="AX4" t="inlineStr">
        <is>
          <t>11235823</t>
        </is>
      </c>
      <c r="AY4" t="inlineStr">
        <is>
          <t>991000510749702656</t>
        </is>
      </c>
      <c r="AZ4" t="inlineStr">
        <is>
          <t>991000510749702656</t>
        </is>
      </c>
      <c r="BA4" t="inlineStr">
        <is>
          <t>2257139060002656</t>
        </is>
      </c>
      <c r="BB4" t="inlineStr">
        <is>
          <t>BOOK</t>
        </is>
      </c>
      <c r="BD4" t="inlineStr">
        <is>
          <t>9780801825040</t>
        </is>
      </c>
      <c r="BE4" t="inlineStr">
        <is>
          <t>32285000077536</t>
        </is>
      </c>
      <c r="BF4" t="inlineStr">
        <is>
          <t>893871733</t>
        </is>
      </c>
    </row>
    <row r="5">
      <c r="B5" t="inlineStr">
        <is>
          <t>CURAL</t>
        </is>
      </c>
      <c r="C5" t="inlineStr">
        <is>
          <t>SHELVES</t>
        </is>
      </c>
      <c r="D5" t="inlineStr">
        <is>
          <t>K150 .Z35</t>
        </is>
      </c>
      <c r="E5" t="inlineStr">
        <is>
          <t>0                      K  0150000Z  35</t>
        </is>
      </c>
      <c r="F5" t="inlineStr">
        <is>
          <t>The story of law. With an introduction by James M. Beck.</t>
        </is>
      </c>
      <c r="H5" t="inlineStr">
        <is>
          <t>No</t>
        </is>
      </c>
      <c r="I5" t="inlineStr">
        <is>
          <t>1</t>
        </is>
      </c>
      <c r="J5" t="inlineStr">
        <is>
          <t>No</t>
        </is>
      </c>
      <c r="K5" t="inlineStr">
        <is>
          <t>Yes</t>
        </is>
      </c>
      <c r="L5" t="inlineStr">
        <is>
          <t>0</t>
        </is>
      </c>
      <c r="M5" t="inlineStr">
        <is>
          <t>Zane, John Maxcy, 1863-1937.</t>
        </is>
      </c>
      <c r="N5" t="inlineStr">
        <is>
          <t>Garden City, N. Y., Garden City Pub. Co. [c1927]</t>
        </is>
      </c>
      <c r="O5" t="inlineStr">
        <is>
          <t>1927</t>
        </is>
      </c>
      <c r="Q5" t="inlineStr">
        <is>
          <t>eng</t>
        </is>
      </c>
      <c r="R5" t="inlineStr">
        <is>
          <t>___</t>
        </is>
      </c>
      <c r="T5" t="inlineStr">
        <is>
          <t xml:space="preserve">K  </t>
        </is>
      </c>
      <c r="U5" t="n">
        <v>1</v>
      </c>
      <c r="V5" t="n">
        <v>1</v>
      </c>
      <c r="W5" t="inlineStr">
        <is>
          <t>2004-08-23</t>
        </is>
      </c>
      <c r="X5" t="inlineStr">
        <is>
          <t>2004-08-23</t>
        </is>
      </c>
      <c r="Y5" t="inlineStr">
        <is>
          <t>1992-06-11</t>
        </is>
      </c>
      <c r="Z5" t="inlineStr">
        <is>
          <t>1992-06-11</t>
        </is>
      </c>
      <c r="AA5" t="n">
        <v>222</v>
      </c>
      <c r="AB5" t="n">
        <v>197</v>
      </c>
      <c r="AC5" t="n">
        <v>1231</v>
      </c>
      <c r="AD5" t="n">
        <v>4</v>
      </c>
      <c r="AE5" t="n">
        <v>13</v>
      </c>
      <c r="AF5" t="n">
        <v>17</v>
      </c>
      <c r="AG5" t="n">
        <v>62</v>
      </c>
      <c r="AH5" t="n">
        <v>2</v>
      </c>
      <c r="AI5" t="n">
        <v>16</v>
      </c>
      <c r="AJ5" t="n">
        <v>1</v>
      </c>
      <c r="AK5" t="n">
        <v>9</v>
      </c>
      <c r="AL5" t="n">
        <v>2</v>
      </c>
      <c r="AM5" t="n">
        <v>12</v>
      </c>
      <c r="AN5" t="n">
        <v>2</v>
      </c>
      <c r="AO5" t="n">
        <v>8</v>
      </c>
      <c r="AP5" t="n">
        <v>11</v>
      </c>
      <c r="AQ5" t="n">
        <v>24</v>
      </c>
      <c r="AR5" t="inlineStr">
        <is>
          <t>Yes</t>
        </is>
      </c>
      <c r="AS5" t="inlineStr">
        <is>
          <t>No</t>
        </is>
      </c>
      <c r="AT5">
        <f>HYPERLINK("http://catalog.hathitrust.org/Record/002023338","HathiTrust Record")</f>
        <v/>
      </c>
      <c r="AU5">
        <f>HYPERLINK("https://creighton-primo.hosted.exlibrisgroup.com/primo-explore/search?tab=default_tab&amp;search_scope=EVERYTHING&amp;vid=01CRU&amp;lang=en_US&amp;offset=0&amp;query=any,contains,991002705599702656","Catalog Record")</f>
        <v/>
      </c>
      <c r="AV5">
        <f>HYPERLINK("http://www.worldcat.org/oclc/406940","WorldCat Record")</f>
        <v/>
      </c>
      <c r="AW5" t="inlineStr">
        <is>
          <t>638801:eng</t>
        </is>
      </c>
      <c r="AX5" t="inlineStr">
        <is>
          <t>406940</t>
        </is>
      </c>
      <c r="AY5" t="inlineStr">
        <is>
          <t>991002705599702656</t>
        </is>
      </c>
      <c r="AZ5" t="inlineStr">
        <is>
          <t>991002705599702656</t>
        </is>
      </c>
      <c r="BA5" t="inlineStr">
        <is>
          <t>2261121610002656</t>
        </is>
      </c>
      <c r="BB5" t="inlineStr">
        <is>
          <t>BOOK</t>
        </is>
      </c>
      <c r="BE5" t="inlineStr">
        <is>
          <t>32285001170108</t>
        </is>
      </c>
      <c r="BF5" t="inlineStr">
        <is>
          <t>893792809</t>
        </is>
      </c>
    </row>
    <row r="6">
      <c r="B6" t="inlineStr">
        <is>
          <t>CURAL</t>
        </is>
      </c>
      <c r="C6" t="inlineStr">
        <is>
          <t>SHELVES</t>
        </is>
      </c>
      <c r="D6" t="inlineStr">
        <is>
          <t>K190 .P6</t>
        </is>
      </c>
      <c r="E6" t="inlineStr">
        <is>
          <t>0                      K  0190000P  6</t>
        </is>
      </c>
      <c r="F6" t="inlineStr">
        <is>
          <t>Anthropology of law: a comparative theory [by] Leopold Pospíšil.</t>
        </is>
      </c>
      <c r="H6" t="inlineStr">
        <is>
          <t>No</t>
        </is>
      </c>
      <c r="I6" t="inlineStr">
        <is>
          <t>1</t>
        </is>
      </c>
      <c r="J6" t="inlineStr">
        <is>
          <t>Yes</t>
        </is>
      </c>
      <c r="K6" t="inlineStr">
        <is>
          <t>No</t>
        </is>
      </c>
      <c r="L6" t="inlineStr">
        <is>
          <t>0</t>
        </is>
      </c>
      <c r="M6" t="inlineStr">
        <is>
          <t>Pospisil, Leopold J.</t>
        </is>
      </c>
      <c r="N6" t="inlineStr">
        <is>
          <t>New York, Harper &amp; Row [1971]</t>
        </is>
      </c>
      <c r="O6" t="inlineStr">
        <is>
          <t>1971</t>
        </is>
      </c>
      <c r="Q6" t="inlineStr">
        <is>
          <t>eng</t>
        </is>
      </c>
      <c r="R6" t="inlineStr">
        <is>
          <t>nyu</t>
        </is>
      </c>
      <c r="T6" t="inlineStr">
        <is>
          <t xml:space="preserve">K  </t>
        </is>
      </c>
      <c r="U6" t="n">
        <v>2</v>
      </c>
      <c r="V6" t="n">
        <v>5</v>
      </c>
      <c r="W6" t="inlineStr">
        <is>
          <t>2002-11-19</t>
        </is>
      </c>
      <c r="X6" t="inlineStr">
        <is>
          <t>2005-06-29</t>
        </is>
      </c>
      <c r="Y6" t="inlineStr">
        <is>
          <t>1992-06-12</t>
        </is>
      </c>
      <c r="Z6" t="inlineStr">
        <is>
          <t>1992-06-12</t>
        </is>
      </c>
      <c r="AA6" t="n">
        <v>670</v>
      </c>
      <c r="AB6" t="n">
        <v>523</v>
      </c>
      <c r="AC6" t="n">
        <v>616</v>
      </c>
      <c r="AD6" t="n">
        <v>6</v>
      </c>
      <c r="AE6" t="n">
        <v>6</v>
      </c>
      <c r="AF6" t="n">
        <v>30</v>
      </c>
      <c r="AG6" t="n">
        <v>32</v>
      </c>
      <c r="AH6" t="n">
        <v>4</v>
      </c>
      <c r="AI6" t="n">
        <v>4</v>
      </c>
      <c r="AJ6" t="n">
        <v>4</v>
      </c>
      <c r="AK6" t="n">
        <v>4</v>
      </c>
      <c r="AL6" t="n">
        <v>8</v>
      </c>
      <c r="AM6" t="n">
        <v>9</v>
      </c>
      <c r="AN6" t="n">
        <v>3</v>
      </c>
      <c r="AO6" t="n">
        <v>3</v>
      </c>
      <c r="AP6" t="n">
        <v>14</v>
      </c>
      <c r="AQ6" t="n">
        <v>15</v>
      </c>
      <c r="AR6" t="inlineStr">
        <is>
          <t>No</t>
        </is>
      </c>
      <c r="AS6" t="inlineStr">
        <is>
          <t>Yes</t>
        </is>
      </c>
      <c r="AT6">
        <f>HYPERLINK("http://catalog.hathitrust.org/Record/001275019","HathiTrust Record")</f>
        <v/>
      </c>
      <c r="AU6">
        <f>HYPERLINK("https://creighton-primo.hosted.exlibrisgroup.com/primo-explore/search?tab=default_tab&amp;search_scope=EVERYTHING&amp;vid=01CRU&amp;lang=en_US&amp;offset=0&amp;query=any,contains,991001786379702656","Catalog Record")</f>
        <v/>
      </c>
      <c r="AV6">
        <f>HYPERLINK("http://www.worldcat.org/oclc/198494","WorldCat Record")</f>
        <v/>
      </c>
      <c r="AW6" t="inlineStr">
        <is>
          <t>292446922:eng</t>
        </is>
      </c>
      <c r="AX6" t="inlineStr">
        <is>
          <t>198494</t>
        </is>
      </c>
      <c r="AY6" t="inlineStr">
        <is>
          <t>991001786379702656</t>
        </is>
      </c>
      <c r="AZ6" t="inlineStr">
        <is>
          <t>991001786379702656</t>
        </is>
      </c>
      <c r="BA6" t="inlineStr">
        <is>
          <t>2271415760002656</t>
        </is>
      </c>
      <c r="BB6" t="inlineStr">
        <is>
          <t>BOOK</t>
        </is>
      </c>
      <c r="BD6" t="inlineStr">
        <is>
          <t>9780060452476</t>
        </is>
      </c>
      <c r="BE6" t="inlineStr">
        <is>
          <t>32285001174555</t>
        </is>
      </c>
      <c r="BF6" t="inlineStr">
        <is>
          <t>893497374</t>
        </is>
      </c>
    </row>
    <row r="7">
      <c r="B7" t="inlineStr">
        <is>
          <t>CURAL</t>
        </is>
      </c>
      <c r="C7" t="inlineStr">
        <is>
          <t>SHELVES</t>
        </is>
      </c>
      <c r="D7" t="inlineStr">
        <is>
          <t>K2100 .L48 1992</t>
        </is>
      </c>
      <c r="E7" t="inlineStr">
        <is>
          <t>0                      K  2100000L  48          1992</t>
        </is>
      </c>
      <c r="F7" t="inlineStr">
        <is>
          <t>How judges reason : the logic of adjudication / Joel Levin.</t>
        </is>
      </c>
      <c r="H7" t="inlineStr">
        <is>
          <t>No</t>
        </is>
      </c>
      <c r="I7" t="inlineStr">
        <is>
          <t>1</t>
        </is>
      </c>
      <c r="J7" t="inlineStr">
        <is>
          <t>Yes</t>
        </is>
      </c>
      <c r="K7" t="inlineStr">
        <is>
          <t>No</t>
        </is>
      </c>
      <c r="L7" t="inlineStr">
        <is>
          <t>0</t>
        </is>
      </c>
      <c r="M7" t="inlineStr">
        <is>
          <t>Levin, Joel, 1951-</t>
        </is>
      </c>
      <c r="N7" t="inlineStr">
        <is>
          <t>New York : P. Lang, c1992.</t>
        </is>
      </c>
      <c r="O7" t="inlineStr">
        <is>
          <t>1992</t>
        </is>
      </c>
      <c r="Q7" t="inlineStr">
        <is>
          <t>eng</t>
        </is>
      </c>
      <c r="R7" t="inlineStr">
        <is>
          <t>nyu</t>
        </is>
      </c>
      <c r="T7" t="inlineStr">
        <is>
          <t xml:space="preserve">K  </t>
        </is>
      </c>
      <c r="U7" t="n">
        <v>7</v>
      </c>
      <c r="V7" t="n">
        <v>8</v>
      </c>
      <c r="W7" t="inlineStr">
        <is>
          <t>2010-04-26</t>
        </is>
      </c>
      <c r="X7" t="inlineStr">
        <is>
          <t>2010-04-26</t>
        </is>
      </c>
      <c r="Y7" t="inlineStr">
        <is>
          <t>1993-03-25</t>
        </is>
      </c>
      <c r="Z7" t="inlineStr">
        <is>
          <t>1993-07-21</t>
        </is>
      </c>
      <c r="AA7" t="n">
        <v>304</v>
      </c>
      <c r="AB7" t="n">
        <v>235</v>
      </c>
      <c r="AC7" t="n">
        <v>236</v>
      </c>
      <c r="AD7" t="n">
        <v>2</v>
      </c>
      <c r="AE7" t="n">
        <v>2</v>
      </c>
      <c r="AF7" t="n">
        <v>27</v>
      </c>
      <c r="AG7" t="n">
        <v>27</v>
      </c>
      <c r="AH7" t="n">
        <v>6</v>
      </c>
      <c r="AI7" t="n">
        <v>6</v>
      </c>
      <c r="AJ7" t="n">
        <v>1</v>
      </c>
      <c r="AK7" t="n">
        <v>1</v>
      </c>
      <c r="AL7" t="n">
        <v>6</v>
      </c>
      <c r="AM7" t="n">
        <v>6</v>
      </c>
      <c r="AN7" t="n">
        <v>0</v>
      </c>
      <c r="AO7" t="n">
        <v>0</v>
      </c>
      <c r="AP7" t="n">
        <v>17</v>
      </c>
      <c r="AQ7" t="n">
        <v>17</v>
      </c>
      <c r="AR7" t="inlineStr">
        <is>
          <t>No</t>
        </is>
      </c>
      <c r="AS7" t="inlineStr">
        <is>
          <t>Yes</t>
        </is>
      </c>
      <c r="AT7">
        <f>HYPERLINK("http://catalog.hathitrust.org/Record/010420496","HathiTrust Record")</f>
        <v/>
      </c>
      <c r="AU7">
        <f>HYPERLINK("https://creighton-primo.hosted.exlibrisgroup.com/primo-explore/search?tab=default_tab&amp;search_scope=EVERYTHING&amp;vid=01CRU&amp;lang=en_US&amp;offset=0&amp;query=any,contains,991001650799702656","Catalog Record")</f>
        <v/>
      </c>
      <c r="AV7">
        <f>HYPERLINK("http://www.worldcat.org/oclc/24668078","WorldCat Record")</f>
        <v/>
      </c>
      <c r="AW7" t="inlineStr">
        <is>
          <t>141655032:eng</t>
        </is>
      </c>
      <c r="AX7" t="inlineStr">
        <is>
          <t>24668078</t>
        </is>
      </c>
      <c r="AY7" t="inlineStr">
        <is>
          <t>991001650799702656</t>
        </is>
      </c>
      <c r="AZ7" t="inlineStr">
        <is>
          <t>991001650799702656</t>
        </is>
      </c>
      <c r="BA7" t="inlineStr">
        <is>
          <t>2256805700002656</t>
        </is>
      </c>
      <c r="BB7" t="inlineStr">
        <is>
          <t>BOOK</t>
        </is>
      </c>
      <c r="BD7" t="inlineStr">
        <is>
          <t>9780820415499</t>
        </is>
      </c>
      <c r="BE7" t="inlineStr">
        <is>
          <t>32285001498574</t>
        </is>
      </c>
      <c r="BF7" t="inlineStr">
        <is>
          <t>893250361</t>
        </is>
      </c>
    </row>
    <row r="8">
      <c r="B8" t="inlineStr">
        <is>
          <t>CURAL</t>
        </is>
      </c>
      <c r="C8" t="inlineStr">
        <is>
          <t>SHELVES</t>
        </is>
      </c>
      <c r="D8" t="inlineStr">
        <is>
          <t>K215 .E5</t>
        </is>
      </c>
      <c r="E8" t="inlineStr">
        <is>
          <t>0                      K  0215000E  5</t>
        </is>
      </c>
      <c r="F8" t="inlineStr">
        <is>
          <t>Law and philosophy; readings in legal philosophy.</t>
        </is>
      </c>
      <c r="H8" t="inlineStr">
        <is>
          <t>No</t>
        </is>
      </c>
      <c r="I8" t="inlineStr">
        <is>
          <t>1</t>
        </is>
      </c>
      <c r="J8" t="inlineStr">
        <is>
          <t>No</t>
        </is>
      </c>
      <c r="K8" t="inlineStr">
        <is>
          <t>No</t>
        </is>
      </c>
      <c r="L8" t="inlineStr">
        <is>
          <t>0</t>
        </is>
      </c>
      <c r="M8" t="inlineStr">
        <is>
          <t>Kent, Edward, 1933-, compiler.</t>
        </is>
      </c>
      <c r="N8" t="inlineStr">
        <is>
          <t>New York, Appleton-Century-Crofts [c1970]</t>
        </is>
      </c>
      <c r="O8" t="inlineStr">
        <is>
          <t>1970</t>
        </is>
      </c>
      <c r="Q8" t="inlineStr">
        <is>
          <t>eng</t>
        </is>
      </c>
      <c r="R8" t="inlineStr">
        <is>
          <t>nyu</t>
        </is>
      </c>
      <c r="S8" t="inlineStr">
        <is>
          <t>The Century philosophy series</t>
        </is>
      </c>
      <c r="T8" t="inlineStr">
        <is>
          <t xml:space="preserve">K  </t>
        </is>
      </c>
      <c r="U8" t="n">
        <v>4</v>
      </c>
      <c r="V8" t="n">
        <v>4</v>
      </c>
      <c r="W8" t="inlineStr">
        <is>
          <t>2004-06-09</t>
        </is>
      </c>
      <c r="X8" t="inlineStr">
        <is>
          <t>2004-06-09</t>
        </is>
      </c>
      <c r="Y8" t="inlineStr">
        <is>
          <t>1992-02-21</t>
        </is>
      </c>
      <c r="Z8" t="inlineStr">
        <is>
          <t>1992-02-21</t>
        </is>
      </c>
      <c r="AA8" t="n">
        <v>393</v>
      </c>
      <c r="AB8" t="n">
        <v>308</v>
      </c>
      <c r="AC8" t="n">
        <v>386</v>
      </c>
      <c r="AD8" t="n">
        <v>4</v>
      </c>
      <c r="AE8" t="n">
        <v>4</v>
      </c>
      <c r="AF8" t="n">
        <v>17</v>
      </c>
      <c r="AG8" t="n">
        <v>25</v>
      </c>
      <c r="AH8" t="n">
        <v>2</v>
      </c>
      <c r="AI8" t="n">
        <v>5</v>
      </c>
      <c r="AJ8" t="n">
        <v>3</v>
      </c>
      <c r="AK8" t="n">
        <v>5</v>
      </c>
      <c r="AL8" t="n">
        <v>5</v>
      </c>
      <c r="AM8" t="n">
        <v>11</v>
      </c>
      <c r="AN8" t="n">
        <v>2</v>
      </c>
      <c r="AO8" t="n">
        <v>2</v>
      </c>
      <c r="AP8" t="n">
        <v>6</v>
      </c>
      <c r="AQ8" t="n">
        <v>6</v>
      </c>
      <c r="AR8" t="inlineStr">
        <is>
          <t>No</t>
        </is>
      </c>
      <c r="AS8" t="inlineStr">
        <is>
          <t>Yes</t>
        </is>
      </c>
      <c r="AT8">
        <f>HYPERLINK("http://catalog.hathitrust.org/Record/008311765","HathiTrust Record")</f>
        <v/>
      </c>
      <c r="AU8">
        <f>HYPERLINK("https://creighton-primo.hosted.exlibrisgroup.com/primo-explore/search?tab=default_tab&amp;search_scope=EVERYTHING&amp;vid=01CRU&amp;lang=en_US&amp;offset=0&amp;query=any,contains,991000814489702656","Catalog Record")</f>
        <v/>
      </c>
      <c r="AV8">
        <f>HYPERLINK("http://www.worldcat.org/oclc/141887","WorldCat Record")</f>
        <v/>
      </c>
      <c r="AW8" t="inlineStr">
        <is>
          <t>155145669:eng</t>
        </is>
      </c>
      <c r="AX8" t="inlineStr">
        <is>
          <t>141887</t>
        </is>
      </c>
      <c r="AY8" t="inlineStr">
        <is>
          <t>991000814489702656</t>
        </is>
      </c>
      <c r="AZ8" t="inlineStr">
        <is>
          <t>991000814489702656</t>
        </is>
      </c>
      <c r="BA8" t="inlineStr">
        <is>
          <t>2255039450002656</t>
        </is>
      </c>
      <c r="BB8" t="inlineStr">
        <is>
          <t>BOOK</t>
        </is>
      </c>
      <c r="BD8" t="inlineStr">
        <is>
          <t>9780390504418</t>
        </is>
      </c>
      <c r="BE8" t="inlineStr">
        <is>
          <t>32285000973163</t>
        </is>
      </c>
      <c r="BF8" t="inlineStr">
        <is>
          <t>893522045</t>
        </is>
      </c>
    </row>
    <row r="9">
      <c r="B9" t="inlineStr">
        <is>
          <t>CURAL</t>
        </is>
      </c>
      <c r="C9" t="inlineStr">
        <is>
          <t>SHELVES</t>
        </is>
      </c>
      <c r="D9" t="inlineStr">
        <is>
          <t>K226 .M6 1959</t>
        </is>
      </c>
      <c r="E9" t="inlineStr">
        <is>
          <t>0                      K  0226000M  6           1959</t>
        </is>
      </c>
      <c r="F9" t="inlineStr">
        <is>
          <t>The great legal philosophers : selected readings in jurisprudence.</t>
        </is>
      </c>
      <c r="H9" t="inlineStr">
        <is>
          <t>No</t>
        </is>
      </c>
      <c r="I9" t="inlineStr">
        <is>
          <t>1</t>
        </is>
      </c>
      <c r="J9" t="inlineStr">
        <is>
          <t>No</t>
        </is>
      </c>
      <c r="K9" t="inlineStr">
        <is>
          <t>No</t>
        </is>
      </c>
      <c r="L9" t="inlineStr">
        <is>
          <t>0</t>
        </is>
      </c>
      <c r="M9" t="inlineStr">
        <is>
          <t>Morris, Clarence, 1903-, editor.</t>
        </is>
      </c>
      <c r="N9" t="inlineStr">
        <is>
          <t>Philadelphia, University of Pennsylvania Press [1959]</t>
        </is>
      </c>
      <c r="O9" t="inlineStr">
        <is>
          <t>1959</t>
        </is>
      </c>
      <c r="Q9" t="inlineStr">
        <is>
          <t>eng</t>
        </is>
      </c>
      <c r="R9" t="inlineStr">
        <is>
          <t>pau</t>
        </is>
      </c>
      <c r="T9" t="inlineStr">
        <is>
          <t xml:space="preserve">K  </t>
        </is>
      </c>
      <c r="U9" t="n">
        <v>3</v>
      </c>
      <c r="V9" t="n">
        <v>3</v>
      </c>
      <c r="W9" t="inlineStr">
        <is>
          <t>1999-04-08</t>
        </is>
      </c>
      <c r="X9" t="inlineStr">
        <is>
          <t>1999-04-08</t>
        </is>
      </c>
      <c r="Y9" t="inlineStr">
        <is>
          <t>1997-09-02</t>
        </is>
      </c>
      <c r="Z9" t="inlineStr">
        <is>
          <t>1997-09-02</t>
        </is>
      </c>
      <c r="AA9" t="n">
        <v>665</v>
      </c>
      <c r="AB9" t="n">
        <v>571</v>
      </c>
      <c r="AC9" t="n">
        <v>740</v>
      </c>
      <c r="AD9" t="n">
        <v>3</v>
      </c>
      <c r="AE9" t="n">
        <v>3</v>
      </c>
      <c r="AF9" t="n">
        <v>39</v>
      </c>
      <c r="AG9" t="n">
        <v>46</v>
      </c>
      <c r="AH9" t="n">
        <v>7</v>
      </c>
      <c r="AI9" t="n">
        <v>10</v>
      </c>
      <c r="AJ9" t="n">
        <v>4</v>
      </c>
      <c r="AK9" t="n">
        <v>5</v>
      </c>
      <c r="AL9" t="n">
        <v>17</v>
      </c>
      <c r="AM9" t="n">
        <v>20</v>
      </c>
      <c r="AN9" t="n">
        <v>0</v>
      </c>
      <c r="AO9" t="n">
        <v>0</v>
      </c>
      <c r="AP9" t="n">
        <v>18</v>
      </c>
      <c r="AQ9" t="n">
        <v>20</v>
      </c>
      <c r="AR9" t="inlineStr">
        <is>
          <t>No</t>
        </is>
      </c>
      <c r="AS9" t="inlineStr">
        <is>
          <t>No</t>
        </is>
      </c>
      <c r="AT9">
        <f>HYPERLINK("http://catalog.hathitrust.org/Record/004424902","HathiTrust Record")</f>
        <v/>
      </c>
      <c r="AU9">
        <f>HYPERLINK("https://creighton-primo.hosted.exlibrisgroup.com/primo-explore/search?tab=default_tab&amp;search_scope=EVERYTHING&amp;vid=01CRU&amp;lang=en_US&amp;offset=0&amp;query=any,contains,991002881369702656","Catalog Record")</f>
        <v/>
      </c>
      <c r="AV9">
        <f>HYPERLINK("http://www.worldcat.org/oclc/505823","WorldCat Record")</f>
        <v/>
      </c>
      <c r="AW9" t="inlineStr">
        <is>
          <t>54016563:eng</t>
        </is>
      </c>
      <c r="AX9" t="inlineStr">
        <is>
          <t>505823</t>
        </is>
      </c>
      <c r="AY9" t="inlineStr">
        <is>
          <t>991002881369702656</t>
        </is>
      </c>
      <c r="AZ9" t="inlineStr">
        <is>
          <t>991002881369702656</t>
        </is>
      </c>
      <c r="BA9" t="inlineStr">
        <is>
          <t>2263566300002656</t>
        </is>
      </c>
      <c r="BB9" t="inlineStr">
        <is>
          <t>BOOK</t>
        </is>
      </c>
      <c r="BE9" t="inlineStr">
        <is>
          <t>32285003161857</t>
        </is>
      </c>
      <c r="BF9" t="inlineStr">
        <is>
          <t>893774143</t>
        </is>
      </c>
    </row>
    <row r="10">
      <c r="B10" t="inlineStr">
        <is>
          <t>CURAL</t>
        </is>
      </c>
      <c r="C10" t="inlineStr">
        <is>
          <t>SHELVES</t>
        </is>
      </c>
      <c r="D10" t="inlineStr">
        <is>
          <t>K230 .K44</t>
        </is>
      </c>
      <c r="E10" t="inlineStr">
        <is>
          <t>0                      K  0230000K  44</t>
        </is>
      </c>
      <c r="F10" t="inlineStr">
        <is>
          <t>Essays in legal and moral philosophy / selected and introduced by Ota Weinberger. Translated [from the German] by Peter Heath.</t>
        </is>
      </c>
      <c r="H10" t="inlineStr">
        <is>
          <t>No</t>
        </is>
      </c>
      <c r="I10" t="inlineStr">
        <is>
          <t>1</t>
        </is>
      </c>
      <c r="J10" t="inlineStr">
        <is>
          <t>No</t>
        </is>
      </c>
      <c r="K10" t="inlineStr">
        <is>
          <t>No</t>
        </is>
      </c>
      <c r="L10" t="inlineStr">
        <is>
          <t>0</t>
        </is>
      </c>
      <c r="M10" t="inlineStr">
        <is>
          <t>Kelsen, Hans, 1881-1973.</t>
        </is>
      </c>
      <c r="N10" t="inlineStr">
        <is>
          <t>Dordrecht ; Boston : Reidel, 1974.</t>
        </is>
      </c>
      <c r="O10" t="inlineStr">
        <is>
          <t>1974</t>
        </is>
      </c>
      <c r="Q10" t="inlineStr">
        <is>
          <t>eng</t>
        </is>
      </c>
      <c r="R10" t="inlineStr">
        <is>
          <t xml:space="preserve">ne </t>
        </is>
      </c>
      <c r="S10" t="inlineStr">
        <is>
          <t>Synthese library</t>
        </is>
      </c>
      <c r="T10" t="inlineStr">
        <is>
          <t xml:space="preserve">K  </t>
        </is>
      </c>
      <c r="U10" t="n">
        <v>6</v>
      </c>
      <c r="V10" t="n">
        <v>6</v>
      </c>
      <c r="W10" t="inlineStr">
        <is>
          <t>2005-11-19</t>
        </is>
      </c>
      <c r="X10" t="inlineStr">
        <is>
          <t>2005-11-19</t>
        </is>
      </c>
      <c r="Y10" t="inlineStr">
        <is>
          <t>1992-06-12</t>
        </is>
      </c>
      <c r="Z10" t="inlineStr">
        <is>
          <t>1992-06-12</t>
        </is>
      </c>
      <c r="AA10" t="n">
        <v>253</v>
      </c>
      <c r="AB10" t="n">
        <v>209</v>
      </c>
      <c r="AC10" t="n">
        <v>305</v>
      </c>
      <c r="AD10" t="n">
        <v>3</v>
      </c>
      <c r="AE10" t="n">
        <v>3</v>
      </c>
      <c r="AF10" t="n">
        <v>15</v>
      </c>
      <c r="AG10" t="n">
        <v>24</v>
      </c>
      <c r="AH10" t="n">
        <v>2</v>
      </c>
      <c r="AI10" t="n">
        <v>4</v>
      </c>
      <c r="AJ10" t="n">
        <v>0</v>
      </c>
      <c r="AK10" t="n">
        <v>2</v>
      </c>
      <c r="AL10" t="n">
        <v>4</v>
      </c>
      <c r="AM10" t="n">
        <v>9</v>
      </c>
      <c r="AN10" t="n">
        <v>1</v>
      </c>
      <c r="AO10" t="n">
        <v>1</v>
      </c>
      <c r="AP10" t="n">
        <v>10</v>
      </c>
      <c r="AQ10" t="n">
        <v>12</v>
      </c>
      <c r="AR10" t="inlineStr">
        <is>
          <t>No</t>
        </is>
      </c>
      <c r="AS10" t="inlineStr">
        <is>
          <t>No</t>
        </is>
      </c>
      <c r="AU10">
        <f>HYPERLINK("https://creighton-primo.hosted.exlibrisgroup.com/primo-explore/search?tab=default_tab&amp;search_scope=EVERYTHING&amp;vid=01CRU&amp;lang=en_US&amp;offset=0&amp;query=any,contains,991003444169702656","Catalog Record")</f>
        <v/>
      </c>
      <c r="AV10">
        <f>HYPERLINK("http://www.worldcat.org/oclc/980059","WorldCat Record")</f>
        <v/>
      </c>
      <c r="AW10" t="inlineStr">
        <is>
          <t>1944007:eng</t>
        </is>
      </c>
      <c r="AX10" t="inlineStr">
        <is>
          <t>980059</t>
        </is>
      </c>
      <c r="AY10" t="inlineStr">
        <is>
          <t>991003444169702656</t>
        </is>
      </c>
      <c r="AZ10" t="inlineStr">
        <is>
          <t>991003444169702656</t>
        </is>
      </c>
      <c r="BA10" t="inlineStr">
        <is>
          <t>2271335670002656</t>
        </is>
      </c>
      <c r="BB10" t="inlineStr">
        <is>
          <t>BOOK</t>
        </is>
      </c>
      <c r="BE10" t="inlineStr">
        <is>
          <t>32285001170280</t>
        </is>
      </c>
      <c r="BF10" t="inlineStr">
        <is>
          <t>893699008</t>
        </is>
      </c>
    </row>
    <row r="11">
      <c r="B11" t="inlineStr">
        <is>
          <t>CURAL</t>
        </is>
      </c>
      <c r="C11" t="inlineStr">
        <is>
          <t>SHELVES</t>
        </is>
      </c>
      <c r="D11" t="inlineStr">
        <is>
          <t>K230.A447 C75 1990</t>
        </is>
      </c>
      <c r="E11" t="inlineStr">
        <is>
          <t>0                      K  0230000A  447                C  75          1990</t>
        </is>
      </c>
      <c r="F11" t="inlineStr">
        <is>
          <t>Critical legal studies : a liberal critique / Andrew Altman.</t>
        </is>
      </c>
      <c r="H11" t="inlineStr">
        <is>
          <t>No</t>
        </is>
      </c>
      <c r="I11" t="inlineStr">
        <is>
          <t>1</t>
        </is>
      </c>
      <c r="J11" t="inlineStr">
        <is>
          <t>Yes</t>
        </is>
      </c>
      <c r="K11" t="inlineStr">
        <is>
          <t>No</t>
        </is>
      </c>
      <c r="L11" t="inlineStr">
        <is>
          <t>0</t>
        </is>
      </c>
      <c r="M11" t="inlineStr">
        <is>
          <t>Altman, Andrew, 1950-</t>
        </is>
      </c>
      <c r="N11" t="inlineStr">
        <is>
          <t>Princeton, N.J. : Princeton University Press, 1990.</t>
        </is>
      </c>
      <c r="O11" t="inlineStr">
        <is>
          <t>1990</t>
        </is>
      </c>
      <c r="Q11" t="inlineStr">
        <is>
          <t>eng</t>
        </is>
      </c>
      <c r="R11" t="inlineStr">
        <is>
          <t>nju</t>
        </is>
      </c>
      <c r="S11" t="inlineStr">
        <is>
          <t>Studies in moral, political, and legal philosophy</t>
        </is>
      </c>
      <c r="T11" t="inlineStr">
        <is>
          <t xml:space="preserve">K  </t>
        </is>
      </c>
      <c r="U11" t="n">
        <v>8</v>
      </c>
      <c r="V11" t="n">
        <v>8</v>
      </c>
      <c r="W11" t="inlineStr">
        <is>
          <t>2003-11-25</t>
        </is>
      </c>
      <c r="X11" t="inlineStr">
        <is>
          <t>2003-11-25</t>
        </is>
      </c>
      <c r="Y11" t="inlineStr">
        <is>
          <t>1990-04-17</t>
        </is>
      </c>
      <c r="Z11" t="inlineStr">
        <is>
          <t>2010-02-17</t>
        </is>
      </c>
      <c r="AA11" t="n">
        <v>489</v>
      </c>
      <c r="AB11" t="n">
        <v>395</v>
      </c>
      <c r="AC11" t="n">
        <v>418</v>
      </c>
      <c r="AD11" t="n">
        <v>4</v>
      </c>
      <c r="AE11" t="n">
        <v>4</v>
      </c>
      <c r="AF11" t="n">
        <v>34</v>
      </c>
      <c r="AG11" t="n">
        <v>37</v>
      </c>
      <c r="AH11" t="n">
        <v>7</v>
      </c>
      <c r="AI11" t="n">
        <v>8</v>
      </c>
      <c r="AJ11" t="n">
        <v>4</v>
      </c>
      <c r="AK11" t="n">
        <v>4</v>
      </c>
      <c r="AL11" t="n">
        <v>11</v>
      </c>
      <c r="AM11" t="n">
        <v>11</v>
      </c>
      <c r="AN11" t="n">
        <v>0</v>
      </c>
      <c r="AO11" t="n">
        <v>0</v>
      </c>
      <c r="AP11" t="n">
        <v>18</v>
      </c>
      <c r="AQ11" t="n">
        <v>20</v>
      </c>
      <c r="AR11" t="inlineStr">
        <is>
          <t>No</t>
        </is>
      </c>
      <c r="AS11" t="inlineStr">
        <is>
          <t>No</t>
        </is>
      </c>
      <c r="AU11">
        <f>HYPERLINK("https://creighton-primo.hosted.exlibrisgroup.com/primo-explore/search?tab=default_tab&amp;search_scope=EVERYTHING&amp;vid=01CRU&amp;lang=en_US&amp;offset=0&amp;query=any,contains,991001812309702656","Catalog Record")</f>
        <v/>
      </c>
      <c r="AV11">
        <f>HYPERLINK("http://www.worldcat.org/oclc/19981180","WorldCat Record")</f>
        <v/>
      </c>
      <c r="AW11" t="inlineStr">
        <is>
          <t>347782:eng</t>
        </is>
      </c>
      <c r="AX11" t="inlineStr">
        <is>
          <t>19981180</t>
        </is>
      </c>
      <c r="AY11" t="inlineStr">
        <is>
          <t>991001812309702656</t>
        </is>
      </c>
      <c r="AZ11" t="inlineStr">
        <is>
          <t>991001812309702656</t>
        </is>
      </c>
      <c r="BA11" t="inlineStr">
        <is>
          <t>2259659850002656</t>
        </is>
      </c>
      <c r="BB11" t="inlineStr">
        <is>
          <t>BOOK</t>
        </is>
      </c>
      <c r="BD11" t="inlineStr">
        <is>
          <t>9780691078397</t>
        </is>
      </c>
      <c r="BE11" t="inlineStr">
        <is>
          <t>32285000103340</t>
        </is>
      </c>
      <c r="BF11" t="inlineStr">
        <is>
          <t>893334628</t>
        </is>
      </c>
    </row>
    <row r="12">
      <c r="B12" t="inlineStr">
        <is>
          <t>CURAL</t>
        </is>
      </c>
      <c r="C12" t="inlineStr">
        <is>
          <t>SHELVES</t>
        </is>
      </c>
      <c r="D12" t="inlineStr">
        <is>
          <t>K230.H432 H44 1991</t>
        </is>
      </c>
      <c r="E12" t="inlineStr">
        <is>
          <t>0                      K  0230000H  432                H  44          1991</t>
        </is>
      </c>
      <c r="F12" t="inlineStr">
        <is>
          <t>Hegel and legal theory / edited by Drucilla Cornell, Michel Rosenfeld, David Gray Carlson.</t>
        </is>
      </c>
      <c r="H12" t="inlineStr">
        <is>
          <t>No</t>
        </is>
      </c>
      <c r="I12" t="inlineStr">
        <is>
          <t>1</t>
        </is>
      </c>
      <c r="J12" t="inlineStr">
        <is>
          <t>No</t>
        </is>
      </c>
      <c r="K12" t="inlineStr">
        <is>
          <t>No</t>
        </is>
      </c>
      <c r="L12" t="inlineStr">
        <is>
          <t>0</t>
        </is>
      </c>
      <c r="N12" t="inlineStr">
        <is>
          <t>New York : Routledge, 1991.</t>
        </is>
      </c>
      <c r="O12" t="inlineStr">
        <is>
          <t>1991</t>
        </is>
      </c>
      <c r="Q12" t="inlineStr">
        <is>
          <t>eng</t>
        </is>
      </c>
      <c r="R12" t="inlineStr">
        <is>
          <t>nyu</t>
        </is>
      </c>
      <c r="T12" t="inlineStr">
        <is>
          <t xml:space="preserve">K  </t>
        </is>
      </c>
      <c r="U12" t="n">
        <v>6</v>
      </c>
      <c r="V12" t="n">
        <v>6</v>
      </c>
      <c r="W12" t="inlineStr">
        <is>
          <t>2002-11-12</t>
        </is>
      </c>
      <c r="X12" t="inlineStr">
        <is>
          <t>2002-11-12</t>
        </is>
      </c>
      <c r="Y12" t="inlineStr">
        <is>
          <t>1992-10-27</t>
        </is>
      </c>
      <c r="Z12" t="inlineStr">
        <is>
          <t>1992-10-27</t>
        </is>
      </c>
      <c r="AA12" t="n">
        <v>353</v>
      </c>
      <c r="AB12" t="n">
        <v>234</v>
      </c>
      <c r="AC12" t="n">
        <v>262</v>
      </c>
      <c r="AD12" t="n">
        <v>2</v>
      </c>
      <c r="AE12" t="n">
        <v>2</v>
      </c>
      <c r="AF12" t="n">
        <v>22</v>
      </c>
      <c r="AG12" t="n">
        <v>22</v>
      </c>
      <c r="AH12" t="n">
        <v>4</v>
      </c>
      <c r="AI12" t="n">
        <v>4</v>
      </c>
      <c r="AJ12" t="n">
        <v>3</v>
      </c>
      <c r="AK12" t="n">
        <v>3</v>
      </c>
      <c r="AL12" t="n">
        <v>5</v>
      </c>
      <c r="AM12" t="n">
        <v>5</v>
      </c>
      <c r="AN12" t="n">
        <v>1</v>
      </c>
      <c r="AO12" t="n">
        <v>1</v>
      </c>
      <c r="AP12" t="n">
        <v>11</v>
      </c>
      <c r="AQ12" t="n">
        <v>11</v>
      </c>
      <c r="AR12" t="inlineStr">
        <is>
          <t>No</t>
        </is>
      </c>
      <c r="AS12" t="inlineStr">
        <is>
          <t>Yes</t>
        </is>
      </c>
      <c r="AT12">
        <f>HYPERLINK("http://catalog.hathitrust.org/Record/002510701","HathiTrust Record")</f>
        <v/>
      </c>
      <c r="AU12">
        <f>HYPERLINK("https://creighton-primo.hosted.exlibrisgroup.com/primo-explore/search?tab=default_tab&amp;search_scope=EVERYTHING&amp;vid=01CRU&amp;lang=en_US&amp;offset=0&amp;query=any,contains,991001820609702656","Catalog Record")</f>
        <v/>
      </c>
      <c r="AV12">
        <f>HYPERLINK("http://www.worldcat.org/oclc/22889854","WorldCat Record")</f>
        <v/>
      </c>
      <c r="AW12" t="inlineStr">
        <is>
          <t>354421072:eng</t>
        </is>
      </c>
      <c r="AX12" t="inlineStr">
        <is>
          <t>22889854</t>
        </is>
      </c>
      <c r="AY12" t="inlineStr">
        <is>
          <t>991001820609702656</t>
        </is>
      </c>
      <c r="AZ12" t="inlineStr">
        <is>
          <t>991001820609702656</t>
        </is>
      </c>
      <c r="BA12" t="inlineStr">
        <is>
          <t>2265407540002656</t>
        </is>
      </c>
      <c r="BB12" t="inlineStr">
        <is>
          <t>BOOK</t>
        </is>
      </c>
      <c r="BD12" t="inlineStr">
        <is>
          <t>9780415901635</t>
        </is>
      </c>
      <c r="BE12" t="inlineStr">
        <is>
          <t>32285001319499</t>
        </is>
      </c>
      <c r="BF12" t="inlineStr">
        <is>
          <t>893709573</t>
        </is>
      </c>
    </row>
    <row r="13">
      <c r="B13" t="inlineStr">
        <is>
          <t>CURAL</t>
        </is>
      </c>
      <c r="C13" t="inlineStr">
        <is>
          <t>SHELVES</t>
        </is>
      </c>
      <c r="D13" t="inlineStr">
        <is>
          <t>K230.S6 S65 1982</t>
        </is>
      </c>
      <c r="E13" t="inlineStr">
        <is>
          <t>0                      K  0230000S  6                  S  65          1982</t>
        </is>
      </c>
      <c r="F13" t="inlineStr">
        <is>
          <t>Lectures on jurisprudence / Adam Smith ; edited by R.L. Meek, D.D. Raphael, and P.G. Stein.</t>
        </is>
      </c>
      <c r="H13" t="inlineStr">
        <is>
          <t>No</t>
        </is>
      </c>
      <c r="I13" t="inlineStr">
        <is>
          <t>1</t>
        </is>
      </c>
      <c r="J13" t="inlineStr">
        <is>
          <t>No</t>
        </is>
      </c>
      <c r="K13" t="inlineStr">
        <is>
          <t>Yes</t>
        </is>
      </c>
      <c r="L13" t="inlineStr">
        <is>
          <t>0</t>
        </is>
      </c>
      <c r="M13" t="inlineStr">
        <is>
          <t>Smith, Adam, 1723-1790.</t>
        </is>
      </c>
      <c r="N13" t="inlineStr">
        <is>
          <t>Indianapolis : Liberty Classics, 1982, c1978.</t>
        </is>
      </c>
      <c r="O13" t="inlineStr">
        <is>
          <t>1982</t>
        </is>
      </c>
      <c r="Q13" t="inlineStr">
        <is>
          <t>eng</t>
        </is>
      </c>
      <c r="R13" t="inlineStr">
        <is>
          <t>inu</t>
        </is>
      </c>
      <c r="S13" t="inlineStr">
        <is>
          <t>The Glasgow edition of the works and correspondence of Adam Smith ; v. 5</t>
        </is>
      </c>
      <c r="T13" t="inlineStr">
        <is>
          <t xml:space="preserve">K  </t>
        </is>
      </c>
      <c r="U13" t="n">
        <v>3</v>
      </c>
      <c r="V13" t="n">
        <v>3</v>
      </c>
      <c r="W13" t="inlineStr">
        <is>
          <t>2003-06-09</t>
        </is>
      </c>
      <c r="X13" t="inlineStr">
        <is>
          <t>2003-06-09</t>
        </is>
      </c>
      <c r="Y13" t="inlineStr">
        <is>
          <t>1992-09-28</t>
        </is>
      </c>
      <c r="Z13" t="inlineStr">
        <is>
          <t>1992-09-28</t>
        </is>
      </c>
      <c r="AA13" t="n">
        <v>328</v>
      </c>
      <c r="AB13" t="n">
        <v>292</v>
      </c>
      <c r="AC13" t="n">
        <v>643</v>
      </c>
      <c r="AD13" t="n">
        <v>1</v>
      </c>
      <c r="AE13" t="n">
        <v>3</v>
      </c>
      <c r="AF13" t="n">
        <v>16</v>
      </c>
      <c r="AG13" t="n">
        <v>45</v>
      </c>
      <c r="AH13" t="n">
        <v>5</v>
      </c>
      <c r="AI13" t="n">
        <v>7</v>
      </c>
      <c r="AJ13" t="n">
        <v>2</v>
      </c>
      <c r="AK13" t="n">
        <v>6</v>
      </c>
      <c r="AL13" t="n">
        <v>6</v>
      </c>
      <c r="AM13" t="n">
        <v>14</v>
      </c>
      <c r="AN13" t="n">
        <v>0</v>
      </c>
      <c r="AO13" t="n">
        <v>1</v>
      </c>
      <c r="AP13" t="n">
        <v>5</v>
      </c>
      <c r="AQ13" t="n">
        <v>22</v>
      </c>
      <c r="AR13" t="inlineStr">
        <is>
          <t>No</t>
        </is>
      </c>
      <c r="AS13" t="inlineStr">
        <is>
          <t>No</t>
        </is>
      </c>
      <c r="AU13">
        <f>HYPERLINK("https://creighton-primo.hosted.exlibrisgroup.com/primo-explore/search?tab=default_tab&amp;search_scope=EVERYTHING&amp;vid=01CRU&amp;lang=en_US&amp;offset=0&amp;query=any,contains,991005213059702656","Catalog Record")</f>
        <v/>
      </c>
      <c r="AV13">
        <f>HYPERLINK("http://www.worldcat.org/oclc/8171041","WorldCat Record")</f>
        <v/>
      </c>
      <c r="AW13" t="inlineStr">
        <is>
          <t>416235:eng</t>
        </is>
      </c>
      <c r="AX13" t="inlineStr">
        <is>
          <t>8171041</t>
        </is>
      </c>
      <c r="AY13" t="inlineStr">
        <is>
          <t>991005213059702656</t>
        </is>
      </c>
      <c r="AZ13" t="inlineStr">
        <is>
          <t>991005213059702656</t>
        </is>
      </c>
      <c r="BA13" t="inlineStr">
        <is>
          <t>2256948960002656</t>
        </is>
      </c>
      <c r="BB13" t="inlineStr">
        <is>
          <t>BOOK</t>
        </is>
      </c>
      <c r="BD13" t="inlineStr">
        <is>
          <t>9780865970113</t>
        </is>
      </c>
      <c r="BE13" t="inlineStr">
        <is>
          <t>32285001321347</t>
        </is>
      </c>
      <c r="BF13" t="inlineStr">
        <is>
          <t>893507785</t>
        </is>
      </c>
    </row>
    <row r="14">
      <c r="B14" t="inlineStr">
        <is>
          <t>CURAL</t>
        </is>
      </c>
      <c r="C14" t="inlineStr">
        <is>
          <t>SHELVES</t>
        </is>
      </c>
      <c r="D14" t="inlineStr">
        <is>
          <t>K235 .K43 1985</t>
        </is>
      </c>
      <c r="E14" t="inlineStr">
        <is>
          <t>0                      K  0235000K  43          1985</t>
        </is>
      </c>
      <c r="F14" t="inlineStr">
        <is>
          <t>The ivory tower : essays in philosophy and public policy / Anthony Kenny.</t>
        </is>
      </c>
      <c r="H14" t="inlineStr">
        <is>
          <t>No</t>
        </is>
      </c>
      <c r="I14" t="inlineStr">
        <is>
          <t>1</t>
        </is>
      </c>
      <c r="J14" t="inlineStr">
        <is>
          <t>No</t>
        </is>
      </c>
      <c r="K14" t="inlineStr">
        <is>
          <t>No</t>
        </is>
      </c>
      <c r="L14" t="inlineStr">
        <is>
          <t>0</t>
        </is>
      </c>
      <c r="M14" t="inlineStr">
        <is>
          <t>Kenny, Anthony, 1931-</t>
        </is>
      </c>
      <c r="N14" t="inlineStr">
        <is>
          <t>Oxford, UK ; New York, NY, USA : B. Blackwell, 1985.</t>
        </is>
      </c>
      <c r="O14" t="inlineStr">
        <is>
          <t>1985</t>
        </is>
      </c>
      <c r="Q14" t="inlineStr">
        <is>
          <t>eng</t>
        </is>
      </c>
      <c r="R14" t="inlineStr">
        <is>
          <t>enk</t>
        </is>
      </c>
      <c r="T14" t="inlineStr">
        <is>
          <t xml:space="preserve">K  </t>
        </is>
      </c>
      <c r="U14" t="n">
        <v>3</v>
      </c>
      <c r="V14" t="n">
        <v>3</v>
      </c>
      <c r="W14" t="inlineStr">
        <is>
          <t>2007-10-02</t>
        </is>
      </c>
      <c r="X14" t="inlineStr">
        <is>
          <t>2007-10-02</t>
        </is>
      </c>
      <c r="Y14" t="inlineStr">
        <is>
          <t>1992-06-11</t>
        </is>
      </c>
      <c r="Z14" t="inlineStr">
        <is>
          <t>1992-06-11</t>
        </is>
      </c>
      <c r="AA14" t="n">
        <v>705</v>
      </c>
      <c r="AB14" t="n">
        <v>550</v>
      </c>
      <c r="AC14" t="n">
        <v>555</v>
      </c>
      <c r="AD14" t="n">
        <v>6</v>
      </c>
      <c r="AE14" t="n">
        <v>6</v>
      </c>
      <c r="AF14" t="n">
        <v>34</v>
      </c>
      <c r="AG14" t="n">
        <v>34</v>
      </c>
      <c r="AH14" t="n">
        <v>9</v>
      </c>
      <c r="AI14" t="n">
        <v>9</v>
      </c>
      <c r="AJ14" t="n">
        <v>9</v>
      </c>
      <c r="AK14" t="n">
        <v>9</v>
      </c>
      <c r="AL14" t="n">
        <v>15</v>
      </c>
      <c r="AM14" t="n">
        <v>15</v>
      </c>
      <c r="AN14" t="n">
        <v>4</v>
      </c>
      <c r="AO14" t="n">
        <v>4</v>
      </c>
      <c r="AP14" t="n">
        <v>5</v>
      </c>
      <c r="AQ14" t="n">
        <v>5</v>
      </c>
      <c r="AR14" t="inlineStr">
        <is>
          <t>No</t>
        </is>
      </c>
      <c r="AS14" t="inlineStr">
        <is>
          <t>No</t>
        </is>
      </c>
      <c r="AU14">
        <f>HYPERLINK("https://creighton-primo.hosted.exlibrisgroup.com/primo-explore/search?tab=default_tab&amp;search_scope=EVERYTHING&amp;vid=01CRU&amp;lang=en_US&amp;offset=0&amp;query=any,contains,991000592989702656","Catalog Record")</f>
        <v/>
      </c>
      <c r="AV14">
        <f>HYPERLINK("http://www.worldcat.org/oclc/11786121","WorldCat Record")</f>
        <v/>
      </c>
      <c r="AW14" t="inlineStr">
        <is>
          <t>792254744:eng</t>
        </is>
      </c>
      <c r="AX14" t="inlineStr">
        <is>
          <t>11786121</t>
        </is>
      </c>
      <c r="AY14" t="inlineStr">
        <is>
          <t>991000592989702656</t>
        </is>
      </c>
      <c r="AZ14" t="inlineStr">
        <is>
          <t>991000592989702656</t>
        </is>
      </c>
      <c r="BA14" t="inlineStr">
        <is>
          <t>2269262650002656</t>
        </is>
      </c>
      <c r="BB14" t="inlineStr">
        <is>
          <t>BOOK</t>
        </is>
      </c>
      <c r="BD14" t="inlineStr">
        <is>
          <t>9780631139850</t>
        </is>
      </c>
      <c r="BE14" t="inlineStr">
        <is>
          <t>32285001170371</t>
        </is>
      </c>
      <c r="BF14" t="inlineStr">
        <is>
          <t>893601882</t>
        </is>
      </c>
    </row>
    <row r="15">
      <c r="B15" t="inlineStr">
        <is>
          <t>CURAL</t>
        </is>
      </c>
      <c r="C15" t="inlineStr">
        <is>
          <t>SHELVES</t>
        </is>
      </c>
      <c r="D15" t="inlineStr">
        <is>
          <t>K235 .L39</t>
        </is>
      </c>
      <c r="E15" t="inlineStr">
        <is>
          <t>0                      K  0235000L  39</t>
        </is>
      </c>
      <c r="F15" t="inlineStr">
        <is>
          <t>Law, morality, and society : essays in honour of H. L. A. Hart / edited by P. M. S. Hacker and J. Raz.</t>
        </is>
      </c>
      <c r="H15" t="inlineStr">
        <is>
          <t>No</t>
        </is>
      </c>
      <c r="I15" t="inlineStr">
        <is>
          <t>1</t>
        </is>
      </c>
      <c r="J15" t="inlineStr">
        <is>
          <t>Yes</t>
        </is>
      </c>
      <c r="K15" t="inlineStr">
        <is>
          <t>No</t>
        </is>
      </c>
      <c r="L15" t="inlineStr">
        <is>
          <t>0</t>
        </is>
      </c>
      <c r="N15" t="inlineStr">
        <is>
          <t>Oxford : Clarendon Press, 1977, 1979 printing.</t>
        </is>
      </c>
      <c r="O15" t="inlineStr">
        <is>
          <t>1977</t>
        </is>
      </c>
      <c r="Q15" t="inlineStr">
        <is>
          <t>eng</t>
        </is>
      </c>
      <c r="R15" t="inlineStr">
        <is>
          <t>enk</t>
        </is>
      </c>
      <c r="T15" t="inlineStr">
        <is>
          <t xml:space="preserve">K  </t>
        </is>
      </c>
      <c r="U15" t="n">
        <v>7</v>
      </c>
      <c r="V15" t="n">
        <v>9</v>
      </c>
      <c r="W15" t="inlineStr">
        <is>
          <t>2005-04-14</t>
        </is>
      </c>
      <c r="X15" t="inlineStr">
        <is>
          <t>2005-04-14</t>
        </is>
      </c>
      <c r="Y15" t="inlineStr">
        <is>
          <t>1992-06-11</t>
        </is>
      </c>
      <c r="Z15" t="inlineStr">
        <is>
          <t>1994-09-30</t>
        </is>
      </c>
      <c r="AA15" t="n">
        <v>670</v>
      </c>
      <c r="AB15" t="n">
        <v>467</v>
      </c>
      <c r="AC15" t="n">
        <v>503</v>
      </c>
      <c r="AD15" t="n">
        <v>4</v>
      </c>
      <c r="AE15" t="n">
        <v>5</v>
      </c>
      <c r="AF15" t="n">
        <v>42</v>
      </c>
      <c r="AG15" t="n">
        <v>45</v>
      </c>
      <c r="AH15" t="n">
        <v>7</v>
      </c>
      <c r="AI15" t="n">
        <v>7</v>
      </c>
      <c r="AJ15" t="n">
        <v>4</v>
      </c>
      <c r="AK15" t="n">
        <v>4</v>
      </c>
      <c r="AL15" t="n">
        <v>15</v>
      </c>
      <c r="AM15" t="n">
        <v>15</v>
      </c>
      <c r="AN15" t="n">
        <v>1</v>
      </c>
      <c r="AO15" t="n">
        <v>2</v>
      </c>
      <c r="AP15" t="n">
        <v>21</v>
      </c>
      <c r="AQ15" t="n">
        <v>23</v>
      </c>
      <c r="AR15" t="inlineStr">
        <is>
          <t>No</t>
        </is>
      </c>
      <c r="AS15" t="inlineStr">
        <is>
          <t>Yes</t>
        </is>
      </c>
      <c r="AT15">
        <f>HYPERLINK("http://catalog.hathitrust.org/Record/000027354","HathiTrust Record")</f>
        <v/>
      </c>
      <c r="AU15">
        <f>HYPERLINK("https://creighton-primo.hosted.exlibrisgroup.com/primo-explore/search?tab=default_tab&amp;search_scope=EVERYTHING&amp;vid=01CRU&amp;lang=en_US&amp;offset=0&amp;query=any,contains,991001778179702656","Catalog Record")</f>
        <v/>
      </c>
      <c r="AV15">
        <f>HYPERLINK("http://www.worldcat.org/oclc/3011315","WorldCat Record")</f>
        <v/>
      </c>
      <c r="AW15" t="inlineStr">
        <is>
          <t>808945824:eng</t>
        </is>
      </c>
      <c r="AX15" t="inlineStr">
        <is>
          <t>3011315</t>
        </is>
      </c>
      <c r="AY15" t="inlineStr">
        <is>
          <t>991001778179702656</t>
        </is>
      </c>
      <c r="AZ15" t="inlineStr">
        <is>
          <t>991001778179702656</t>
        </is>
      </c>
      <c r="BA15" t="inlineStr">
        <is>
          <t>2269306560002656</t>
        </is>
      </c>
      <c r="BB15" t="inlineStr">
        <is>
          <t>BOOK</t>
        </is>
      </c>
      <c r="BD15" t="inlineStr">
        <is>
          <t>9780198245575</t>
        </is>
      </c>
      <c r="BE15" t="inlineStr">
        <is>
          <t>32285001170389</t>
        </is>
      </c>
      <c r="BF15" t="inlineStr">
        <is>
          <t>893626826</t>
        </is>
      </c>
    </row>
    <row r="16">
      <c r="B16" t="inlineStr">
        <is>
          <t>CURAL</t>
        </is>
      </c>
      <c r="C16" t="inlineStr">
        <is>
          <t>SHELVES</t>
        </is>
      </c>
      <c r="D16" t="inlineStr">
        <is>
          <t>K237 .S57 1989</t>
        </is>
      </c>
      <c r="E16" t="inlineStr">
        <is>
          <t>0                      K  0237000S  57          1989</t>
        </is>
      </c>
      <c r="F16" t="inlineStr">
        <is>
          <t>What is law? : the differing theories of jurisprudence / by Surya Prakash Sinha.</t>
        </is>
      </c>
      <c r="H16" t="inlineStr">
        <is>
          <t>No</t>
        </is>
      </c>
      <c r="I16" t="inlineStr">
        <is>
          <t>1</t>
        </is>
      </c>
      <c r="J16" t="inlineStr">
        <is>
          <t>No</t>
        </is>
      </c>
      <c r="K16" t="inlineStr">
        <is>
          <t>No</t>
        </is>
      </c>
      <c r="L16" t="inlineStr">
        <is>
          <t>0</t>
        </is>
      </c>
      <c r="M16" t="inlineStr">
        <is>
          <t>Sinha, S. Prakash.</t>
        </is>
      </c>
      <c r="N16" t="inlineStr">
        <is>
          <t>New York : Paragon House, 1989.</t>
        </is>
      </c>
      <c r="O16" t="inlineStr">
        <is>
          <t>1989</t>
        </is>
      </c>
      <c r="P16" t="inlineStr">
        <is>
          <t>1st ed.</t>
        </is>
      </c>
      <c r="Q16" t="inlineStr">
        <is>
          <t>eng</t>
        </is>
      </c>
      <c r="R16" t="inlineStr">
        <is>
          <t>nyu</t>
        </is>
      </c>
      <c r="T16" t="inlineStr">
        <is>
          <t xml:space="preserve">K  </t>
        </is>
      </c>
      <c r="U16" t="n">
        <v>6</v>
      </c>
      <c r="V16" t="n">
        <v>6</v>
      </c>
      <c r="W16" t="inlineStr">
        <is>
          <t>2005-09-27</t>
        </is>
      </c>
      <c r="X16" t="inlineStr">
        <is>
          <t>2005-09-27</t>
        </is>
      </c>
      <c r="Y16" t="inlineStr">
        <is>
          <t>1991-10-31</t>
        </is>
      </c>
      <c r="Z16" t="inlineStr">
        <is>
          <t>1991-10-31</t>
        </is>
      </c>
      <c r="AA16" t="n">
        <v>265</v>
      </c>
      <c r="AB16" t="n">
        <v>225</v>
      </c>
      <c r="AC16" t="n">
        <v>231</v>
      </c>
      <c r="AD16" t="n">
        <v>2</v>
      </c>
      <c r="AE16" t="n">
        <v>2</v>
      </c>
      <c r="AF16" t="n">
        <v>27</v>
      </c>
      <c r="AG16" t="n">
        <v>27</v>
      </c>
      <c r="AH16" t="n">
        <v>2</v>
      </c>
      <c r="AI16" t="n">
        <v>2</v>
      </c>
      <c r="AJ16" t="n">
        <v>4</v>
      </c>
      <c r="AK16" t="n">
        <v>4</v>
      </c>
      <c r="AL16" t="n">
        <v>6</v>
      </c>
      <c r="AM16" t="n">
        <v>6</v>
      </c>
      <c r="AN16" t="n">
        <v>0</v>
      </c>
      <c r="AO16" t="n">
        <v>0</v>
      </c>
      <c r="AP16" t="n">
        <v>19</v>
      </c>
      <c r="AQ16" t="n">
        <v>19</v>
      </c>
      <c r="AR16" t="inlineStr">
        <is>
          <t>No</t>
        </is>
      </c>
      <c r="AS16" t="inlineStr">
        <is>
          <t>No</t>
        </is>
      </c>
      <c r="AU16">
        <f>HYPERLINK("https://creighton-primo.hosted.exlibrisgroup.com/primo-explore/search?tab=default_tab&amp;search_scope=EVERYTHING&amp;vid=01CRU&amp;lang=en_US&amp;offset=0&amp;query=any,contains,991001444869702656","Catalog Record")</f>
        <v/>
      </c>
      <c r="AV16">
        <f>HYPERLINK("http://www.worldcat.org/oclc/19268251","WorldCat Record")</f>
        <v/>
      </c>
      <c r="AW16" t="inlineStr">
        <is>
          <t>325842081:eng</t>
        </is>
      </c>
      <c r="AX16" t="inlineStr">
        <is>
          <t>19268251</t>
        </is>
      </c>
      <c r="AY16" t="inlineStr">
        <is>
          <t>991001444869702656</t>
        </is>
      </c>
      <c r="AZ16" t="inlineStr">
        <is>
          <t>991001444869702656</t>
        </is>
      </c>
      <c r="BA16" t="inlineStr">
        <is>
          <t>2267933320002656</t>
        </is>
      </c>
      <c r="BB16" t="inlineStr">
        <is>
          <t>BOOK</t>
        </is>
      </c>
      <c r="BD16" t="inlineStr">
        <is>
          <t>9781557781925</t>
        </is>
      </c>
      <c r="BE16" t="inlineStr">
        <is>
          <t>32285000728716</t>
        </is>
      </c>
      <c r="BF16" t="inlineStr">
        <is>
          <t>893420325</t>
        </is>
      </c>
    </row>
    <row r="17">
      <c r="B17" t="inlineStr">
        <is>
          <t>CURAL</t>
        </is>
      </c>
      <c r="C17" t="inlineStr">
        <is>
          <t>SHELVES</t>
        </is>
      </c>
      <c r="D17" t="inlineStr">
        <is>
          <t>K2390 .R35 1982</t>
        </is>
      </c>
      <c r="E17" t="inlineStr">
        <is>
          <t>0                      K  2390000R  35          1982</t>
        </is>
      </c>
      <c r="F17" t="inlineStr">
        <is>
          <t>The art and science of negotiation / Howard Raiffa.</t>
        </is>
      </c>
      <c r="H17" t="inlineStr">
        <is>
          <t>No</t>
        </is>
      </c>
      <c r="I17" t="inlineStr">
        <is>
          <t>1</t>
        </is>
      </c>
      <c r="J17" t="inlineStr">
        <is>
          <t>Yes</t>
        </is>
      </c>
      <c r="K17" t="inlineStr">
        <is>
          <t>No</t>
        </is>
      </c>
      <c r="L17" t="inlineStr">
        <is>
          <t>0</t>
        </is>
      </c>
      <c r="M17" t="inlineStr">
        <is>
          <t>Raiffa, Howard, 1924-2016.</t>
        </is>
      </c>
      <c r="N17" t="inlineStr">
        <is>
          <t>Cambridge, Mass. : Belknap Press of Harvard University Press, 1982.</t>
        </is>
      </c>
      <c r="O17" t="inlineStr">
        <is>
          <t>1982</t>
        </is>
      </c>
      <c r="Q17" t="inlineStr">
        <is>
          <t>eng</t>
        </is>
      </c>
      <c r="R17" t="inlineStr">
        <is>
          <t>mau</t>
        </is>
      </c>
      <c r="T17" t="inlineStr">
        <is>
          <t xml:space="preserve">K  </t>
        </is>
      </c>
      <c r="U17" t="n">
        <v>10</v>
      </c>
      <c r="V17" t="n">
        <v>10</v>
      </c>
      <c r="W17" t="inlineStr">
        <is>
          <t>2009-03-19</t>
        </is>
      </c>
      <c r="X17" t="inlineStr">
        <is>
          <t>2009-03-19</t>
        </is>
      </c>
      <c r="Y17" t="inlineStr">
        <is>
          <t>1990-11-13</t>
        </is>
      </c>
      <c r="Z17" t="inlineStr">
        <is>
          <t>2011-05-12</t>
        </is>
      </c>
      <c r="AA17" t="n">
        <v>1344</v>
      </c>
      <c r="AB17" t="n">
        <v>1061</v>
      </c>
      <c r="AC17" t="n">
        <v>1076</v>
      </c>
      <c r="AD17" t="n">
        <v>6</v>
      </c>
      <c r="AE17" t="n">
        <v>6</v>
      </c>
      <c r="AF17" t="n">
        <v>61</v>
      </c>
      <c r="AG17" t="n">
        <v>62</v>
      </c>
      <c r="AH17" t="n">
        <v>18</v>
      </c>
      <c r="AI17" t="n">
        <v>18</v>
      </c>
      <c r="AJ17" t="n">
        <v>7</v>
      </c>
      <c r="AK17" t="n">
        <v>8</v>
      </c>
      <c r="AL17" t="n">
        <v>23</v>
      </c>
      <c r="AM17" t="n">
        <v>23</v>
      </c>
      <c r="AN17" t="n">
        <v>3</v>
      </c>
      <c r="AO17" t="n">
        <v>3</v>
      </c>
      <c r="AP17" t="n">
        <v>21</v>
      </c>
      <c r="AQ17" t="n">
        <v>21</v>
      </c>
      <c r="AR17" t="inlineStr">
        <is>
          <t>No</t>
        </is>
      </c>
      <c r="AS17" t="inlineStr">
        <is>
          <t>Yes</t>
        </is>
      </c>
      <c r="AT17">
        <f>HYPERLINK("http://catalog.hathitrust.org/Record/000192505","HathiTrust Record")</f>
        <v/>
      </c>
      <c r="AU17">
        <f>HYPERLINK("https://creighton-primo.hosted.exlibrisgroup.com/primo-explore/search?tab=default_tab&amp;search_scope=EVERYTHING&amp;vid=01CRU&amp;lang=en_US&amp;offset=0&amp;query=any,contains,991001675779702656","Catalog Record")</f>
        <v/>
      </c>
      <c r="AV17">
        <f>HYPERLINK("http://www.worldcat.org/oclc/8409383","WorldCat Record")</f>
        <v/>
      </c>
      <c r="AW17" t="inlineStr">
        <is>
          <t>20878626:eng</t>
        </is>
      </c>
      <c r="AX17" t="inlineStr">
        <is>
          <t>8409383</t>
        </is>
      </c>
      <c r="AY17" t="inlineStr">
        <is>
          <t>991001675779702656</t>
        </is>
      </c>
      <c r="AZ17" t="inlineStr">
        <is>
          <t>991001675779702656</t>
        </is>
      </c>
      <c r="BA17" t="inlineStr">
        <is>
          <t>2271223880002656</t>
        </is>
      </c>
      <c r="BB17" t="inlineStr">
        <is>
          <t>BOOK</t>
        </is>
      </c>
      <c r="BD17" t="inlineStr">
        <is>
          <t>9780674048126</t>
        </is>
      </c>
      <c r="BE17" t="inlineStr">
        <is>
          <t>32285000314756</t>
        </is>
      </c>
      <c r="BF17" t="inlineStr">
        <is>
          <t>893328288</t>
        </is>
      </c>
    </row>
    <row r="18">
      <c r="B18" t="inlineStr">
        <is>
          <t>CURAL</t>
        </is>
      </c>
      <c r="C18" t="inlineStr">
        <is>
          <t>SHELVES</t>
        </is>
      </c>
      <c r="D18" t="inlineStr">
        <is>
          <t>K3161 .A3 1983b</t>
        </is>
      </c>
      <c r="E18" t="inlineStr">
        <is>
          <t>0                      K  3161000A  3           1983b</t>
        </is>
      </c>
      <c r="F18" t="inlineStr">
        <is>
          <t>Constitution makers on constitution making : the experience of eight nations / edited by Robert A. Goldwin &amp; Art Kaufman.</t>
        </is>
      </c>
      <c r="H18" t="inlineStr">
        <is>
          <t>No</t>
        </is>
      </c>
      <c r="I18" t="inlineStr">
        <is>
          <t>1</t>
        </is>
      </c>
      <c r="J18" t="inlineStr">
        <is>
          <t>No</t>
        </is>
      </c>
      <c r="K18" t="inlineStr">
        <is>
          <t>No</t>
        </is>
      </c>
      <c r="L18" t="inlineStr">
        <is>
          <t>0</t>
        </is>
      </c>
      <c r="N18" t="inlineStr">
        <is>
          <t>Washington, D.C. : American Enterprise Institute for Public Policy Research ; Lanham, Md. : Distributed by arrangement with UPA, c1988.</t>
        </is>
      </c>
      <c r="O18" t="inlineStr">
        <is>
          <t>1988</t>
        </is>
      </c>
      <c r="Q18" t="inlineStr">
        <is>
          <t>eng</t>
        </is>
      </c>
      <c r="R18" t="inlineStr">
        <is>
          <t>dcu</t>
        </is>
      </c>
      <c r="S18" t="inlineStr">
        <is>
          <t>AEI studies ; 479</t>
        </is>
      </c>
      <c r="T18" t="inlineStr">
        <is>
          <t xml:space="preserve">K  </t>
        </is>
      </c>
      <c r="U18" t="n">
        <v>1</v>
      </c>
      <c r="V18" t="n">
        <v>1</v>
      </c>
      <c r="W18" t="inlineStr">
        <is>
          <t>2009-03-04</t>
        </is>
      </c>
      <c r="X18" t="inlineStr">
        <is>
          <t>2009-03-04</t>
        </is>
      </c>
      <c r="Y18" t="inlineStr">
        <is>
          <t>1989-11-16</t>
        </is>
      </c>
      <c r="Z18" t="inlineStr">
        <is>
          <t>1989-11-16</t>
        </is>
      </c>
      <c r="AA18" t="n">
        <v>418</v>
      </c>
      <c r="AB18" t="n">
        <v>366</v>
      </c>
      <c r="AC18" t="n">
        <v>373</v>
      </c>
      <c r="AD18" t="n">
        <v>3</v>
      </c>
      <c r="AE18" t="n">
        <v>3</v>
      </c>
      <c r="AF18" t="n">
        <v>23</v>
      </c>
      <c r="AG18" t="n">
        <v>23</v>
      </c>
      <c r="AH18" t="n">
        <v>5</v>
      </c>
      <c r="AI18" t="n">
        <v>5</v>
      </c>
      <c r="AJ18" t="n">
        <v>2</v>
      </c>
      <c r="AK18" t="n">
        <v>2</v>
      </c>
      <c r="AL18" t="n">
        <v>6</v>
      </c>
      <c r="AM18" t="n">
        <v>6</v>
      </c>
      <c r="AN18" t="n">
        <v>2</v>
      </c>
      <c r="AO18" t="n">
        <v>2</v>
      </c>
      <c r="AP18" t="n">
        <v>11</v>
      </c>
      <c r="AQ18" t="n">
        <v>11</v>
      </c>
      <c r="AR18" t="inlineStr">
        <is>
          <t>No</t>
        </is>
      </c>
      <c r="AS18" t="inlineStr">
        <is>
          <t>Yes</t>
        </is>
      </c>
      <c r="AT18">
        <f>HYPERLINK("http://catalog.hathitrust.org/Record/001292927","HathiTrust Record")</f>
        <v/>
      </c>
      <c r="AU18">
        <f>HYPERLINK("https://creighton-primo.hosted.exlibrisgroup.com/primo-explore/search?tab=default_tab&amp;search_scope=EVERYTHING&amp;vid=01CRU&amp;lang=en_US&amp;offset=0&amp;query=any,contains,991001289839702656","Catalog Record")</f>
        <v/>
      </c>
      <c r="AV18">
        <f>HYPERLINK("http://www.worldcat.org/oclc/17982875","WorldCat Record")</f>
        <v/>
      </c>
      <c r="AW18" t="inlineStr">
        <is>
          <t>836732219:eng</t>
        </is>
      </c>
      <c r="AX18" t="inlineStr">
        <is>
          <t>17982875</t>
        </is>
      </c>
      <c r="AY18" t="inlineStr">
        <is>
          <t>991001289839702656</t>
        </is>
      </c>
      <c r="AZ18" t="inlineStr">
        <is>
          <t>991001289839702656</t>
        </is>
      </c>
      <c r="BA18" t="inlineStr">
        <is>
          <t>2259238190002656</t>
        </is>
      </c>
      <c r="BB18" t="inlineStr">
        <is>
          <t>BOOK</t>
        </is>
      </c>
      <c r="BD18" t="inlineStr">
        <is>
          <t>9780844736662</t>
        </is>
      </c>
      <c r="BE18" t="inlineStr">
        <is>
          <t>32285000012913</t>
        </is>
      </c>
      <c r="BF18" t="inlineStr">
        <is>
          <t>893885214</t>
        </is>
      </c>
    </row>
    <row r="19">
      <c r="B19" t="inlineStr">
        <is>
          <t>CURAL</t>
        </is>
      </c>
      <c r="C19" t="inlineStr">
        <is>
          <t>SHELVES</t>
        </is>
      </c>
      <c r="D19" t="inlineStr">
        <is>
          <t>K3165 .C6</t>
        </is>
      </c>
      <c r="E19" t="inlineStr">
        <is>
          <t>0                      K  3165000C  6</t>
        </is>
      </c>
      <c r="F19" t="inlineStr">
        <is>
          <t>Constitutionalism / edited by J. Roland Pennock and John W. Chapman.</t>
        </is>
      </c>
      <c r="H19" t="inlineStr">
        <is>
          <t>No</t>
        </is>
      </c>
      <c r="I19" t="inlineStr">
        <is>
          <t>1</t>
        </is>
      </c>
      <c r="J19" t="inlineStr">
        <is>
          <t>Yes</t>
        </is>
      </c>
      <c r="K19" t="inlineStr">
        <is>
          <t>No</t>
        </is>
      </c>
      <c r="L19" t="inlineStr">
        <is>
          <t>0</t>
        </is>
      </c>
      <c r="N19" t="inlineStr">
        <is>
          <t>New York : New York University Press, 1979.</t>
        </is>
      </c>
      <c r="O19" t="inlineStr">
        <is>
          <t>1979</t>
        </is>
      </c>
      <c r="Q19" t="inlineStr">
        <is>
          <t>eng</t>
        </is>
      </c>
      <c r="R19" t="inlineStr">
        <is>
          <t>nyu</t>
        </is>
      </c>
      <c r="S19" t="inlineStr">
        <is>
          <t>Nomos ; 20</t>
        </is>
      </c>
      <c r="T19" t="inlineStr">
        <is>
          <t xml:space="preserve">K  </t>
        </is>
      </c>
      <c r="U19" t="n">
        <v>2</v>
      </c>
      <c r="V19" t="n">
        <v>2</v>
      </c>
      <c r="W19" t="inlineStr">
        <is>
          <t>1998-04-04</t>
        </is>
      </c>
      <c r="X19" t="inlineStr">
        <is>
          <t>1998-04-04</t>
        </is>
      </c>
      <c r="Y19" t="inlineStr">
        <is>
          <t>1992-06-12</t>
        </is>
      </c>
      <c r="Z19" t="inlineStr">
        <is>
          <t>2004-07-23</t>
        </is>
      </c>
      <c r="AA19" t="n">
        <v>648</v>
      </c>
      <c r="AB19" t="n">
        <v>551</v>
      </c>
      <c r="AC19" t="n">
        <v>558</v>
      </c>
      <c r="AD19" t="n">
        <v>3</v>
      </c>
      <c r="AE19" t="n">
        <v>3</v>
      </c>
      <c r="AF19" t="n">
        <v>41</v>
      </c>
      <c r="AG19" t="n">
        <v>41</v>
      </c>
      <c r="AH19" t="n">
        <v>8</v>
      </c>
      <c r="AI19" t="n">
        <v>8</v>
      </c>
      <c r="AJ19" t="n">
        <v>6</v>
      </c>
      <c r="AK19" t="n">
        <v>6</v>
      </c>
      <c r="AL19" t="n">
        <v>16</v>
      </c>
      <c r="AM19" t="n">
        <v>16</v>
      </c>
      <c r="AN19" t="n">
        <v>1</v>
      </c>
      <c r="AO19" t="n">
        <v>1</v>
      </c>
      <c r="AP19" t="n">
        <v>18</v>
      </c>
      <c r="AQ19" t="n">
        <v>18</v>
      </c>
      <c r="AR19" t="inlineStr">
        <is>
          <t>No</t>
        </is>
      </c>
      <c r="AS19" t="inlineStr">
        <is>
          <t>No</t>
        </is>
      </c>
      <c r="AU19">
        <f>HYPERLINK("https://creighton-primo.hosted.exlibrisgroup.com/primo-explore/search?tab=default_tab&amp;search_scope=EVERYTHING&amp;vid=01CRU&amp;lang=en_US&amp;offset=0&amp;query=any,contains,991001662669702656","Catalog Record")</f>
        <v/>
      </c>
      <c r="AV19">
        <f>HYPERLINK("http://www.worldcat.org/oclc/4135926","WorldCat Record")</f>
        <v/>
      </c>
      <c r="AW19" t="inlineStr">
        <is>
          <t>496648398:eng</t>
        </is>
      </c>
      <c r="AX19" t="inlineStr">
        <is>
          <t>4135926</t>
        </is>
      </c>
      <c r="AY19" t="inlineStr">
        <is>
          <t>991001662669702656</t>
        </is>
      </c>
      <c r="AZ19" t="inlineStr">
        <is>
          <t>991001662669702656</t>
        </is>
      </c>
      <c r="BA19" t="inlineStr">
        <is>
          <t>2254802000002656</t>
        </is>
      </c>
      <c r="BB19" t="inlineStr">
        <is>
          <t>BOOK</t>
        </is>
      </c>
      <c r="BD19" t="inlineStr">
        <is>
          <t>9780814765739</t>
        </is>
      </c>
      <c r="BE19" t="inlineStr">
        <is>
          <t>32285001171213</t>
        </is>
      </c>
      <c r="BF19" t="inlineStr">
        <is>
          <t>893439279</t>
        </is>
      </c>
    </row>
    <row r="20">
      <c r="B20" t="inlineStr">
        <is>
          <t>CURAL</t>
        </is>
      </c>
      <c r="C20" t="inlineStr">
        <is>
          <t>SHELVES</t>
        </is>
      </c>
      <c r="D20" t="inlineStr">
        <is>
          <t>K3171 .D99 1999</t>
        </is>
      </c>
      <c r="E20" t="inlineStr">
        <is>
          <t>0                      K  3171000D  99          1999</t>
        </is>
      </c>
      <c r="F20" t="inlineStr">
        <is>
          <t>Legality and legitimacy : Carl Schmitt, Hans Kelsen, and Hermann Heller in Weimar / David Dyzenhaus.</t>
        </is>
      </c>
      <c r="H20" t="inlineStr">
        <is>
          <t>No</t>
        </is>
      </c>
      <c r="I20" t="inlineStr">
        <is>
          <t>1</t>
        </is>
      </c>
      <c r="J20" t="inlineStr">
        <is>
          <t>No</t>
        </is>
      </c>
      <c r="K20" t="inlineStr">
        <is>
          <t>No</t>
        </is>
      </c>
      <c r="L20" t="inlineStr">
        <is>
          <t>0</t>
        </is>
      </c>
      <c r="M20" t="inlineStr">
        <is>
          <t>Dyzenhaus, David.</t>
        </is>
      </c>
      <c r="N20" t="inlineStr">
        <is>
          <t>Oxford : Clarendon Press ; New York : Oxford University Press, 1999, c1997.</t>
        </is>
      </c>
      <c r="O20" t="inlineStr">
        <is>
          <t>1999</t>
        </is>
      </c>
      <c r="Q20" t="inlineStr">
        <is>
          <t>eng</t>
        </is>
      </c>
      <c r="R20" t="inlineStr">
        <is>
          <t>enk</t>
        </is>
      </c>
      <c r="T20" t="inlineStr">
        <is>
          <t xml:space="preserve">K  </t>
        </is>
      </c>
      <c r="U20" t="n">
        <v>2</v>
      </c>
      <c r="V20" t="n">
        <v>2</v>
      </c>
      <c r="W20" t="inlineStr">
        <is>
          <t>2005-11-19</t>
        </is>
      </c>
      <c r="X20" t="inlineStr">
        <is>
          <t>2005-11-19</t>
        </is>
      </c>
      <c r="Y20" t="inlineStr">
        <is>
          <t>2000-11-09</t>
        </is>
      </c>
      <c r="Z20" t="inlineStr">
        <is>
          <t>2000-11-09</t>
        </is>
      </c>
      <c r="AA20" t="n">
        <v>264</v>
      </c>
      <c r="AB20" t="n">
        <v>191</v>
      </c>
      <c r="AC20" t="n">
        <v>260</v>
      </c>
      <c r="AD20" t="n">
        <v>2</v>
      </c>
      <c r="AE20" t="n">
        <v>2</v>
      </c>
      <c r="AF20" t="n">
        <v>15</v>
      </c>
      <c r="AG20" t="n">
        <v>19</v>
      </c>
      <c r="AH20" t="n">
        <v>0</v>
      </c>
      <c r="AI20" t="n">
        <v>1</v>
      </c>
      <c r="AJ20" t="n">
        <v>2</v>
      </c>
      <c r="AK20" t="n">
        <v>4</v>
      </c>
      <c r="AL20" t="n">
        <v>3</v>
      </c>
      <c r="AM20" t="n">
        <v>3</v>
      </c>
      <c r="AN20" t="n">
        <v>1</v>
      </c>
      <c r="AO20" t="n">
        <v>1</v>
      </c>
      <c r="AP20" t="n">
        <v>10</v>
      </c>
      <c r="AQ20" t="n">
        <v>11</v>
      </c>
      <c r="AR20" t="inlineStr">
        <is>
          <t>No</t>
        </is>
      </c>
      <c r="AS20" t="inlineStr">
        <is>
          <t>Yes</t>
        </is>
      </c>
      <c r="AT20">
        <f>HYPERLINK("http://catalog.hathitrust.org/Record/003945126","HathiTrust Record")</f>
        <v/>
      </c>
      <c r="AU20">
        <f>HYPERLINK("https://creighton-primo.hosted.exlibrisgroup.com/primo-explore/search?tab=default_tab&amp;search_scope=EVERYTHING&amp;vid=01CRU&amp;lang=en_US&amp;offset=0&amp;query=any,contains,991003308079702656","Catalog Record")</f>
        <v/>
      </c>
      <c r="AV20">
        <f>HYPERLINK("http://www.worldcat.org/oclc/36597790","WorldCat Record")</f>
        <v/>
      </c>
      <c r="AW20" t="inlineStr">
        <is>
          <t>836983677:eng</t>
        </is>
      </c>
      <c r="AX20" t="inlineStr">
        <is>
          <t>36597790</t>
        </is>
      </c>
      <c r="AY20" t="inlineStr">
        <is>
          <t>991003308079702656</t>
        </is>
      </c>
      <c r="AZ20" t="inlineStr">
        <is>
          <t>991003308079702656</t>
        </is>
      </c>
      <c r="BA20" t="inlineStr">
        <is>
          <t>2256890430002656</t>
        </is>
      </c>
      <c r="BB20" t="inlineStr">
        <is>
          <t>BOOK</t>
        </is>
      </c>
      <c r="BD20" t="inlineStr">
        <is>
          <t>9780198260622</t>
        </is>
      </c>
      <c r="BE20" t="inlineStr">
        <is>
          <t>32285004265061</t>
        </is>
      </c>
      <c r="BF20" t="inlineStr">
        <is>
          <t>893705101</t>
        </is>
      </c>
    </row>
    <row r="21">
      <c r="B21" t="inlineStr">
        <is>
          <t>CURAL</t>
        </is>
      </c>
      <c r="C21" t="inlineStr">
        <is>
          <t>SHELVES</t>
        </is>
      </c>
      <c r="D21" t="inlineStr">
        <is>
          <t>K3230.R45 P56 1995</t>
        </is>
      </c>
      <c r="E21" t="inlineStr">
        <is>
          <t>0                      K  3230000R  45                 P  56          1995</t>
        </is>
      </c>
      <c r="F21" t="inlineStr">
        <is>
          <t>Asylum : a moral dilemma / W. Gunther Plaut.</t>
        </is>
      </c>
      <c r="H21" t="inlineStr">
        <is>
          <t>No</t>
        </is>
      </c>
      <c r="I21" t="inlineStr">
        <is>
          <t>1</t>
        </is>
      </c>
      <c r="J21" t="inlineStr">
        <is>
          <t>No</t>
        </is>
      </c>
      <c r="K21" t="inlineStr">
        <is>
          <t>No</t>
        </is>
      </c>
      <c r="L21" t="inlineStr">
        <is>
          <t>0</t>
        </is>
      </c>
      <c r="M21" t="inlineStr">
        <is>
          <t>Plaut, W. Gunther, 1912-2012.</t>
        </is>
      </c>
      <c r="N21" t="inlineStr">
        <is>
          <t>Westport, Conn. : Praeger, 1995.</t>
        </is>
      </c>
      <c r="O21" t="inlineStr">
        <is>
          <t>1995</t>
        </is>
      </c>
      <c r="Q21" t="inlineStr">
        <is>
          <t>eng</t>
        </is>
      </c>
      <c r="R21" t="inlineStr">
        <is>
          <t>ctu</t>
        </is>
      </c>
      <c r="T21" t="inlineStr">
        <is>
          <t xml:space="preserve">K  </t>
        </is>
      </c>
      <c r="U21" t="n">
        <v>2</v>
      </c>
      <c r="V21" t="n">
        <v>2</v>
      </c>
      <c r="W21" t="inlineStr">
        <is>
          <t>2004-10-04</t>
        </is>
      </c>
      <c r="X21" t="inlineStr">
        <is>
          <t>2004-10-04</t>
        </is>
      </c>
      <c r="Y21" t="inlineStr">
        <is>
          <t>1996-01-10</t>
        </is>
      </c>
      <c r="Z21" t="inlineStr">
        <is>
          <t>1996-01-10</t>
        </is>
      </c>
      <c r="AA21" t="n">
        <v>363</v>
      </c>
      <c r="AB21" t="n">
        <v>287</v>
      </c>
      <c r="AC21" t="n">
        <v>310</v>
      </c>
      <c r="AD21" t="n">
        <v>2</v>
      </c>
      <c r="AE21" t="n">
        <v>2</v>
      </c>
      <c r="AF21" t="n">
        <v>19</v>
      </c>
      <c r="AG21" t="n">
        <v>22</v>
      </c>
      <c r="AH21" t="n">
        <v>3</v>
      </c>
      <c r="AI21" t="n">
        <v>4</v>
      </c>
      <c r="AJ21" t="n">
        <v>3</v>
      </c>
      <c r="AK21" t="n">
        <v>4</v>
      </c>
      <c r="AL21" t="n">
        <v>5</v>
      </c>
      <c r="AM21" t="n">
        <v>7</v>
      </c>
      <c r="AN21" t="n">
        <v>1</v>
      </c>
      <c r="AO21" t="n">
        <v>1</v>
      </c>
      <c r="AP21" t="n">
        <v>9</v>
      </c>
      <c r="AQ21" t="n">
        <v>9</v>
      </c>
      <c r="AR21" t="inlineStr">
        <is>
          <t>No</t>
        </is>
      </c>
      <c r="AS21" t="inlineStr">
        <is>
          <t>Yes</t>
        </is>
      </c>
      <c r="AT21">
        <f>HYPERLINK("http://catalog.hathitrust.org/Record/002999461","HathiTrust Record")</f>
        <v/>
      </c>
      <c r="AU21">
        <f>HYPERLINK("https://creighton-primo.hosted.exlibrisgroup.com/primo-explore/search?tab=default_tab&amp;search_scope=EVERYTHING&amp;vid=01CRU&amp;lang=en_US&amp;offset=0&amp;query=any,contains,991002452179702656","Catalog Record")</f>
        <v/>
      </c>
      <c r="AV21">
        <f>HYPERLINK("http://www.worldcat.org/oclc/31971135","WorldCat Record")</f>
        <v/>
      </c>
      <c r="AW21" t="inlineStr">
        <is>
          <t>2575254:eng</t>
        </is>
      </c>
      <c r="AX21" t="inlineStr">
        <is>
          <t>31971135</t>
        </is>
      </c>
      <c r="AY21" t="inlineStr">
        <is>
          <t>991002452179702656</t>
        </is>
      </c>
      <c r="AZ21" t="inlineStr">
        <is>
          <t>991002452179702656</t>
        </is>
      </c>
      <c r="BA21" t="inlineStr">
        <is>
          <t>2267571960002656</t>
        </is>
      </c>
      <c r="BB21" t="inlineStr">
        <is>
          <t>BOOK</t>
        </is>
      </c>
      <c r="BD21" t="inlineStr">
        <is>
          <t>9780275951955</t>
        </is>
      </c>
      <c r="BE21" t="inlineStr">
        <is>
          <t>32285002115946</t>
        </is>
      </c>
      <c r="BF21" t="inlineStr">
        <is>
          <t>893710304</t>
        </is>
      </c>
    </row>
    <row r="22">
      <c r="B22" t="inlineStr">
        <is>
          <t>CURAL</t>
        </is>
      </c>
      <c r="C22" t="inlineStr">
        <is>
          <t>SHELVES</t>
        </is>
      </c>
      <c r="D22" t="inlineStr">
        <is>
          <t>K3239.6 .W67 1975</t>
        </is>
      </c>
      <c r="E22" t="inlineStr">
        <is>
          <t>0                      K  3239600W  67          1975</t>
        </is>
      </c>
      <c r="F22" t="inlineStr">
        <is>
          <t>Equality and freedom, international and comparative jurisprudence : papers of the World Congress on Philosophy of Law and Social Philosophy, St. Louis, 24-29 August 1975 / edited by authorization of Internationale Vereinigung für Rechts- und Sozialphilosophie (IVR) by Gray Dorsey. --</t>
        </is>
      </c>
      <c r="G22" t="inlineStr">
        <is>
          <t>V. 3</t>
        </is>
      </c>
      <c r="H22" t="inlineStr">
        <is>
          <t>Yes</t>
        </is>
      </c>
      <c r="I22" t="inlineStr">
        <is>
          <t>1</t>
        </is>
      </c>
      <c r="J22" t="inlineStr">
        <is>
          <t>Yes</t>
        </is>
      </c>
      <c r="K22" t="inlineStr">
        <is>
          <t>No</t>
        </is>
      </c>
      <c r="L22" t="inlineStr">
        <is>
          <t>0</t>
        </is>
      </c>
      <c r="M22" t="inlineStr">
        <is>
          <t>World Congress on Philosophy of Law and Social Philosophy (7th : 1975 : Saint Louis, Mo.)</t>
        </is>
      </c>
      <c r="N22" t="inlineStr">
        <is>
          <t>Dobbs Ferry, N.Y. : Oceana Publications, 1977.</t>
        </is>
      </c>
      <c r="O22" t="inlineStr">
        <is>
          <t>1977</t>
        </is>
      </c>
      <c r="Q22" t="inlineStr">
        <is>
          <t>eng</t>
        </is>
      </c>
      <c r="R22" t="inlineStr">
        <is>
          <t>nyu</t>
        </is>
      </c>
      <c r="T22" t="inlineStr">
        <is>
          <t xml:space="preserve">K  </t>
        </is>
      </c>
      <c r="U22" t="n">
        <v>0</v>
      </c>
      <c r="V22" t="n">
        <v>1</v>
      </c>
      <c r="X22" t="inlineStr">
        <is>
          <t>2001-09-06</t>
        </is>
      </c>
      <c r="Y22" t="inlineStr">
        <is>
          <t>1992-06-12</t>
        </is>
      </c>
      <c r="Z22" t="inlineStr">
        <is>
          <t>1992-06-12</t>
        </is>
      </c>
      <c r="AA22" t="n">
        <v>269</v>
      </c>
      <c r="AB22" t="n">
        <v>187</v>
      </c>
      <c r="AC22" t="n">
        <v>189</v>
      </c>
      <c r="AD22" t="n">
        <v>1</v>
      </c>
      <c r="AE22" t="n">
        <v>1</v>
      </c>
      <c r="AF22" t="n">
        <v>20</v>
      </c>
      <c r="AG22" t="n">
        <v>20</v>
      </c>
      <c r="AH22" t="n">
        <v>1</v>
      </c>
      <c r="AI22" t="n">
        <v>1</v>
      </c>
      <c r="AJ22" t="n">
        <v>1</v>
      </c>
      <c r="AK22" t="n">
        <v>1</v>
      </c>
      <c r="AL22" t="n">
        <v>3</v>
      </c>
      <c r="AM22" t="n">
        <v>3</v>
      </c>
      <c r="AN22" t="n">
        <v>0</v>
      </c>
      <c r="AO22" t="n">
        <v>0</v>
      </c>
      <c r="AP22" t="n">
        <v>16</v>
      </c>
      <c r="AQ22" t="n">
        <v>16</v>
      </c>
      <c r="AR22" t="inlineStr">
        <is>
          <t>No</t>
        </is>
      </c>
      <c r="AS22" t="inlineStr">
        <is>
          <t>Yes</t>
        </is>
      </c>
      <c r="AT22">
        <f>HYPERLINK("http://catalog.hathitrust.org/Record/000508029","HathiTrust Record")</f>
        <v/>
      </c>
      <c r="AU22">
        <f>HYPERLINK("https://creighton-primo.hosted.exlibrisgroup.com/primo-explore/search?tab=default_tab&amp;search_scope=EVERYTHING&amp;vid=01CRU&amp;lang=en_US&amp;offset=0&amp;query=any,contains,991001777579702656","Catalog Record")</f>
        <v/>
      </c>
      <c r="AV22">
        <f>HYPERLINK("http://www.worldcat.org/oclc/2966186","WorldCat Record")</f>
        <v/>
      </c>
      <c r="AW22" t="inlineStr">
        <is>
          <t>6609457:eng</t>
        </is>
      </c>
      <c r="AX22" t="inlineStr">
        <is>
          <t>2966186</t>
        </is>
      </c>
      <c r="AY22" t="inlineStr">
        <is>
          <t>991001777579702656</t>
        </is>
      </c>
      <c r="AZ22" t="inlineStr">
        <is>
          <t>991001777579702656</t>
        </is>
      </c>
      <c r="BA22" t="inlineStr">
        <is>
          <t>2267623760002656</t>
        </is>
      </c>
      <c r="BB22" t="inlineStr">
        <is>
          <t>BOOK</t>
        </is>
      </c>
      <c r="BD22" t="inlineStr">
        <is>
          <t>9780379006575</t>
        </is>
      </c>
      <c r="BE22" t="inlineStr">
        <is>
          <t>32285001171254</t>
        </is>
      </c>
      <c r="BF22" t="inlineStr">
        <is>
          <t>893621612</t>
        </is>
      </c>
    </row>
    <row r="23">
      <c r="B23" t="inlineStr">
        <is>
          <t>CURAL</t>
        </is>
      </c>
      <c r="C23" t="inlineStr">
        <is>
          <t>SHELVES</t>
        </is>
      </c>
      <c r="D23" t="inlineStr">
        <is>
          <t>K3239.6 .W67 1975</t>
        </is>
      </c>
      <c r="E23" t="inlineStr">
        <is>
          <t>0                      K  3239600W  67          1975</t>
        </is>
      </c>
      <c r="F23" t="inlineStr">
        <is>
          <t>Equality and freedom, international and comparative jurisprudence : papers of the World Congress on Philosophy of Law and Social Philosophy, St. Louis, 24-29 August 1975 / edited by authorization of Internationale Vereinigung für Rechts- und Sozialphilosophie (IVR) by Gray Dorsey. --</t>
        </is>
      </c>
      <c r="G23" t="inlineStr">
        <is>
          <t>V. 2</t>
        </is>
      </c>
      <c r="H23" t="inlineStr">
        <is>
          <t>Yes</t>
        </is>
      </c>
      <c r="I23" t="inlineStr">
        <is>
          <t>1</t>
        </is>
      </c>
      <c r="J23" t="inlineStr">
        <is>
          <t>Yes</t>
        </is>
      </c>
      <c r="K23" t="inlineStr">
        <is>
          <t>No</t>
        </is>
      </c>
      <c r="L23" t="inlineStr">
        <is>
          <t>0</t>
        </is>
      </c>
      <c r="M23" t="inlineStr">
        <is>
          <t>World Congress on Philosophy of Law and Social Philosophy (7th : 1975 : Saint Louis, Mo.)</t>
        </is>
      </c>
      <c r="N23" t="inlineStr">
        <is>
          <t>Dobbs Ferry, N.Y. : Oceana Publications, 1977.</t>
        </is>
      </c>
      <c r="O23" t="inlineStr">
        <is>
          <t>1977</t>
        </is>
      </c>
      <c r="Q23" t="inlineStr">
        <is>
          <t>eng</t>
        </is>
      </c>
      <c r="R23" t="inlineStr">
        <is>
          <t>nyu</t>
        </is>
      </c>
      <c r="T23" t="inlineStr">
        <is>
          <t xml:space="preserve">K  </t>
        </is>
      </c>
      <c r="U23" t="n">
        <v>1</v>
      </c>
      <c r="V23" t="n">
        <v>1</v>
      </c>
      <c r="W23" t="inlineStr">
        <is>
          <t>2001-09-06</t>
        </is>
      </c>
      <c r="X23" t="inlineStr">
        <is>
          <t>2001-09-06</t>
        </is>
      </c>
      <c r="Y23" t="inlineStr">
        <is>
          <t>1992-06-12</t>
        </is>
      </c>
      <c r="Z23" t="inlineStr">
        <is>
          <t>1992-06-12</t>
        </is>
      </c>
      <c r="AA23" t="n">
        <v>269</v>
      </c>
      <c r="AB23" t="n">
        <v>187</v>
      </c>
      <c r="AC23" t="n">
        <v>189</v>
      </c>
      <c r="AD23" t="n">
        <v>1</v>
      </c>
      <c r="AE23" t="n">
        <v>1</v>
      </c>
      <c r="AF23" t="n">
        <v>20</v>
      </c>
      <c r="AG23" t="n">
        <v>20</v>
      </c>
      <c r="AH23" t="n">
        <v>1</v>
      </c>
      <c r="AI23" t="n">
        <v>1</v>
      </c>
      <c r="AJ23" t="n">
        <v>1</v>
      </c>
      <c r="AK23" t="n">
        <v>1</v>
      </c>
      <c r="AL23" t="n">
        <v>3</v>
      </c>
      <c r="AM23" t="n">
        <v>3</v>
      </c>
      <c r="AN23" t="n">
        <v>0</v>
      </c>
      <c r="AO23" t="n">
        <v>0</v>
      </c>
      <c r="AP23" t="n">
        <v>16</v>
      </c>
      <c r="AQ23" t="n">
        <v>16</v>
      </c>
      <c r="AR23" t="inlineStr">
        <is>
          <t>No</t>
        </is>
      </c>
      <c r="AS23" t="inlineStr">
        <is>
          <t>Yes</t>
        </is>
      </c>
      <c r="AT23">
        <f>HYPERLINK("http://catalog.hathitrust.org/Record/000508029","HathiTrust Record")</f>
        <v/>
      </c>
      <c r="AU23">
        <f>HYPERLINK("https://creighton-primo.hosted.exlibrisgroup.com/primo-explore/search?tab=default_tab&amp;search_scope=EVERYTHING&amp;vid=01CRU&amp;lang=en_US&amp;offset=0&amp;query=any,contains,991001777579702656","Catalog Record")</f>
        <v/>
      </c>
      <c r="AV23">
        <f>HYPERLINK("http://www.worldcat.org/oclc/2966186","WorldCat Record")</f>
        <v/>
      </c>
      <c r="AW23" t="inlineStr">
        <is>
          <t>6609457:eng</t>
        </is>
      </c>
      <c r="AX23" t="inlineStr">
        <is>
          <t>2966186</t>
        </is>
      </c>
      <c r="AY23" t="inlineStr">
        <is>
          <t>991001777579702656</t>
        </is>
      </c>
      <c r="AZ23" t="inlineStr">
        <is>
          <t>991001777579702656</t>
        </is>
      </c>
      <c r="BA23" t="inlineStr">
        <is>
          <t>2267623760002656</t>
        </is>
      </c>
      <c r="BB23" t="inlineStr">
        <is>
          <t>BOOK</t>
        </is>
      </c>
      <c r="BD23" t="inlineStr">
        <is>
          <t>9780379006575</t>
        </is>
      </c>
      <c r="BE23" t="inlineStr">
        <is>
          <t>32285001171262</t>
        </is>
      </c>
      <c r="BF23" t="inlineStr">
        <is>
          <t>893615372</t>
        </is>
      </c>
    </row>
    <row r="24">
      <c r="B24" t="inlineStr">
        <is>
          <t>CURAL</t>
        </is>
      </c>
      <c r="C24" t="inlineStr">
        <is>
          <t>SHELVES</t>
        </is>
      </c>
      <c r="D24" t="inlineStr">
        <is>
          <t>K3239.6 .W67 1975</t>
        </is>
      </c>
      <c r="E24" t="inlineStr">
        <is>
          <t>0                      K  3239600W  67          1975</t>
        </is>
      </c>
      <c r="F24" t="inlineStr">
        <is>
          <t>Equality and freedom, international and comparative jurisprudence : papers of the World Congress on Philosophy of Law and Social Philosophy, St. Louis, 24-29 August 1975 / edited by authorization of Internationale Vereinigung für Rechts- und Sozialphilosophie (IVR) by Gray Dorsey. --</t>
        </is>
      </c>
      <c r="G24" t="inlineStr">
        <is>
          <t>V. 1</t>
        </is>
      </c>
      <c r="H24" t="inlineStr">
        <is>
          <t>Yes</t>
        </is>
      </c>
      <c r="I24" t="inlineStr">
        <is>
          <t>1</t>
        </is>
      </c>
      <c r="J24" t="inlineStr">
        <is>
          <t>Yes</t>
        </is>
      </c>
      <c r="K24" t="inlineStr">
        <is>
          <t>No</t>
        </is>
      </c>
      <c r="L24" t="inlineStr">
        <is>
          <t>0</t>
        </is>
      </c>
      <c r="M24" t="inlineStr">
        <is>
          <t>World Congress on Philosophy of Law and Social Philosophy (7th : 1975 : Saint Louis, Mo.)</t>
        </is>
      </c>
      <c r="N24" t="inlineStr">
        <is>
          <t>Dobbs Ferry, N.Y. : Oceana Publications, 1977.</t>
        </is>
      </c>
      <c r="O24" t="inlineStr">
        <is>
          <t>1977</t>
        </is>
      </c>
      <c r="Q24" t="inlineStr">
        <is>
          <t>eng</t>
        </is>
      </c>
      <c r="R24" t="inlineStr">
        <is>
          <t>nyu</t>
        </is>
      </c>
      <c r="T24" t="inlineStr">
        <is>
          <t xml:space="preserve">K  </t>
        </is>
      </c>
      <c r="U24" t="n">
        <v>0</v>
      </c>
      <c r="V24" t="n">
        <v>1</v>
      </c>
      <c r="X24" t="inlineStr">
        <is>
          <t>2001-09-06</t>
        </is>
      </c>
      <c r="Y24" t="inlineStr">
        <is>
          <t>1992-06-12</t>
        </is>
      </c>
      <c r="Z24" t="inlineStr">
        <is>
          <t>1992-06-12</t>
        </is>
      </c>
      <c r="AA24" t="n">
        <v>269</v>
      </c>
      <c r="AB24" t="n">
        <v>187</v>
      </c>
      <c r="AC24" t="n">
        <v>189</v>
      </c>
      <c r="AD24" t="n">
        <v>1</v>
      </c>
      <c r="AE24" t="n">
        <v>1</v>
      </c>
      <c r="AF24" t="n">
        <v>20</v>
      </c>
      <c r="AG24" t="n">
        <v>20</v>
      </c>
      <c r="AH24" t="n">
        <v>1</v>
      </c>
      <c r="AI24" t="n">
        <v>1</v>
      </c>
      <c r="AJ24" t="n">
        <v>1</v>
      </c>
      <c r="AK24" t="n">
        <v>1</v>
      </c>
      <c r="AL24" t="n">
        <v>3</v>
      </c>
      <c r="AM24" t="n">
        <v>3</v>
      </c>
      <c r="AN24" t="n">
        <v>0</v>
      </c>
      <c r="AO24" t="n">
        <v>0</v>
      </c>
      <c r="AP24" t="n">
        <v>16</v>
      </c>
      <c r="AQ24" t="n">
        <v>16</v>
      </c>
      <c r="AR24" t="inlineStr">
        <is>
          <t>No</t>
        </is>
      </c>
      <c r="AS24" t="inlineStr">
        <is>
          <t>Yes</t>
        </is>
      </c>
      <c r="AT24">
        <f>HYPERLINK("http://catalog.hathitrust.org/Record/000508029","HathiTrust Record")</f>
        <v/>
      </c>
      <c r="AU24">
        <f>HYPERLINK("https://creighton-primo.hosted.exlibrisgroup.com/primo-explore/search?tab=default_tab&amp;search_scope=EVERYTHING&amp;vid=01CRU&amp;lang=en_US&amp;offset=0&amp;query=any,contains,991001777579702656","Catalog Record")</f>
        <v/>
      </c>
      <c r="AV24">
        <f>HYPERLINK("http://www.worldcat.org/oclc/2966186","WorldCat Record")</f>
        <v/>
      </c>
      <c r="AW24" t="inlineStr">
        <is>
          <t>6609457:eng</t>
        </is>
      </c>
      <c r="AX24" t="inlineStr">
        <is>
          <t>2966186</t>
        </is>
      </c>
      <c r="AY24" t="inlineStr">
        <is>
          <t>991001777579702656</t>
        </is>
      </c>
      <c r="AZ24" t="inlineStr">
        <is>
          <t>991001777579702656</t>
        </is>
      </c>
      <c r="BA24" t="inlineStr">
        <is>
          <t>2267623760002656</t>
        </is>
      </c>
      <c r="BB24" t="inlineStr">
        <is>
          <t>BOOK</t>
        </is>
      </c>
      <c r="BD24" t="inlineStr">
        <is>
          <t>9780379006575</t>
        </is>
      </c>
      <c r="BE24" t="inlineStr">
        <is>
          <t>32285001171270</t>
        </is>
      </c>
      <c r="BF24" t="inlineStr">
        <is>
          <t>893602887</t>
        </is>
      </c>
    </row>
    <row r="25">
      <c r="B25" t="inlineStr">
        <is>
          <t>CURAL</t>
        </is>
      </c>
      <c r="C25" t="inlineStr">
        <is>
          <t>SHELVES</t>
        </is>
      </c>
      <c r="D25" t="inlineStr">
        <is>
          <t>K3240 .H8573 1992</t>
        </is>
      </c>
      <c r="E25" t="inlineStr">
        <is>
          <t>0                      K  3240000H  8573        1992</t>
        </is>
      </c>
      <c r="F25" t="inlineStr">
        <is>
          <t>Human rights in the world community : issues and action / edited by Richard Pierre Claude and Burns H. Weston.</t>
        </is>
      </c>
      <c r="H25" t="inlineStr">
        <is>
          <t>No</t>
        </is>
      </c>
      <c r="I25" t="inlineStr">
        <is>
          <t>1</t>
        </is>
      </c>
      <c r="J25" t="inlineStr">
        <is>
          <t>No</t>
        </is>
      </c>
      <c r="K25" t="inlineStr">
        <is>
          <t>Yes</t>
        </is>
      </c>
      <c r="L25" t="inlineStr">
        <is>
          <t>0</t>
        </is>
      </c>
      <c r="N25" t="inlineStr">
        <is>
          <t>Philadelphia : University of Pennsylvania Press, c1992.</t>
        </is>
      </c>
      <c r="O25" t="inlineStr">
        <is>
          <t>1992</t>
        </is>
      </c>
      <c r="P25" t="inlineStr">
        <is>
          <t>2nd ed.</t>
        </is>
      </c>
      <c r="Q25" t="inlineStr">
        <is>
          <t>eng</t>
        </is>
      </c>
      <c r="R25" t="inlineStr">
        <is>
          <t>pau</t>
        </is>
      </c>
      <c r="T25" t="inlineStr">
        <is>
          <t xml:space="preserve">K  </t>
        </is>
      </c>
      <c r="U25" t="n">
        <v>23</v>
      </c>
      <c r="V25" t="n">
        <v>23</v>
      </c>
      <c r="W25" t="inlineStr">
        <is>
          <t>2009-12-06</t>
        </is>
      </c>
      <c r="X25" t="inlineStr">
        <is>
          <t>2009-12-06</t>
        </is>
      </c>
      <c r="Y25" t="inlineStr">
        <is>
          <t>1995-08-24</t>
        </is>
      </c>
      <c r="Z25" t="inlineStr">
        <is>
          <t>1995-08-24</t>
        </is>
      </c>
      <c r="AA25" t="n">
        <v>370</v>
      </c>
      <c r="AB25" t="n">
        <v>264</v>
      </c>
      <c r="AC25" t="n">
        <v>615</v>
      </c>
      <c r="AD25" t="n">
        <v>1</v>
      </c>
      <c r="AE25" t="n">
        <v>3</v>
      </c>
      <c r="AF25" t="n">
        <v>19</v>
      </c>
      <c r="AG25" t="n">
        <v>41</v>
      </c>
      <c r="AH25" t="n">
        <v>2</v>
      </c>
      <c r="AI25" t="n">
        <v>11</v>
      </c>
      <c r="AJ25" t="n">
        <v>3</v>
      </c>
      <c r="AK25" t="n">
        <v>8</v>
      </c>
      <c r="AL25" t="n">
        <v>5</v>
      </c>
      <c r="AM25" t="n">
        <v>13</v>
      </c>
      <c r="AN25" t="n">
        <v>0</v>
      </c>
      <c r="AO25" t="n">
        <v>1</v>
      </c>
      <c r="AP25" t="n">
        <v>11</v>
      </c>
      <c r="AQ25" t="n">
        <v>14</v>
      </c>
      <c r="AR25" t="inlineStr">
        <is>
          <t>No</t>
        </is>
      </c>
      <c r="AS25" t="inlineStr">
        <is>
          <t>Yes</t>
        </is>
      </c>
      <c r="AT25">
        <f>HYPERLINK("http://catalog.hathitrust.org/Record/002640449","HathiTrust Record")</f>
        <v/>
      </c>
      <c r="AU25">
        <f>HYPERLINK("https://creighton-primo.hosted.exlibrisgroup.com/primo-explore/search?tab=default_tab&amp;search_scope=EVERYTHING&amp;vid=01CRU&amp;lang=en_US&amp;offset=0&amp;query=any,contains,991002027599702656","Catalog Record")</f>
        <v/>
      </c>
      <c r="AV25">
        <f>HYPERLINK("http://www.worldcat.org/oclc/25788921","WorldCat Record")</f>
        <v/>
      </c>
      <c r="AW25" t="inlineStr">
        <is>
          <t>889349106:eng</t>
        </is>
      </c>
      <c r="AX25" t="inlineStr">
        <is>
          <t>25788921</t>
        </is>
      </c>
      <c r="AY25" t="inlineStr">
        <is>
          <t>991002027599702656</t>
        </is>
      </c>
      <c r="AZ25" t="inlineStr">
        <is>
          <t>991002027599702656</t>
        </is>
      </c>
      <c r="BA25" t="inlineStr">
        <is>
          <t>2255081470002656</t>
        </is>
      </c>
      <c r="BB25" t="inlineStr">
        <is>
          <t>BOOK</t>
        </is>
      </c>
      <c r="BD25" t="inlineStr">
        <is>
          <t>9780812213966</t>
        </is>
      </c>
      <c r="BE25" t="inlineStr">
        <is>
          <t>32285002079977</t>
        </is>
      </c>
      <c r="BF25" t="inlineStr">
        <is>
          <t>893414739</t>
        </is>
      </c>
    </row>
    <row r="26">
      <c r="B26" t="inlineStr">
        <is>
          <t>CURAL</t>
        </is>
      </c>
      <c r="C26" t="inlineStr">
        <is>
          <t>SHELVES</t>
        </is>
      </c>
      <c r="D26" t="inlineStr">
        <is>
          <t>K3240.3 .S63</t>
        </is>
      </c>
      <c r="E26" t="inlineStr">
        <is>
          <t>0                      K  3240300S  63</t>
        </is>
      </c>
      <c r="F26" t="inlineStr">
        <is>
          <t>International protection of human rights / [by] Louis B. Sohn and Thomas Buergenthal.</t>
        </is>
      </c>
      <c r="H26" t="inlineStr">
        <is>
          <t>No</t>
        </is>
      </c>
      <c r="I26" t="inlineStr">
        <is>
          <t>1</t>
        </is>
      </c>
      <c r="J26" t="inlineStr">
        <is>
          <t>Yes</t>
        </is>
      </c>
      <c r="K26" t="inlineStr">
        <is>
          <t>No</t>
        </is>
      </c>
      <c r="L26" t="inlineStr">
        <is>
          <t>0</t>
        </is>
      </c>
      <c r="M26" t="inlineStr">
        <is>
          <t>Sohn, Louis B. compiler.</t>
        </is>
      </c>
      <c r="N26" t="inlineStr">
        <is>
          <t>Indianapolis : Bobbs-Merrill, [1973]</t>
        </is>
      </c>
      <c r="O26" t="inlineStr">
        <is>
          <t>1973</t>
        </is>
      </c>
      <c r="Q26" t="inlineStr">
        <is>
          <t>eng</t>
        </is>
      </c>
      <c r="R26" t="inlineStr">
        <is>
          <t>inu</t>
        </is>
      </c>
      <c r="S26" t="inlineStr">
        <is>
          <t>Contemporary legal education series</t>
        </is>
      </c>
      <c r="T26" t="inlineStr">
        <is>
          <t xml:space="preserve">K  </t>
        </is>
      </c>
      <c r="U26" t="n">
        <v>1</v>
      </c>
      <c r="V26" t="n">
        <v>2</v>
      </c>
      <c r="W26" t="inlineStr">
        <is>
          <t>1993-10-26</t>
        </is>
      </c>
      <c r="X26" t="inlineStr">
        <is>
          <t>2005-08-16</t>
        </is>
      </c>
      <c r="Y26" t="inlineStr">
        <is>
          <t>1992-06-15</t>
        </is>
      </c>
      <c r="Z26" t="inlineStr">
        <is>
          <t>1992-08-03</t>
        </is>
      </c>
      <c r="AA26" t="n">
        <v>367</v>
      </c>
      <c r="AB26" t="n">
        <v>271</v>
      </c>
      <c r="AC26" t="n">
        <v>274</v>
      </c>
      <c r="AD26" t="n">
        <v>2</v>
      </c>
      <c r="AE26" t="n">
        <v>2</v>
      </c>
      <c r="AF26" t="n">
        <v>19</v>
      </c>
      <c r="AG26" t="n">
        <v>19</v>
      </c>
      <c r="AH26" t="n">
        <v>1</v>
      </c>
      <c r="AI26" t="n">
        <v>1</v>
      </c>
      <c r="AJ26" t="n">
        <v>3</v>
      </c>
      <c r="AK26" t="n">
        <v>3</v>
      </c>
      <c r="AL26" t="n">
        <v>5</v>
      </c>
      <c r="AM26" t="n">
        <v>5</v>
      </c>
      <c r="AN26" t="n">
        <v>0</v>
      </c>
      <c r="AO26" t="n">
        <v>0</v>
      </c>
      <c r="AP26" t="n">
        <v>13</v>
      </c>
      <c r="AQ26" t="n">
        <v>13</v>
      </c>
      <c r="AR26" t="inlineStr">
        <is>
          <t>No</t>
        </is>
      </c>
      <c r="AS26" t="inlineStr">
        <is>
          <t>No</t>
        </is>
      </c>
      <c r="AU26">
        <f>HYPERLINK("https://creighton-primo.hosted.exlibrisgroup.com/primo-explore/search?tab=default_tab&amp;search_scope=EVERYTHING&amp;vid=01CRU&amp;lang=en_US&amp;offset=0&amp;query=any,contains,991001680709702656","Catalog Record")</f>
        <v/>
      </c>
      <c r="AV26">
        <f>HYPERLINK("http://www.worldcat.org/oclc/799533","WorldCat Record")</f>
        <v/>
      </c>
      <c r="AW26" t="inlineStr">
        <is>
          <t>1782068:eng</t>
        </is>
      </c>
      <c r="AX26" t="inlineStr">
        <is>
          <t>799533</t>
        </is>
      </c>
      <c r="AY26" t="inlineStr">
        <is>
          <t>991001680709702656</t>
        </is>
      </c>
      <c r="AZ26" t="inlineStr">
        <is>
          <t>991001680709702656</t>
        </is>
      </c>
      <c r="BA26" t="inlineStr">
        <is>
          <t>2266791340002656</t>
        </is>
      </c>
      <c r="BB26" t="inlineStr">
        <is>
          <t>BOOK</t>
        </is>
      </c>
      <c r="BE26" t="inlineStr">
        <is>
          <t>32285001171288</t>
        </is>
      </c>
      <c r="BF26" t="inlineStr">
        <is>
          <t>893238263</t>
        </is>
      </c>
    </row>
    <row r="27">
      <c r="B27" t="inlineStr">
        <is>
          <t>CURAL</t>
        </is>
      </c>
      <c r="C27" t="inlineStr">
        <is>
          <t>SHELVES</t>
        </is>
      </c>
      <c r="D27" t="inlineStr">
        <is>
          <t>K3240.4 .H33 1994</t>
        </is>
      </c>
      <c r="E27" t="inlineStr">
        <is>
          <t>0                      K  3240400H  33          1994</t>
        </is>
      </c>
      <c r="F27" t="inlineStr">
        <is>
          <t>Improving human rights / Michael Haas.</t>
        </is>
      </c>
      <c r="H27" t="inlineStr">
        <is>
          <t>No</t>
        </is>
      </c>
      <c r="I27" t="inlineStr">
        <is>
          <t>1</t>
        </is>
      </c>
      <c r="J27" t="inlineStr">
        <is>
          <t>No</t>
        </is>
      </c>
      <c r="K27" t="inlineStr">
        <is>
          <t>No</t>
        </is>
      </c>
      <c r="L27" t="inlineStr">
        <is>
          <t>0</t>
        </is>
      </c>
      <c r="M27" t="inlineStr">
        <is>
          <t>Haas, Michael, 1938-</t>
        </is>
      </c>
      <c r="N27" t="inlineStr">
        <is>
          <t>Westport, Conn. : Praeger, 1994.</t>
        </is>
      </c>
      <c r="O27" t="inlineStr">
        <is>
          <t>1994</t>
        </is>
      </c>
      <c r="Q27" t="inlineStr">
        <is>
          <t>eng</t>
        </is>
      </c>
      <c r="R27" t="inlineStr">
        <is>
          <t>ctu</t>
        </is>
      </c>
      <c r="T27" t="inlineStr">
        <is>
          <t xml:space="preserve">K  </t>
        </is>
      </c>
      <c r="U27" t="n">
        <v>2</v>
      </c>
      <c r="V27" t="n">
        <v>2</v>
      </c>
      <c r="W27" t="inlineStr">
        <is>
          <t>2006-04-28</t>
        </is>
      </c>
      <c r="X27" t="inlineStr">
        <is>
          <t>2006-04-28</t>
        </is>
      </c>
      <c r="Y27" t="inlineStr">
        <is>
          <t>1996-06-26</t>
        </is>
      </c>
      <c r="Z27" t="inlineStr">
        <is>
          <t>1996-06-26</t>
        </is>
      </c>
      <c r="AA27" t="n">
        <v>254</v>
      </c>
      <c r="AB27" t="n">
        <v>203</v>
      </c>
      <c r="AC27" t="n">
        <v>210</v>
      </c>
      <c r="AD27" t="n">
        <v>2</v>
      </c>
      <c r="AE27" t="n">
        <v>2</v>
      </c>
      <c r="AF27" t="n">
        <v>14</v>
      </c>
      <c r="AG27" t="n">
        <v>14</v>
      </c>
      <c r="AH27" t="n">
        <v>0</v>
      </c>
      <c r="AI27" t="n">
        <v>0</v>
      </c>
      <c r="AJ27" t="n">
        <v>5</v>
      </c>
      <c r="AK27" t="n">
        <v>5</v>
      </c>
      <c r="AL27" t="n">
        <v>4</v>
      </c>
      <c r="AM27" t="n">
        <v>4</v>
      </c>
      <c r="AN27" t="n">
        <v>1</v>
      </c>
      <c r="AO27" t="n">
        <v>1</v>
      </c>
      <c r="AP27" t="n">
        <v>6</v>
      </c>
      <c r="AQ27" t="n">
        <v>6</v>
      </c>
      <c r="AR27" t="inlineStr">
        <is>
          <t>No</t>
        </is>
      </c>
      <c r="AS27" t="inlineStr">
        <is>
          <t>Yes</t>
        </is>
      </c>
      <c r="AT27">
        <f>HYPERLINK("http://catalog.hathitrust.org/Record/002932542","HathiTrust Record")</f>
        <v/>
      </c>
      <c r="AU27">
        <f>HYPERLINK("https://creighton-primo.hosted.exlibrisgroup.com/primo-explore/search?tab=default_tab&amp;search_scope=EVERYTHING&amp;vid=01CRU&amp;lang=en_US&amp;offset=0&amp;query=any,contains,991002334779702656","Catalog Record")</f>
        <v/>
      </c>
      <c r="AV27">
        <f>HYPERLINK("http://www.worldcat.org/oclc/30398484","WorldCat Record")</f>
        <v/>
      </c>
      <c r="AW27" t="inlineStr">
        <is>
          <t>141717690:eng</t>
        </is>
      </c>
      <c r="AX27" t="inlineStr">
        <is>
          <t>30398484</t>
        </is>
      </c>
      <c r="AY27" t="inlineStr">
        <is>
          <t>991002334779702656</t>
        </is>
      </c>
      <c r="AZ27" t="inlineStr">
        <is>
          <t>991002334779702656</t>
        </is>
      </c>
      <c r="BA27" t="inlineStr">
        <is>
          <t>2270575250002656</t>
        </is>
      </c>
      <c r="BB27" t="inlineStr">
        <is>
          <t>BOOK</t>
        </is>
      </c>
      <c r="BD27" t="inlineStr">
        <is>
          <t>9780275943523</t>
        </is>
      </c>
      <c r="BE27" t="inlineStr">
        <is>
          <t>32285002173499</t>
        </is>
      </c>
      <c r="BF27" t="inlineStr">
        <is>
          <t>893622161</t>
        </is>
      </c>
    </row>
    <row r="28">
      <c r="B28" t="inlineStr">
        <is>
          <t>CURAL</t>
        </is>
      </c>
      <c r="C28" t="inlineStr">
        <is>
          <t>SHELVES</t>
        </is>
      </c>
      <c r="D28" t="inlineStr">
        <is>
          <t>K3240.4 .H85 1984</t>
        </is>
      </c>
      <c r="E28" t="inlineStr">
        <is>
          <t>0                      K  3240400H  85          1984</t>
        </is>
      </c>
      <c r="F28" t="inlineStr">
        <is>
          <t>Human rights &amp; the United Nations : a great adventure / John P. Humphrey.</t>
        </is>
      </c>
      <c r="H28" t="inlineStr">
        <is>
          <t>No</t>
        </is>
      </c>
      <c r="I28" t="inlineStr">
        <is>
          <t>1</t>
        </is>
      </c>
      <c r="J28" t="inlineStr">
        <is>
          <t>No</t>
        </is>
      </c>
      <c r="K28" t="inlineStr">
        <is>
          <t>No</t>
        </is>
      </c>
      <c r="L28" t="inlineStr">
        <is>
          <t>0</t>
        </is>
      </c>
      <c r="M28" t="inlineStr">
        <is>
          <t>Humphrey, John P.</t>
        </is>
      </c>
      <c r="N28" t="inlineStr">
        <is>
          <t>Dobbs Ferry, N.Y. : Transnational Publishers, c1984.</t>
        </is>
      </c>
      <c r="O28" t="inlineStr">
        <is>
          <t>1984</t>
        </is>
      </c>
      <c r="Q28" t="inlineStr">
        <is>
          <t>eng</t>
        </is>
      </c>
      <c r="R28" t="inlineStr">
        <is>
          <t>nyu</t>
        </is>
      </c>
      <c r="T28" t="inlineStr">
        <is>
          <t xml:space="preserve">K  </t>
        </is>
      </c>
      <c r="U28" t="n">
        <v>3</v>
      </c>
      <c r="V28" t="n">
        <v>3</v>
      </c>
      <c r="W28" t="inlineStr">
        <is>
          <t>2006-04-28</t>
        </is>
      </c>
      <c r="X28" t="inlineStr">
        <is>
          <t>2006-04-28</t>
        </is>
      </c>
      <c r="Y28" t="inlineStr">
        <is>
          <t>1992-03-23</t>
        </is>
      </c>
      <c r="Z28" t="inlineStr">
        <is>
          <t>1992-03-23</t>
        </is>
      </c>
      <c r="AA28" t="n">
        <v>421</v>
      </c>
      <c r="AB28" t="n">
        <v>322</v>
      </c>
      <c r="AC28" t="n">
        <v>328</v>
      </c>
      <c r="AD28" t="n">
        <v>2</v>
      </c>
      <c r="AE28" t="n">
        <v>2</v>
      </c>
      <c r="AF28" t="n">
        <v>22</v>
      </c>
      <c r="AG28" t="n">
        <v>23</v>
      </c>
      <c r="AH28" t="n">
        <v>0</v>
      </c>
      <c r="AI28" t="n">
        <v>0</v>
      </c>
      <c r="AJ28" t="n">
        <v>4</v>
      </c>
      <c r="AK28" t="n">
        <v>4</v>
      </c>
      <c r="AL28" t="n">
        <v>6</v>
      </c>
      <c r="AM28" t="n">
        <v>6</v>
      </c>
      <c r="AN28" t="n">
        <v>1</v>
      </c>
      <c r="AO28" t="n">
        <v>1</v>
      </c>
      <c r="AP28" t="n">
        <v>13</v>
      </c>
      <c r="AQ28" t="n">
        <v>14</v>
      </c>
      <c r="AR28" t="inlineStr">
        <is>
          <t>No</t>
        </is>
      </c>
      <c r="AS28" t="inlineStr">
        <is>
          <t>Yes</t>
        </is>
      </c>
      <c r="AT28">
        <f>HYPERLINK("http://catalog.hathitrust.org/Record/010399663","HathiTrust Record")</f>
        <v/>
      </c>
      <c r="AU28">
        <f>HYPERLINK("https://creighton-primo.hosted.exlibrisgroup.com/primo-explore/search?tab=default_tab&amp;search_scope=EVERYTHING&amp;vid=01CRU&amp;lang=en_US&amp;offset=0&amp;query=any,contains,991000247699702656","Catalog Record")</f>
        <v/>
      </c>
      <c r="AV28">
        <f>HYPERLINK("http://www.worldcat.org/oclc/9730149","WorldCat Record")</f>
        <v/>
      </c>
      <c r="AW28" t="inlineStr">
        <is>
          <t>836654971:eng</t>
        </is>
      </c>
      <c r="AX28" t="inlineStr">
        <is>
          <t>9730149</t>
        </is>
      </c>
      <c r="AY28" t="inlineStr">
        <is>
          <t>991000247699702656</t>
        </is>
      </c>
      <c r="AZ28" t="inlineStr">
        <is>
          <t>991000247699702656</t>
        </is>
      </c>
      <c r="BA28" t="inlineStr">
        <is>
          <t>2254956490002656</t>
        </is>
      </c>
      <c r="BB28" t="inlineStr">
        <is>
          <t>BOOK</t>
        </is>
      </c>
      <c r="BD28" t="inlineStr">
        <is>
          <t>9780941320146</t>
        </is>
      </c>
      <c r="BE28" t="inlineStr">
        <is>
          <t>32285001027126</t>
        </is>
      </c>
      <c r="BF28" t="inlineStr">
        <is>
          <t>893339417</t>
        </is>
      </c>
    </row>
    <row r="29">
      <c r="B29" t="inlineStr">
        <is>
          <t>CURAL</t>
        </is>
      </c>
      <c r="C29" t="inlineStr">
        <is>
          <t>SHELVES</t>
        </is>
      </c>
      <c r="D29" t="inlineStr">
        <is>
          <t>K3240.4 .L38 1968</t>
        </is>
      </c>
      <c r="E29" t="inlineStr">
        <is>
          <t>0                      K  3240400L  38          1968</t>
        </is>
      </c>
      <c r="F29" t="inlineStr">
        <is>
          <t>International law and human rights, by H. Lauterpacht.</t>
        </is>
      </c>
      <c r="H29" t="inlineStr">
        <is>
          <t>No</t>
        </is>
      </c>
      <c r="I29" t="inlineStr">
        <is>
          <t>1</t>
        </is>
      </c>
      <c r="J29" t="inlineStr">
        <is>
          <t>Yes</t>
        </is>
      </c>
      <c r="K29" t="inlineStr">
        <is>
          <t>No</t>
        </is>
      </c>
      <c r="L29" t="inlineStr">
        <is>
          <t>0</t>
        </is>
      </c>
      <c r="M29" t="inlineStr">
        <is>
          <t>Lauterpacht, Hersch, 1897-1960.</t>
        </is>
      </c>
      <c r="N29" t="inlineStr">
        <is>
          <t>[Hamden, Conn.] Archon Books, 1968.</t>
        </is>
      </c>
      <c r="O29" t="inlineStr">
        <is>
          <t>1968</t>
        </is>
      </c>
      <c r="Q29" t="inlineStr">
        <is>
          <t>eng</t>
        </is>
      </c>
      <c r="R29" t="inlineStr">
        <is>
          <t>ctu</t>
        </is>
      </c>
      <c r="T29" t="inlineStr">
        <is>
          <t xml:space="preserve">K  </t>
        </is>
      </c>
      <c r="U29" t="n">
        <v>1</v>
      </c>
      <c r="V29" t="n">
        <v>1</v>
      </c>
      <c r="W29" t="inlineStr">
        <is>
          <t>2003-03-27</t>
        </is>
      </c>
      <c r="X29" t="inlineStr">
        <is>
          <t>2003-03-27</t>
        </is>
      </c>
      <c r="Y29" t="inlineStr">
        <is>
          <t>1992-04-24</t>
        </is>
      </c>
      <c r="Z29" t="inlineStr">
        <is>
          <t>1992-04-24</t>
        </is>
      </c>
      <c r="AA29" t="n">
        <v>292</v>
      </c>
      <c r="AB29" t="n">
        <v>252</v>
      </c>
      <c r="AC29" t="n">
        <v>541</v>
      </c>
      <c r="AD29" t="n">
        <v>4</v>
      </c>
      <c r="AE29" t="n">
        <v>6</v>
      </c>
      <c r="AF29" t="n">
        <v>16</v>
      </c>
      <c r="AG29" t="n">
        <v>44</v>
      </c>
      <c r="AH29" t="n">
        <v>3</v>
      </c>
      <c r="AI29" t="n">
        <v>8</v>
      </c>
      <c r="AJ29" t="n">
        <v>0</v>
      </c>
      <c r="AK29" t="n">
        <v>5</v>
      </c>
      <c r="AL29" t="n">
        <v>3</v>
      </c>
      <c r="AM29" t="n">
        <v>14</v>
      </c>
      <c r="AN29" t="n">
        <v>1</v>
      </c>
      <c r="AO29" t="n">
        <v>3</v>
      </c>
      <c r="AP29" t="n">
        <v>9</v>
      </c>
      <c r="AQ29" t="n">
        <v>20</v>
      </c>
      <c r="AR29" t="inlineStr">
        <is>
          <t>No</t>
        </is>
      </c>
      <c r="AS29" t="inlineStr">
        <is>
          <t>Yes</t>
        </is>
      </c>
      <c r="AT29">
        <f>HYPERLINK("http://catalog.hathitrust.org/Record/001433975","HathiTrust Record")</f>
        <v/>
      </c>
      <c r="AU29">
        <f>HYPERLINK("https://creighton-primo.hosted.exlibrisgroup.com/primo-explore/search?tab=default_tab&amp;search_scope=EVERYTHING&amp;vid=01CRU&amp;lang=en_US&amp;offset=0&amp;query=any,contains,991001639369702656","Catalog Record")</f>
        <v/>
      </c>
      <c r="AV29">
        <f>HYPERLINK("http://www.worldcat.org/oclc/441439","WorldCat Record")</f>
        <v/>
      </c>
      <c r="AW29" t="inlineStr">
        <is>
          <t>252622512:eng</t>
        </is>
      </c>
      <c r="AX29" t="inlineStr">
        <is>
          <t>441439</t>
        </is>
      </c>
      <c r="AY29" t="inlineStr">
        <is>
          <t>991001639369702656</t>
        </is>
      </c>
      <c r="AZ29" t="inlineStr">
        <is>
          <t>991001639369702656</t>
        </is>
      </c>
      <c r="BA29" t="inlineStr">
        <is>
          <t>2256944120002656</t>
        </is>
      </c>
      <c r="BB29" t="inlineStr">
        <is>
          <t>BOOK</t>
        </is>
      </c>
      <c r="BE29" t="inlineStr">
        <is>
          <t>32285001071066</t>
        </is>
      </c>
      <c r="BF29" t="inlineStr">
        <is>
          <t>893885433</t>
        </is>
      </c>
    </row>
    <row r="30">
      <c r="B30" t="inlineStr">
        <is>
          <t>CURAL</t>
        </is>
      </c>
      <c r="C30" t="inlineStr">
        <is>
          <t>SHELVES</t>
        </is>
      </c>
      <c r="D30" t="inlineStr">
        <is>
          <t>K3240.4 .L85 1971</t>
        </is>
      </c>
      <c r="E30" t="inlineStr">
        <is>
          <t>0                      K  3240400L  85          1971</t>
        </is>
      </c>
      <c r="F30" t="inlineStr">
        <is>
          <t>International protection of human rights.</t>
        </is>
      </c>
      <c r="H30" t="inlineStr">
        <is>
          <t>No</t>
        </is>
      </c>
      <c r="I30" t="inlineStr">
        <is>
          <t>1</t>
        </is>
      </c>
      <c r="J30" t="inlineStr">
        <is>
          <t>No</t>
        </is>
      </c>
      <c r="K30" t="inlineStr">
        <is>
          <t>No</t>
        </is>
      </c>
      <c r="L30" t="inlineStr">
        <is>
          <t>0</t>
        </is>
      </c>
      <c r="M30" t="inlineStr">
        <is>
          <t>Luini del Russo, Alessandra.</t>
        </is>
      </c>
      <c r="N30" t="inlineStr">
        <is>
          <t>Washington, Lerner Law Book Co. [1970, c1971]</t>
        </is>
      </c>
      <c r="O30" t="inlineStr">
        <is>
          <t>1970</t>
        </is>
      </c>
      <c r="Q30" t="inlineStr">
        <is>
          <t>eng</t>
        </is>
      </c>
      <c r="R30" t="inlineStr">
        <is>
          <t>dcu</t>
        </is>
      </c>
      <c r="T30" t="inlineStr">
        <is>
          <t xml:space="preserve">K  </t>
        </is>
      </c>
      <c r="U30" t="n">
        <v>1</v>
      </c>
      <c r="V30" t="n">
        <v>1</v>
      </c>
      <c r="W30" t="inlineStr">
        <is>
          <t>2003-03-27</t>
        </is>
      </c>
      <c r="X30" t="inlineStr">
        <is>
          <t>2003-03-27</t>
        </is>
      </c>
      <c r="Y30" t="inlineStr">
        <is>
          <t>1997-09-16</t>
        </is>
      </c>
      <c r="Z30" t="inlineStr">
        <is>
          <t>1997-09-16</t>
        </is>
      </c>
      <c r="AA30" t="n">
        <v>150</v>
      </c>
      <c r="AB30" t="n">
        <v>137</v>
      </c>
      <c r="AC30" t="n">
        <v>170</v>
      </c>
      <c r="AD30" t="n">
        <v>3</v>
      </c>
      <c r="AE30" t="n">
        <v>3</v>
      </c>
      <c r="AF30" t="n">
        <v>14</v>
      </c>
      <c r="AG30" t="n">
        <v>17</v>
      </c>
      <c r="AH30" t="n">
        <v>1</v>
      </c>
      <c r="AI30" t="n">
        <v>1</v>
      </c>
      <c r="AJ30" t="n">
        <v>2</v>
      </c>
      <c r="AK30" t="n">
        <v>2</v>
      </c>
      <c r="AL30" t="n">
        <v>4</v>
      </c>
      <c r="AM30" t="n">
        <v>5</v>
      </c>
      <c r="AN30" t="n">
        <v>1</v>
      </c>
      <c r="AO30" t="n">
        <v>1</v>
      </c>
      <c r="AP30" t="n">
        <v>7</v>
      </c>
      <c r="AQ30" t="n">
        <v>9</v>
      </c>
      <c r="AR30" t="inlineStr">
        <is>
          <t>No</t>
        </is>
      </c>
      <c r="AS30" t="inlineStr">
        <is>
          <t>No</t>
        </is>
      </c>
      <c r="AU30">
        <f>HYPERLINK("https://creighton-primo.hosted.exlibrisgroup.com/primo-explore/search?tab=default_tab&amp;search_scope=EVERYTHING&amp;vid=01CRU&amp;lang=en_US&amp;offset=0&amp;query=any,contains,991001935979702656","Catalog Record")</f>
        <v/>
      </c>
      <c r="AV30">
        <f>HYPERLINK("http://www.worldcat.org/oclc/250557","WorldCat Record")</f>
        <v/>
      </c>
      <c r="AW30" t="inlineStr">
        <is>
          <t>1337081:eng</t>
        </is>
      </c>
      <c r="AX30" t="inlineStr">
        <is>
          <t>250557</t>
        </is>
      </c>
      <c r="AY30" t="inlineStr">
        <is>
          <t>991001935979702656</t>
        </is>
      </c>
      <c r="AZ30" t="inlineStr">
        <is>
          <t>991001935979702656</t>
        </is>
      </c>
      <c r="BA30" t="inlineStr">
        <is>
          <t>2266911040002656</t>
        </is>
      </c>
      <c r="BB30" t="inlineStr">
        <is>
          <t>BOOK</t>
        </is>
      </c>
      <c r="BE30" t="inlineStr">
        <is>
          <t>32285003171716</t>
        </is>
      </c>
      <c r="BF30" t="inlineStr">
        <is>
          <t>893529352</t>
        </is>
      </c>
    </row>
    <row r="31">
      <c r="B31" t="inlineStr">
        <is>
          <t>CURAL</t>
        </is>
      </c>
      <c r="C31" t="inlineStr">
        <is>
          <t>SHELVES</t>
        </is>
      </c>
      <c r="D31" t="inlineStr">
        <is>
          <t>K3240.4 .M484 1989</t>
        </is>
      </c>
      <c r="E31" t="inlineStr">
        <is>
          <t>0                      K  3240400M  484         1989</t>
        </is>
      </c>
      <c r="F31" t="inlineStr">
        <is>
          <t>Human rights and humanitarian norms as customary law / Theodor Meron.</t>
        </is>
      </c>
      <c r="H31" t="inlineStr">
        <is>
          <t>No</t>
        </is>
      </c>
      <c r="I31" t="inlineStr">
        <is>
          <t>1</t>
        </is>
      </c>
      <c r="J31" t="inlineStr">
        <is>
          <t>Yes</t>
        </is>
      </c>
      <c r="K31" t="inlineStr">
        <is>
          <t>No</t>
        </is>
      </c>
      <c r="L31" t="inlineStr">
        <is>
          <t>0</t>
        </is>
      </c>
      <c r="M31" t="inlineStr">
        <is>
          <t>Meron, Theodor, 1930-</t>
        </is>
      </c>
      <c r="N31" t="inlineStr">
        <is>
          <t>Oxford : Clarendon Press ; Oxford ; New York : Oxford University Press, 1989.</t>
        </is>
      </c>
      <c r="O31" t="inlineStr">
        <is>
          <t>1989</t>
        </is>
      </c>
      <c r="Q31" t="inlineStr">
        <is>
          <t>eng</t>
        </is>
      </c>
      <c r="R31" t="inlineStr">
        <is>
          <t>enk</t>
        </is>
      </c>
      <c r="T31" t="inlineStr">
        <is>
          <t xml:space="preserve">K  </t>
        </is>
      </c>
      <c r="U31" t="n">
        <v>4</v>
      </c>
      <c r="V31" t="n">
        <v>9</v>
      </c>
      <c r="W31" t="inlineStr">
        <is>
          <t>1994-02-08</t>
        </is>
      </c>
      <c r="X31" t="inlineStr">
        <is>
          <t>2008-09-26</t>
        </is>
      </c>
      <c r="Y31" t="inlineStr">
        <is>
          <t>1990-12-07</t>
        </is>
      </c>
      <c r="Z31" t="inlineStr">
        <is>
          <t>1994-05-27</t>
        </is>
      </c>
      <c r="AA31" t="n">
        <v>425</v>
      </c>
      <c r="AB31" t="n">
        <v>277</v>
      </c>
      <c r="AC31" t="n">
        <v>344</v>
      </c>
      <c r="AD31" t="n">
        <v>3</v>
      </c>
      <c r="AE31" t="n">
        <v>4</v>
      </c>
      <c r="AF31" t="n">
        <v>24</v>
      </c>
      <c r="AG31" t="n">
        <v>31</v>
      </c>
      <c r="AH31" t="n">
        <v>2</v>
      </c>
      <c r="AI31" t="n">
        <v>3</v>
      </c>
      <c r="AJ31" t="n">
        <v>3</v>
      </c>
      <c r="AK31" t="n">
        <v>4</v>
      </c>
      <c r="AL31" t="n">
        <v>6</v>
      </c>
      <c r="AM31" t="n">
        <v>8</v>
      </c>
      <c r="AN31" t="n">
        <v>2</v>
      </c>
      <c r="AO31" t="n">
        <v>2</v>
      </c>
      <c r="AP31" t="n">
        <v>14</v>
      </c>
      <c r="AQ31" t="n">
        <v>18</v>
      </c>
      <c r="AR31" t="inlineStr">
        <is>
          <t>No</t>
        </is>
      </c>
      <c r="AS31" t="inlineStr">
        <is>
          <t>Yes</t>
        </is>
      </c>
      <c r="AT31">
        <f>HYPERLINK("http://catalog.hathitrust.org/Record/001536134","HathiTrust Record")</f>
        <v/>
      </c>
      <c r="AU31">
        <f>HYPERLINK("https://creighton-primo.hosted.exlibrisgroup.com/primo-explore/search?tab=default_tab&amp;search_scope=EVERYTHING&amp;vid=01CRU&amp;lang=en_US&amp;offset=0&amp;query=any,contains,991001641349702656","Catalog Record")</f>
        <v/>
      </c>
      <c r="AV31">
        <f>HYPERLINK("http://www.worldcat.org/oclc/19553823","WorldCat Record")</f>
        <v/>
      </c>
      <c r="AW31" t="inlineStr">
        <is>
          <t>21149858:eng</t>
        </is>
      </c>
      <c r="AX31" t="inlineStr">
        <is>
          <t>19553823</t>
        </is>
      </c>
      <c r="AY31" t="inlineStr">
        <is>
          <t>991001641349702656</t>
        </is>
      </c>
      <c r="AZ31" t="inlineStr">
        <is>
          <t>991001641349702656</t>
        </is>
      </c>
      <c r="BA31" t="inlineStr">
        <is>
          <t>2272147460002656</t>
        </is>
      </c>
      <c r="BB31" t="inlineStr">
        <is>
          <t>BOOK</t>
        </is>
      </c>
      <c r="BD31" t="inlineStr">
        <is>
          <t>9780198252399</t>
        </is>
      </c>
      <c r="BE31" t="inlineStr">
        <is>
          <t>32285000359090</t>
        </is>
      </c>
      <c r="BF31" t="inlineStr">
        <is>
          <t>893772750</t>
        </is>
      </c>
    </row>
    <row r="32">
      <c r="B32" t="inlineStr">
        <is>
          <t>CURAL</t>
        </is>
      </c>
      <c r="C32" t="inlineStr">
        <is>
          <t>SHELVES</t>
        </is>
      </c>
      <c r="D32" t="inlineStr">
        <is>
          <t>K3240.4 .R348 1989</t>
        </is>
      </c>
      <c r="E32" t="inlineStr">
        <is>
          <t>0                      K  3240400R  348         1989</t>
        </is>
      </c>
      <c r="F32" t="inlineStr">
        <is>
          <t>The concept and present status of the international protection of human rights : forty years after the universal declaration / by B.G. Ramcharan.</t>
        </is>
      </c>
      <c r="H32" t="inlineStr">
        <is>
          <t>No</t>
        </is>
      </c>
      <c r="I32" t="inlineStr">
        <is>
          <t>1</t>
        </is>
      </c>
      <c r="J32" t="inlineStr">
        <is>
          <t>No</t>
        </is>
      </c>
      <c r="K32" t="inlineStr">
        <is>
          <t>No</t>
        </is>
      </c>
      <c r="L32" t="inlineStr">
        <is>
          <t>0</t>
        </is>
      </c>
      <c r="M32" t="inlineStr">
        <is>
          <t>Ramcharan, B. G.</t>
        </is>
      </c>
      <c r="N32" t="inlineStr">
        <is>
          <t>Dordrecht ; Boston : M. Nijhoff Publishers ; Norwell, MA, U.S.A. : Kluwer Academic Publishers [distributor], c1989.</t>
        </is>
      </c>
      <c r="O32" t="inlineStr">
        <is>
          <t>1989</t>
        </is>
      </c>
      <c r="Q32" t="inlineStr">
        <is>
          <t>eng</t>
        </is>
      </c>
      <c r="R32" t="inlineStr">
        <is>
          <t xml:space="preserve">ne </t>
        </is>
      </c>
      <c r="S32" t="inlineStr">
        <is>
          <t>International studies in human rights ; 13</t>
        </is>
      </c>
      <c r="T32" t="inlineStr">
        <is>
          <t xml:space="preserve">K  </t>
        </is>
      </c>
      <c r="U32" t="n">
        <v>11</v>
      </c>
      <c r="V32" t="n">
        <v>11</v>
      </c>
      <c r="W32" t="inlineStr">
        <is>
          <t>2003-11-18</t>
        </is>
      </c>
      <c r="X32" t="inlineStr">
        <is>
          <t>2003-11-18</t>
        </is>
      </c>
      <c r="Y32" t="inlineStr">
        <is>
          <t>1990-03-28</t>
        </is>
      </c>
      <c r="Z32" t="inlineStr">
        <is>
          <t>1990-03-28</t>
        </is>
      </c>
      <c r="AA32" t="n">
        <v>247</v>
      </c>
      <c r="AB32" t="n">
        <v>139</v>
      </c>
      <c r="AC32" t="n">
        <v>141</v>
      </c>
      <c r="AD32" t="n">
        <v>2</v>
      </c>
      <c r="AE32" t="n">
        <v>2</v>
      </c>
      <c r="AF32" t="n">
        <v>9</v>
      </c>
      <c r="AG32" t="n">
        <v>9</v>
      </c>
      <c r="AH32" t="n">
        <v>0</v>
      </c>
      <c r="AI32" t="n">
        <v>0</v>
      </c>
      <c r="AJ32" t="n">
        <v>2</v>
      </c>
      <c r="AK32" t="n">
        <v>2</v>
      </c>
      <c r="AL32" t="n">
        <v>1</v>
      </c>
      <c r="AM32" t="n">
        <v>1</v>
      </c>
      <c r="AN32" t="n">
        <v>1</v>
      </c>
      <c r="AO32" t="n">
        <v>1</v>
      </c>
      <c r="AP32" t="n">
        <v>6</v>
      </c>
      <c r="AQ32" t="n">
        <v>6</v>
      </c>
      <c r="AR32" t="inlineStr">
        <is>
          <t>No</t>
        </is>
      </c>
      <c r="AS32" t="inlineStr">
        <is>
          <t>Yes</t>
        </is>
      </c>
      <c r="AT32">
        <f>HYPERLINK("http://catalog.hathitrust.org/Record/001827027","HathiTrust Record")</f>
        <v/>
      </c>
      <c r="AU32">
        <f>HYPERLINK("https://creighton-primo.hosted.exlibrisgroup.com/primo-explore/search?tab=default_tab&amp;search_scope=EVERYTHING&amp;vid=01CRU&amp;lang=en_US&amp;offset=0&amp;query=any,contains,991001326589702656","Catalog Record")</f>
        <v/>
      </c>
      <c r="AV32">
        <f>HYPERLINK("http://www.worldcat.org/oclc/18290006","WorldCat Record")</f>
        <v/>
      </c>
      <c r="AW32" t="inlineStr">
        <is>
          <t>17888549:eng</t>
        </is>
      </c>
      <c r="AX32" t="inlineStr">
        <is>
          <t>18290006</t>
        </is>
      </c>
      <c r="AY32" t="inlineStr">
        <is>
          <t>991001326589702656</t>
        </is>
      </c>
      <c r="AZ32" t="inlineStr">
        <is>
          <t>991001326589702656</t>
        </is>
      </c>
      <c r="BA32" t="inlineStr">
        <is>
          <t>2262616810002656</t>
        </is>
      </c>
      <c r="BB32" t="inlineStr">
        <is>
          <t>BOOK</t>
        </is>
      </c>
      <c r="BD32" t="inlineStr">
        <is>
          <t>9789024737598</t>
        </is>
      </c>
      <c r="BE32" t="inlineStr">
        <is>
          <t>32285000091271</t>
        </is>
      </c>
      <c r="BF32" t="inlineStr">
        <is>
          <t>893250159</t>
        </is>
      </c>
    </row>
    <row r="33">
      <c r="B33" t="inlineStr">
        <is>
          <t>CURAL</t>
        </is>
      </c>
      <c r="C33" t="inlineStr">
        <is>
          <t>SHELVES</t>
        </is>
      </c>
      <c r="D33" t="inlineStr">
        <is>
          <t>K3240.4 .R6 1972</t>
        </is>
      </c>
      <c r="E33" t="inlineStr">
        <is>
          <t>0                      K  3240400R  6           1972</t>
        </is>
      </c>
      <c r="F33" t="inlineStr">
        <is>
          <t>Human rights in the world, being an account of the United Nations covenants on human rights : the European Convention, the American Convention, the Permanent Arab Commission, the proposed African Commission and recent developments affecting humanitarian law / [by] A. H. Robertson.</t>
        </is>
      </c>
      <c r="H33" t="inlineStr">
        <is>
          <t>No</t>
        </is>
      </c>
      <c r="I33" t="inlineStr">
        <is>
          <t>1</t>
        </is>
      </c>
      <c r="J33" t="inlineStr">
        <is>
          <t>No</t>
        </is>
      </c>
      <c r="K33" t="inlineStr">
        <is>
          <t>No</t>
        </is>
      </c>
      <c r="L33" t="inlineStr">
        <is>
          <t>0</t>
        </is>
      </c>
      <c r="M33" t="inlineStr">
        <is>
          <t>Robertson, A. H. (Arthur Henry), 1913-1984.</t>
        </is>
      </c>
      <c r="N33" t="inlineStr">
        <is>
          <t>[Manchester, Eng.] : Manchester University Press [distributed by Humanities Press, New York, 1972]</t>
        </is>
      </c>
      <c r="O33" t="inlineStr">
        <is>
          <t>1972</t>
        </is>
      </c>
      <c r="Q33" t="inlineStr">
        <is>
          <t>eng</t>
        </is>
      </c>
      <c r="R33" t="inlineStr">
        <is>
          <t>enk</t>
        </is>
      </c>
      <c r="T33" t="inlineStr">
        <is>
          <t xml:space="preserve">K  </t>
        </is>
      </c>
      <c r="U33" t="n">
        <v>2</v>
      </c>
      <c r="V33" t="n">
        <v>2</v>
      </c>
      <c r="W33" t="inlineStr">
        <is>
          <t>2003-02-13</t>
        </is>
      </c>
      <c r="X33" t="inlineStr">
        <is>
          <t>2003-02-13</t>
        </is>
      </c>
      <c r="Y33" t="inlineStr">
        <is>
          <t>1992-07-23</t>
        </is>
      </c>
      <c r="Z33" t="inlineStr">
        <is>
          <t>1992-07-23</t>
        </is>
      </c>
      <c r="AA33" t="n">
        <v>354</v>
      </c>
      <c r="AB33" t="n">
        <v>248</v>
      </c>
      <c r="AC33" t="n">
        <v>255</v>
      </c>
      <c r="AD33" t="n">
        <v>3</v>
      </c>
      <c r="AE33" t="n">
        <v>3</v>
      </c>
      <c r="AF33" t="n">
        <v>14</v>
      </c>
      <c r="AG33" t="n">
        <v>14</v>
      </c>
      <c r="AH33" t="n">
        <v>2</v>
      </c>
      <c r="AI33" t="n">
        <v>2</v>
      </c>
      <c r="AJ33" t="n">
        <v>3</v>
      </c>
      <c r="AK33" t="n">
        <v>3</v>
      </c>
      <c r="AL33" t="n">
        <v>6</v>
      </c>
      <c r="AM33" t="n">
        <v>6</v>
      </c>
      <c r="AN33" t="n">
        <v>1</v>
      </c>
      <c r="AO33" t="n">
        <v>1</v>
      </c>
      <c r="AP33" t="n">
        <v>3</v>
      </c>
      <c r="AQ33" t="n">
        <v>3</v>
      </c>
      <c r="AR33" t="inlineStr">
        <is>
          <t>No</t>
        </is>
      </c>
      <c r="AS33" t="inlineStr">
        <is>
          <t>Yes</t>
        </is>
      </c>
      <c r="AT33">
        <f>HYPERLINK("http://catalog.hathitrust.org/Record/004425814","HathiTrust Record")</f>
        <v/>
      </c>
      <c r="AU33">
        <f>HYPERLINK("https://creighton-primo.hosted.exlibrisgroup.com/primo-explore/search?tab=default_tab&amp;search_scope=EVERYTHING&amp;vid=01CRU&amp;lang=en_US&amp;offset=0&amp;query=any,contains,991002865879702656","Catalog Record")</f>
        <v/>
      </c>
      <c r="AV33">
        <f>HYPERLINK("http://www.worldcat.org/oclc/495783","WorldCat Record")</f>
        <v/>
      </c>
      <c r="AW33" t="inlineStr">
        <is>
          <t>3943413794:eng</t>
        </is>
      </c>
      <c r="AX33" t="inlineStr">
        <is>
          <t>495783</t>
        </is>
      </c>
      <c r="AY33" t="inlineStr">
        <is>
          <t>991002865879702656</t>
        </is>
      </c>
      <c r="AZ33" t="inlineStr">
        <is>
          <t>991002865879702656</t>
        </is>
      </c>
      <c r="BA33" t="inlineStr">
        <is>
          <t>2256933000002656</t>
        </is>
      </c>
      <c r="BB33" t="inlineStr">
        <is>
          <t>BOOK</t>
        </is>
      </c>
      <c r="BD33" t="inlineStr">
        <is>
          <t>9780719004766</t>
        </is>
      </c>
      <c r="BE33" t="inlineStr">
        <is>
          <t>32285001195063</t>
        </is>
      </c>
      <c r="BF33" t="inlineStr">
        <is>
          <t>893604147</t>
        </is>
      </c>
    </row>
    <row r="34">
      <c r="B34" t="inlineStr">
        <is>
          <t>CURAL</t>
        </is>
      </c>
      <c r="C34" t="inlineStr">
        <is>
          <t>SHELVES</t>
        </is>
      </c>
      <c r="D34" t="inlineStr">
        <is>
          <t>K3240.6 .I53</t>
        </is>
      </c>
      <c r="E34" t="inlineStr">
        <is>
          <t>0                      K  3240600I  53</t>
        </is>
      </c>
      <c r="F34" t="inlineStr">
        <is>
          <t>The International Bill of Rights : the Covenant on Civil and Political Rights / Louis Henkin, editor.</t>
        </is>
      </c>
      <c r="H34" t="inlineStr">
        <is>
          <t>No</t>
        </is>
      </c>
      <c r="I34" t="inlineStr">
        <is>
          <t>1</t>
        </is>
      </c>
      <c r="J34" t="inlineStr">
        <is>
          <t>No</t>
        </is>
      </c>
      <c r="K34" t="inlineStr">
        <is>
          <t>No</t>
        </is>
      </c>
      <c r="L34" t="inlineStr">
        <is>
          <t>0</t>
        </is>
      </c>
      <c r="N34" t="inlineStr">
        <is>
          <t>New York : Columbia University Press, 1981.</t>
        </is>
      </c>
      <c r="O34" t="inlineStr">
        <is>
          <t>1981</t>
        </is>
      </c>
      <c r="Q34" t="inlineStr">
        <is>
          <t>eng</t>
        </is>
      </c>
      <c r="R34" t="inlineStr">
        <is>
          <t>nyu</t>
        </is>
      </c>
      <c r="T34" t="inlineStr">
        <is>
          <t xml:space="preserve">K  </t>
        </is>
      </c>
      <c r="U34" t="n">
        <v>3</v>
      </c>
      <c r="V34" t="n">
        <v>3</v>
      </c>
      <c r="W34" t="inlineStr">
        <is>
          <t>2002-11-17</t>
        </is>
      </c>
      <c r="X34" t="inlineStr">
        <is>
          <t>2002-11-17</t>
        </is>
      </c>
      <c r="Y34" t="inlineStr">
        <is>
          <t>1992-06-12</t>
        </is>
      </c>
      <c r="Z34" t="inlineStr">
        <is>
          <t>1992-06-12</t>
        </is>
      </c>
      <c r="AA34" t="n">
        <v>822</v>
      </c>
      <c r="AB34" t="n">
        <v>654</v>
      </c>
      <c r="AC34" t="n">
        <v>654</v>
      </c>
      <c r="AD34" t="n">
        <v>6</v>
      </c>
      <c r="AE34" t="n">
        <v>6</v>
      </c>
      <c r="AF34" t="n">
        <v>54</v>
      </c>
      <c r="AG34" t="n">
        <v>54</v>
      </c>
      <c r="AH34" t="n">
        <v>16</v>
      </c>
      <c r="AI34" t="n">
        <v>16</v>
      </c>
      <c r="AJ34" t="n">
        <v>8</v>
      </c>
      <c r="AK34" t="n">
        <v>8</v>
      </c>
      <c r="AL34" t="n">
        <v>17</v>
      </c>
      <c r="AM34" t="n">
        <v>17</v>
      </c>
      <c r="AN34" t="n">
        <v>4</v>
      </c>
      <c r="AO34" t="n">
        <v>4</v>
      </c>
      <c r="AP34" t="n">
        <v>20</v>
      </c>
      <c r="AQ34" t="n">
        <v>20</v>
      </c>
      <c r="AR34" t="inlineStr">
        <is>
          <t>No</t>
        </is>
      </c>
      <c r="AS34" t="inlineStr">
        <is>
          <t>No</t>
        </is>
      </c>
      <c r="AU34">
        <f>HYPERLINK("https://creighton-primo.hosted.exlibrisgroup.com/primo-explore/search?tab=default_tab&amp;search_scope=EVERYTHING&amp;vid=01CRU&amp;lang=en_US&amp;offset=0&amp;query=any,contains,991005117749702656","Catalog Record")</f>
        <v/>
      </c>
      <c r="AV34">
        <f>HYPERLINK("http://www.worldcat.org/oclc/7464593","WorldCat Record")</f>
        <v/>
      </c>
      <c r="AW34" t="inlineStr">
        <is>
          <t>809699003:eng</t>
        </is>
      </c>
      <c r="AX34" t="inlineStr">
        <is>
          <t>7464593</t>
        </is>
      </c>
      <c r="AY34" t="inlineStr">
        <is>
          <t>991005117749702656</t>
        </is>
      </c>
      <c r="AZ34" t="inlineStr">
        <is>
          <t>991005117749702656</t>
        </is>
      </c>
      <c r="BA34" t="inlineStr">
        <is>
          <t>2262284110002656</t>
        </is>
      </c>
      <c r="BB34" t="inlineStr">
        <is>
          <t>BOOK</t>
        </is>
      </c>
      <c r="BD34" t="inlineStr">
        <is>
          <t>9780231051804</t>
        </is>
      </c>
      <c r="BE34" t="inlineStr">
        <is>
          <t>32285001171353</t>
        </is>
      </c>
      <c r="BF34" t="inlineStr">
        <is>
          <t>893430883</t>
        </is>
      </c>
    </row>
    <row r="35">
      <c r="B35" t="inlineStr">
        <is>
          <t>CURAL</t>
        </is>
      </c>
      <c r="C35" t="inlineStr">
        <is>
          <t>SHELVES</t>
        </is>
      </c>
      <c r="D35" t="inlineStr">
        <is>
          <t>K3242 .M35 1983</t>
        </is>
      </c>
      <c r="E35" t="inlineStr">
        <is>
          <t>0                      K  3242000M  35          1983</t>
        </is>
      </c>
      <c r="F35" t="inlineStr">
        <is>
          <t>Equality and discrimination under international law / Warwick McKean.</t>
        </is>
      </c>
      <c r="H35" t="inlineStr">
        <is>
          <t>No</t>
        </is>
      </c>
      <c r="I35" t="inlineStr">
        <is>
          <t>1</t>
        </is>
      </c>
      <c r="J35" t="inlineStr">
        <is>
          <t>No</t>
        </is>
      </c>
      <c r="K35" t="inlineStr">
        <is>
          <t>No</t>
        </is>
      </c>
      <c r="L35" t="inlineStr">
        <is>
          <t>0</t>
        </is>
      </c>
      <c r="M35" t="inlineStr">
        <is>
          <t>McKean, W. A. (Warwick Alexander)</t>
        </is>
      </c>
      <c r="N35" t="inlineStr">
        <is>
          <t>Oxford : Clarendon Press ; New York : Oxford University Press, 1983.</t>
        </is>
      </c>
      <c r="O35" t="inlineStr">
        <is>
          <t>1983</t>
        </is>
      </c>
      <c r="Q35" t="inlineStr">
        <is>
          <t>eng</t>
        </is>
      </c>
      <c r="R35" t="inlineStr">
        <is>
          <t>enk</t>
        </is>
      </c>
      <c r="T35" t="inlineStr">
        <is>
          <t xml:space="preserve">K  </t>
        </is>
      </c>
      <c r="U35" t="n">
        <v>1</v>
      </c>
      <c r="V35" t="n">
        <v>1</v>
      </c>
      <c r="W35" t="inlineStr">
        <is>
          <t>2003-02-13</t>
        </is>
      </c>
      <c r="X35" t="inlineStr">
        <is>
          <t>2003-02-13</t>
        </is>
      </c>
      <c r="Y35" t="inlineStr">
        <is>
          <t>1992-01-23</t>
        </is>
      </c>
      <c r="Z35" t="inlineStr">
        <is>
          <t>1992-01-23</t>
        </is>
      </c>
      <c r="AA35" t="n">
        <v>423</v>
      </c>
      <c r="AB35" t="n">
        <v>263</v>
      </c>
      <c r="AC35" t="n">
        <v>289</v>
      </c>
      <c r="AD35" t="n">
        <v>2</v>
      </c>
      <c r="AE35" t="n">
        <v>2</v>
      </c>
      <c r="AF35" t="n">
        <v>22</v>
      </c>
      <c r="AG35" t="n">
        <v>23</v>
      </c>
      <c r="AH35" t="n">
        <v>2</v>
      </c>
      <c r="AI35" t="n">
        <v>2</v>
      </c>
      <c r="AJ35" t="n">
        <v>2</v>
      </c>
      <c r="AK35" t="n">
        <v>2</v>
      </c>
      <c r="AL35" t="n">
        <v>2</v>
      </c>
      <c r="AM35" t="n">
        <v>2</v>
      </c>
      <c r="AN35" t="n">
        <v>0</v>
      </c>
      <c r="AO35" t="n">
        <v>0</v>
      </c>
      <c r="AP35" t="n">
        <v>17</v>
      </c>
      <c r="AQ35" t="n">
        <v>18</v>
      </c>
      <c r="AR35" t="inlineStr">
        <is>
          <t>No</t>
        </is>
      </c>
      <c r="AS35" t="inlineStr">
        <is>
          <t>Yes</t>
        </is>
      </c>
      <c r="AT35">
        <f>HYPERLINK("http://catalog.hathitrust.org/Record/000114540","HathiTrust Record")</f>
        <v/>
      </c>
      <c r="AU35">
        <f>HYPERLINK("https://creighton-primo.hosted.exlibrisgroup.com/primo-explore/search?tab=default_tab&amp;search_scope=EVERYTHING&amp;vid=01CRU&amp;lang=en_US&amp;offset=0&amp;query=any,contains,991000260959702656","Catalog Record")</f>
        <v/>
      </c>
      <c r="AV35">
        <f>HYPERLINK("http://www.worldcat.org/oclc/9815183","WorldCat Record")</f>
        <v/>
      </c>
      <c r="AW35" t="inlineStr">
        <is>
          <t>7374893:eng</t>
        </is>
      </c>
      <c r="AX35" t="inlineStr">
        <is>
          <t>9815183</t>
        </is>
      </c>
      <c r="AY35" t="inlineStr">
        <is>
          <t>991000260959702656</t>
        </is>
      </c>
      <c r="AZ35" t="inlineStr">
        <is>
          <t>991000260959702656</t>
        </is>
      </c>
      <c r="BA35" t="inlineStr">
        <is>
          <t>2270899980002656</t>
        </is>
      </c>
      <c r="BB35" t="inlineStr">
        <is>
          <t>BOOK</t>
        </is>
      </c>
      <c r="BD35" t="inlineStr">
        <is>
          <t>9780198253112</t>
        </is>
      </c>
      <c r="BE35" t="inlineStr">
        <is>
          <t>32285000917509</t>
        </is>
      </c>
      <c r="BF35" t="inlineStr">
        <is>
          <t>893314804</t>
        </is>
      </c>
    </row>
    <row r="36">
      <c r="B36" t="inlineStr">
        <is>
          <t>CURAL</t>
        </is>
      </c>
      <c r="C36" t="inlineStr">
        <is>
          <t>SHELVES</t>
        </is>
      </c>
      <c r="D36" t="inlineStr">
        <is>
          <t>K3255.A12 M3 1967-77</t>
        </is>
      </c>
      <c r="E36" t="inlineStr">
        <is>
          <t>0                      K  3255000A  12                 M  3           1967                  -77</t>
        </is>
      </c>
      <c r="F36" t="inlineStr">
        <is>
          <t>Freedom of the press, a bibliocyclopedia : ten-year supplement (1967-1977) / Ralph E. McCoy ; with a foreword by Robert B. Downs.</t>
        </is>
      </c>
      <c r="H36" t="inlineStr">
        <is>
          <t>No</t>
        </is>
      </c>
      <c r="I36" t="inlineStr">
        <is>
          <t>1</t>
        </is>
      </c>
      <c r="J36" t="inlineStr">
        <is>
          <t>No</t>
        </is>
      </c>
      <c r="K36" t="inlineStr">
        <is>
          <t>No</t>
        </is>
      </c>
      <c r="L36" t="inlineStr">
        <is>
          <t>0</t>
        </is>
      </c>
      <c r="M36" t="inlineStr">
        <is>
          <t>McCoy, Ralph E. (Ralph Edward), 1915-2007.</t>
        </is>
      </c>
      <c r="N36" t="inlineStr">
        <is>
          <t>Carbondale : Southern Illinois Press, c1978</t>
        </is>
      </c>
      <c r="O36" t="inlineStr">
        <is>
          <t>1978</t>
        </is>
      </c>
      <c r="Q36" t="inlineStr">
        <is>
          <t>eng</t>
        </is>
      </c>
      <c r="R36" t="inlineStr">
        <is>
          <t>ilu</t>
        </is>
      </c>
      <c r="T36" t="inlineStr">
        <is>
          <t xml:space="preserve">K  </t>
        </is>
      </c>
      <c r="U36" t="n">
        <v>2</v>
      </c>
      <c r="V36" t="n">
        <v>2</v>
      </c>
      <c r="W36" t="inlineStr">
        <is>
          <t>1994-02-21</t>
        </is>
      </c>
      <c r="X36" t="inlineStr">
        <is>
          <t>1994-02-21</t>
        </is>
      </c>
      <c r="Y36" t="inlineStr">
        <is>
          <t>1993-07-23</t>
        </is>
      </c>
      <c r="Z36" t="inlineStr">
        <is>
          <t>1993-07-23</t>
        </is>
      </c>
      <c r="AA36" t="n">
        <v>537</v>
      </c>
      <c r="AB36" t="n">
        <v>485</v>
      </c>
      <c r="AC36" t="n">
        <v>1255</v>
      </c>
      <c r="AD36" t="n">
        <v>4</v>
      </c>
      <c r="AE36" t="n">
        <v>7</v>
      </c>
      <c r="AF36" t="n">
        <v>27</v>
      </c>
      <c r="AG36" t="n">
        <v>38</v>
      </c>
      <c r="AH36" t="n">
        <v>6</v>
      </c>
      <c r="AI36" t="n">
        <v>12</v>
      </c>
      <c r="AJ36" t="n">
        <v>3</v>
      </c>
      <c r="AK36" t="n">
        <v>5</v>
      </c>
      <c r="AL36" t="n">
        <v>8</v>
      </c>
      <c r="AM36" t="n">
        <v>13</v>
      </c>
      <c r="AN36" t="n">
        <v>2</v>
      </c>
      <c r="AO36" t="n">
        <v>4</v>
      </c>
      <c r="AP36" t="n">
        <v>11</v>
      </c>
      <c r="AQ36" t="n">
        <v>11</v>
      </c>
      <c r="AR36" t="inlineStr">
        <is>
          <t>No</t>
        </is>
      </c>
      <c r="AS36" t="inlineStr">
        <is>
          <t>Yes</t>
        </is>
      </c>
      <c r="AT36">
        <f>HYPERLINK("http://catalog.hathitrust.org/Record/000176753","HathiTrust Record")</f>
        <v/>
      </c>
      <c r="AU36">
        <f>HYPERLINK("https://creighton-primo.hosted.exlibrisgroup.com/primo-explore/search?tab=default_tab&amp;search_scope=EVERYTHING&amp;vid=01CRU&amp;lang=en_US&amp;offset=0&amp;query=any,contains,991005265959702656","Catalog Record")</f>
        <v/>
      </c>
      <c r="AV36">
        <f>HYPERLINK("http://www.worldcat.org/oclc/4004709","WorldCat Record")</f>
        <v/>
      </c>
      <c r="AW36" t="inlineStr">
        <is>
          <t>4202293338:eng</t>
        </is>
      </c>
      <c r="AX36" t="inlineStr">
        <is>
          <t>4004709</t>
        </is>
      </c>
      <c r="AY36" t="inlineStr">
        <is>
          <t>991005265959702656</t>
        </is>
      </c>
      <c r="AZ36" t="inlineStr">
        <is>
          <t>991005265959702656</t>
        </is>
      </c>
      <c r="BA36" t="inlineStr">
        <is>
          <t>2265019990002656</t>
        </is>
      </c>
      <c r="BB36" t="inlineStr">
        <is>
          <t>BOOK</t>
        </is>
      </c>
      <c r="BD36" t="inlineStr">
        <is>
          <t>9780809308446</t>
        </is>
      </c>
      <c r="BE36" t="inlineStr">
        <is>
          <t>32285001745263</t>
        </is>
      </c>
      <c r="BF36" t="inlineStr">
        <is>
          <t>893795892</t>
        </is>
      </c>
    </row>
    <row r="37">
      <c r="B37" t="inlineStr">
        <is>
          <t>CURAL</t>
        </is>
      </c>
      <c r="C37" t="inlineStr">
        <is>
          <t>SHELVES</t>
        </is>
      </c>
      <c r="D37" t="inlineStr">
        <is>
          <t>K331 .F84</t>
        </is>
      </c>
      <c r="E37" t="inlineStr">
        <is>
          <t>0                      K  0331000F  84</t>
        </is>
      </c>
      <c r="F37" t="inlineStr">
        <is>
          <t>The law in quest of itself.</t>
        </is>
      </c>
      <c r="H37" t="inlineStr">
        <is>
          <t>No</t>
        </is>
      </c>
      <c r="I37" t="inlineStr">
        <is>
          <t>1</t>
        </is>
      </c>
      <c r="J37" t="inlineStr">
        <is>
          <t>No</t>
        </is>
      </c>
      <c r="K37" t="inlineStr">
        <is>
          <t>No</t>
        </is>
      </c>
      <c r="L37" t="inlineStr">
        <is>
          <t>0</t>
        </is>
      </c>
      <c r="M37" t="inlineStr">
        <is>
          <t>Fuller, Lon L. (Lon Luvois), 1902-1978.</t>
        </is>
      </c>
      <c r="N37" t="inlineStr">
        <is>
          <t>Boston : Beacon Press, [1966]</t>
        </is>
      </c>
      <c r="O37" t="inlineStr">
        <is>
          <t>1966</t>
        </is>
      </c>
      <c r="Q37" t="inlineStr">
        <is>
          <t>eng</t>
        </is>
      </c>
      <c r="R37" t="inlineStr">
        <is>
          <t>___</t>
        </is>
      </c>
      <c r="S37" t="inlineStr">
        <is>
          <t>Beacon paperback, no. 228.</t>
        </is>
      </c>
      <c r="T37" t="inlineStr">
        <is>
          <t xml:space="preserve">K  </t>
        </is>
      </c>
      <c r="U37" t="n">
        <v>2</v>
      </c>
      <c r="V37" t="n">
        <v>2</v>
      </c>
      <c r="W37" t="inlineStr">
        <is>
          <t>2002-03-25</t>
        </is>
      </c>
      <c r="X37" t="inlineStr">
        <is>
          <t>2002-03-25</t>
        </is>
      </c>
      <c r="Y37" t="inlineStr">
        <is>
          <t>1992-06-11</t>
        </is>
      </c>
      <c r="Z37" t="inlineStr">
        <is>
          <t>1992-06-11</t>
        </is>
      </c>
      <c r="AA37" t="n">
        <v>206</v>
      </c>
      <c r="AB37" t="n">
        <v>182</v>
      </c>
      <c r="AC37" t="n">
        <v>220</v>
      </c>
      <c r="AD37" t="n">
        <v>1</v>
      </c>
      <c r="AE37" t="n">
        <v>1</v>
      </c>
      <c r="AF37" t="n">
        <v>8</v>
      </c>
      <c r="AG37" t="n">
        <v>11</v>
      </c>
      <c r="AH37" t="n">
        <v>0</v>
      </c>
      <c r="AI37" t="n">
        <v>1</v>
      </c>
      <c r="AJ37" t="n">
        <v>1</v>
      </c>
      <c r="AK37" t="n">
        <v>2</v>
      </c>
      <c r="AL37" t="n">
        <v>4</v>
      </c>
      <c r="AM37" t="n">
        <v>6</v>
      </c>
      <c r="AN37" t="n">
        <v>0</v>
      </c>
      <c r="AO37" t="n">
        <v>0</v>
      </c>
      <c r="AP37" t="n">
        <v>3</v>
      </c>
      <c r="AQ37" t="n">
        <v>3</v>
      </c>
      <c r="AR37" t="inlineStr">
        <is>
          <t>No</t>
        </is>
      </c>
      <c r="AS37" t="inlineStr">
        <is>
          <t>No</t>
        </is>
      </c>
      <c r="AU37">
        <f>HYPERLINK("https://creighton-primo.hosted.exlibrisgroup.com/primo-explore/search?tab=default_tab&amp;search_scope=EVERYTHING&amp;vid=01CRU&amp;lang=en_US&amp;offset=0&amp;query=any,contains,991000962969702656","Catalog Record")</f>
        <v/>
      </c>
      <c r="AV37">
        <f>HYPERLINK("http://www.worldcat.org/oclc/169747","WorldCat Record")</f>
        <v/>
      </c>
      <c r="AW37" t="inlineStr">
        <is>
          <t>140343743:eng</t>
        </is>
      </c>
      <c r="AX37" t="inlineStr">
        <is>
          <t>169747</t>
        </is>
      </c>
      <c r="AY37" t="inlineStr">
        <is>
          <t>991000962969702656</t>
        </is>
      </c>
      <c r="AZ37" t="inlineStr">
        <is>
          <t>991000962969702656</t>
        </is>
      </c>
      <c r="BA37" t="inlineStr">
        <is>
          <t>2263957300002656</t>
        </is>
      </c>
      <c r="BB37" t="inlineStr">
        <is>
          <t>BOOK</t>
        </is>
      </c>
      <c r="BE37" t="inlineStr">
        <is>
          <t>32285001170496</t>
        </is>
      </c>
      <c r="BF37" t="inlineStr">
        <is>
          <t>893321533</t>
        </is>
      </c>
    </row>
    <row r="38">
      <c r="B38" t="inlineStr">
        <is>
          <t>CURAL</t>
        </is>
      </c>
      <c r="C38" t="inlineStr">
        <is>
          <t>SHELVES</t>
        </is>
      </c>
      <c r="D38" t="inlineStr">
        <is>
          <t>K331 .M3313 1986</t>
        </is>
      </c>
      <c r="E38" t="inlineStr">
        <is>
          <t>0                      K  0331000M  3313        1986</t>
        </is>
      </c>
      <c r="F38" t="inlineStr">
        <is>
          <t>An institutional theory of law : new approaches to legal positivism / Neil MacCormick and Ota Weinberger.</t>
        </is>
      </c>
      <c r="H38" t="inlineStr">
        <is>
          <t>No</t>
        </is>
      </c>
      <c r="I38" t="inlineStr">
        <is>
          <t>1</t>
        </is>
      </c>
      <c r="J38" t="inlineStr">
        <is>
          <t>No</t>
        </is>
      </c>
      <c r="K38" t="inlineStr">
        <is>
          <t>No</t>
        </is>
      </c>
      <c r="L38" t="inlineStr">
        <is>
          <t>0</t>
        </is>
      </c>
      <c r="M38" t="inlineStr">
        <is>
          <t>MacCormick, Neil.</t>
        </is>
      </c>
      <c r="N38" t="inlineStr">
        <is>
          <t>Dordrecht, Holland ; Boston : D. Reidel Publishing Co., c1986.</t>
        </is>
      </c>
      <c r="O38" t="inlineStr">
        <is>
          <t>1986</t>
        </is>
      </c>
      <c r="Q38" t="inlineStr">
        <is>
          <t>eng</t>
        </is>
      </c>
      <c r="R38" t="inlineStr">
        <is>
          <t xml:space="preserve">ne </t>
        </is>
      </c>
      <c r="S38" t="inlineStr">
        <is>
          <t>Law and philosophy library</t>
        </is>
      </c>
      <c r="T38" t="inlineStr">
        <is>
          <t xml:space="preserve">K  </t>
        </is>
      </c>
      <c r="U38" t="n">
        <v>3</v>
      </c>
      <c r="V38" t="n">
        <v>3</v>
      </c>
      <c r="W38" t="inlineStr">
        <is>
          <t>2002-03-25</t>
        </is>
      </c>
      <c r="X38" t="inlineStr">
        <is>
          <t>2002-03-25</t>
        </is>
      </c>
      <c r="Y38" t="inlineStr">
        <is>
          <t>1992-06-11</t>
        </is>
      </c>
      <c r="Z38" t="inlineStr">
        <is>
          <t>1992-06-11</t>
        </is>
      </c>
      <c r="AA38" t="n">
        <v>334</v>
      </c>
      <c r="AB38" t="n">
        <v>216</v>
      </c>
      <c r="AC38" t="n">
        <v>230</v>
      </c>
      <c r="AD38" t="n">
        <v>1</v>
      </c>
      <c r="AE38" t="n">
        <v>1</v>
      </c>
      <c r="AF38" t="n">
        <v>23</v>
      </c>
      <c r="AG38" t="n">
        <v>24</v>
      </c>
      <c r="AH38" t="n">
        <v>1</v>
      </c>
      <c r="AI38" t="n">
        <v>2</v>
      </c>
      <c r="AJ38" t="n">
        <v>2</v>
      </c>
      <c r="AK38" t="n">
        <v>2</v>
      </c>
      <c r="AL38" t="n">
        <v>7</v>
      </c>
      <c r="AM38" t="n">
        <v>8</v>
      </c>
      <c r="AN38" t="n">
        <v>0</v>
      </c>
      <c r="AO38" t="n">
        <v>0</v>
      </c>
      <c r="AP38" t="n">
        <v>16</v>
      </c>
      <c r="AQ38" t="n">
        <v>16</v>
      </c>
      <c r="AR38" t="inlineStr">
        <is>
          <t>No</t>
        </is>
      </c>
      <c r="AS38" t="inlineStr">
        <is>
          <t>No</t>
        </is>
      </c>
      <c r="AU38">
        <f>HYPERLINK("https://creighton-primo.hosted.exlibrisgroup.com/primo-explore/search?tab=default_tab&amp;search_scope=EVERYTHING&amp;vid=01CRU&amp;lang=en_US&amp;offset=0&amp;query=any,contains,991000806559702656","Catalog Record")</f>
        <v/>
      </c>
      <c r="AV38">
        <f>HYPERLINK("http://www.worldcat.org/oclc/13302714","WorldCat Record")</f>
        <v/>
      </c>
      <c r="AW38" t="inlineStr">
        <is>
          <t>4872424:eng</t>
        </is>
      </c>
      <c r="AX38" t="inlineStr">
        <is>
          <t>13302714</t>
        </is>
      </c>
      <c r="AY38" t="inlineStr">
        <is>
          <t>991000806559702656</t>
        </is>
      </c>
      <c r="AZ38" t="inlineStr">
        <is>
          <t>991000806559702656</t>
        </is>
      </c>
      <c r="BA38" t="inlineStr">
        <is>
          <t>2272344480002656</t>
        </is>
      </c>
      <c r="BB38" t="inlineStr">
        <is>
          <t>BOOK</t>
        </is>
      </c>
      <c r="BD38" t="inlineStr">
        <is>
          <t>9789027720795</t>
        </is>
      </c>
      <c r="BE38" t="inlineStr">
        <is>
          <t>32285001170504</t>
        </is>
      </c>
      <c r="BF38" t="inlineStr">
        <is>
          <t>893426058</t>
        </is>
      </c>
    </row>
    <row r="39">
      <c r="B39" t="inlineStr">
        <is>
          <t>CURAL</t>
        </is>
      </c>
      <c r="C39" t="inlineStr">
        <is>
          <t>SHELVES</t>
        </is>
      </c>
      <c r="D39" t="inlineStr">
        <is>
          <t>K3312 .C6</t>
        </is>
      </c>
      <c r="E39" t="inlineStr">
        <is>
          <t>0                      K  3312000C  6</t>
        </is>
      </c>
      <c r="F39" t="inlineStr">
        <is>
          <t>Committees in legislatures : a comparative analysis / edited by John D. Lees and Malcolm Shaw.</t>
        </is>
      </c>
      <c r="H39" t="inlineStr">
        <is>
          <t>No</t>
        </is>
      </c>
      <c r="I39" t="inlineStr">
        <is>
          <t>1</t>
        </is>
      </c>
      <c r="J39" t="inlineStr">
        <is>
          <t>No</t>
        </is>
      </c>
      <c r="K39" t="inlineStr">
        <is>
          <t>No</t>
        </is>
      </c>
      <c r="L39" t="inlineStr">
        <is>
          <t>0</t>
        </is>
      </c>
      <c r="N39" t="inlineStr">
        <is>
          <t>Durham, N. C. : Duke University Press, 1979.</t>
        </is>
      </c>
      <c r="O39" t="inlineStr">
        <is>
          <t>1979</t>
        </is>
      </c>
      <c r="Q39" t="inlineStr">
        <is>
          <t>eng</t>
        </is>
      </c>
      <c r="R39" t="inlineStr">
        <is>
          <t>ncu</t>
        </is>
      </c>
      <c r="S39" t="inlineStr">
        <is>
          <t>Publications - Consortium for Comparative Legislative Studies</t>
        </is>
      </c>
      <c r="T39" t="inlineStr">
        <is>
          <t xml:space="preserve">K  </t>
        </is>
      </c>
      <c r="U39" t="n">
        <v>4</v>
      </c>
      <c r="V39" t="n">
        <v>4</v>
      </c>
      <c r="W39" t="inlineStr">
        <is>
          <t>2006-10-25</t>
        </is>
      </c>
      <c r="X39" t="inlineStr">
        <is>
          <t>2006-10-25</t>
        </is>
      </c>
      <c r="Y39" t="inlineStr">
        <is>
          <t>1992-06-12</t>
        </is>
      </c>
      <c r="Z39" t="inlineStr">
        <is>
          <t>1992-06-12</t>
        </is>
      </c>
      <c r="AA39" t="n">
        <v>394</v>
      </c>
      <c r="AB39" t="n">
        <v>317</v>
      </c>
      <c r="AC39" t="n">
        <v>324</v>
      </c>
      <c r="AD39" t="n">
        <v>3</v>
      </c>
      <c r="AE39" t="n">
        <v>3</v>
      </c>
      <c r="AF39" t="n">
        <v>18</v>
      </c>
      <c r="AG39" t="n">
        <v>19</v>
      </c>
      <c r="AH39" t="n">
        <v>2</v>
      </c>
      <c r="AI39" t="n">
        <v>2</v>
      </c>
      <c r="AJ39" t="n">
        <v>2</v>
      </c>
      <c r="AK39" t="n">
        <v>3</v>
      </c>
      <c r="AL39" t="n">
        <v>5</v>
      </c>
      <c r="AM39" t="n">
        <v>6</v>
      </c>
      <c r="AN39" t="n">
        <v>2</v>
      </c>
      <c r="AO39" t="n">
        <v>2</v>
      </c>
      <c r="AP39" t="n">
        <v>9</v>
      </c>
      <c r="AQ39" t="n">
        <v>9</v>
      </c>
      <c r="AR39" t="inlineStr">
        <is>
          <t>No</t>
        </is>
      </c>
      <c r="AS39" t="inlineStr">
        <is>
          <t>Yes</t>
        </is>
      </c>
      <c r="AT39">
        <f>HYPERLINK("http://catalog.hathitrust.org/Record/000021979","HathiTrust Record")</f>
        <v/>
      </c>
      <c r="AU39">
        <f>HYPERLINK("https://creighton-primo.hosted.exlibrisgroup.com/primo-explore/search?tab=default_tab&amp;search_scope=EVERYTHING&amp;vid=01CRU&amp;lang=en_US&amp;offset=0&amp;query=any,contains,991004871549702656","Catalog Record")</f>
        <v/>
      </c>
      <c r="AV39">
        <f>HYPERLINK("http://www.worldcat.org/oclc/5757576","WorldCat Record")</f>
        <v/>
      </c>
      <c r="AW39" t="inlineStr">
        <is>
          <t>496688735:eng</t>
        </is>
      </c>
      <c r="AX39" t="inlineStr">
        <is>
          <t>5757576</t>
        </is>
      </c>
      <c r="AY39" t="inlineStr">
        <is>
          <t>991004871549702656</t>
        </is>
      </c>
      <c r="AZ39" t="inlineStr">
        <is>
          <t>991004871549702656</t>
        </is>
      </c>
      <c r="BA39" t="inlineStr">
        <is>
          <t>2264760300002656</t>
        </is>
      </c>
      <c r="BB39" t="inlineStr">
        <is>
          <t>BOOK</t>
        </is>
      </c>
      <c r="BD39" t="inlineStr">
        <is>
          <t>9780822303992</t>
        </is>
      </c>
      <c r="BE39" t="inlineStr">
        <is>
          <t>32285001171452</t>
        </is>
      </c>
      <c r="BF39" t="inlineStr">
        <is>
          <t>893719510</t>
        </is>
      </c>
    </row>
    <row r="40">
      <c r="B40" t="inlineStr">
        <is>
          <t>CURAL</t>
        </is>
      </c>
      <c r="C40" t="inlineStr">
        <is>
          <t>SHELVES</t>
        </is>
      </c>
      <c r="D40" t="inlineStr">
        <is>
          <t>K334 .K45 1990</t>
        </is>
      </c>
      <c r="E40" t="inlineStr">
        <is>
          <t>0                      K  0334000K  45          1990</t>
        </is>
      </c>
      <c r="F40" t="inlineStr">
        <is>
          <t>Utilitarianism and distributive justice : Jeremy Bentham and the civil law / P.J. Kelly.</t>
        </is>
      </c>
      <c r="H40" t="inlineStr">
        <is>
          <t>No</t>
        </is>
      </c>
      <c r="I40" t="inlineStr">
        <is>
          <t>1</t>
        </is>
      </c>
      <c r="J40" t="inlineStr">
        <is>
          <t>Yes</t>
        </is>
      </c>
      <c r="K40" t="inlineStr">
        <is>
          <t>No</t>
        </is>
      </c>
      <c r="L40" t="inlineStr">
        <is>
          <t>0</t>
        </is>
      </c>
      <c r="M40" t="inlineStr">
        <is>
          <t>Kelly, P. J. (Paul Joseph)</t>
        </is>
      </c>
      <c r="N40" t="inlineStr">
        <is>
          <t>Oxford : Clarendon Press ; New York : Oxford University Press, 1990.</t>
        </is>
      </c>
      <c r="O40" t="inlineStr">
        <is>
          <t>1990</t>
        </is>
      </c>
      <c r="Q40" t="inlineStr">
        <is>
          <t>eng</t>
        </is>
      </c>
      <c r="R40" t="inlineStr">
        <is>
          <t>enk</t>
        </is>
      </c>
      <c r="T40" t="inlineStr">
        <is>
          <t xml:space="preserve">K  </t>
        </is>
      </c>
      <c r="U40" t="n">
        <v>11</v>
      </c>
      <c r="V40" t="n">
        <v>11</v>
      </c>
      <c r="W40" t="inlineStr">
        <is>
          <t>2008-09-28</t>
        </is>
      </c>
      <c r="X40" t="inlineStr">
        <is>
          <t>2008-09-28</t>
        </is>
      </c>
      <c r="Y40" t="inlineStr">
        <is>
          <t>1992-01-21</t>
        </is>
      </c>
      <c r="Z40" t="inlineStr">
        <is>
          <t>1992-03-09</t>
        </is>
      </c>
      <c r="AA40" t="n">
        <v>390</v>
      </c>
      <c r="AB40" t="n">
        <v>274</v>
      </c>
      <c r="AC40" t="n">
        <v>276</v>
      </c>
      <c r="AD40" t="n">
        <v>3</v>
      </c>
      <c r="AE40" t="n">
        <v>3</v>
      </c>
      <c r="AF40" t="n">
        <v>23</v>
      </c>
      <c r="AG40" t="n">
        <v>23</v>
      </c>
      <c r="AH40" t="n">
        <v>2</v>
      </c>
      <c r="AI40" t="n">
        <v>2</v>
      </c>
      <c r="AJ40" t="n">
        <v>3</v>
      </c>
      <c r="AK40" t="n">
        <v>3</v>
      </c>
      <c r="AL40" t="n">
        <v>9</v>
      </c>
      <c r="AM40" t="n">
        <v>9</v>
      </c>
      <c r="AN40" t="n">
        <v>1</v>
      </c>
      <c r="AO40" t="n">
        <v>1</v>
      </c>
      <c r="AP40" t="n">
        <v>11</v>
      </c>
      <c r="AQ40" t="n">
        <v>11</v>
      </c>
      <c r="AR40" t="inlineStr">
        <is>
          <t>No</t>
        </is>
      </c>
      <c r="AS40" t="inlineStr">
        <is>
          <t>Yes</t>
        </is>
      </c>
      <c r="AT40">
        <f>HYPERLINK("http://catalog.hathitrust.org/Record/002219872","HathiTrust Record")</f>
        <v/>
      </c>
      <c r="AU40">
        <f>HYPERLINK("https://creighton-primo.hosted.exlibrisgroup.com/primo-explore/search?tab=default_tab&amp;search_scope=EVERYTHING&amp;vid=01CRU&amp;lang=en_US&amp;offset=0&amp;query=any,contains,991001645149702656","Catalog Record")</f>
        <v/>
      </c>
      <c r="AV40">
        <f>HYPERLINK("http://www.worldcat.org/oclc/21375652","WorldCat Record")</f>
        <v/>
      </c>
      <c r="AW40" t="inlineStr">
        <is>
          <t>311905640:eng</t>
        </is>
      </c>
      <c r="AX40" t="inlineStr">
        <is>
          <t>21375652</t>
        </is>
      </c>
      <c r="AY40" t="inlineStr">
        <is>
          <t>991001645149702656</t>
        </is>
      </c>
      <c r="AZ40" t="inlineStr">
        <is>
          <t>991001645149702656</t>
        </is>
      </c>
      <c r="BA40" t="inlineStr">
        <is>
          <t>2264910620002656</t>
        </is>
      </c>
      <c r="BB40" t="inlineStr">
        <is>
          <t>BOOK</t>
        </is>
      </c>
      <c r="BD40" t="inlineStr">
        <is>
          <t>9780198254188</t>
        </is>
      </c>
      <c r="BE40" t="inlineStr">
        <is>
          <t>32285000865146</t>
        </is>
      </c>
      <c r="BF40" t="inlineStr">
        <is>
          <t>893250354</t>
        </is>
      </c>
    </row>
    <row r="41">
      <c r="B41" t="inlineStr">
        <is>
          <t>CURAL</t>
        </is>
      </c>
      <c r="C41" t="inlineStr">
        <is>
          <t>SHELVES</t>
        </is>
      </c>
      <c r="D41" t="inlineStr">
        <is>
          <t>K334 .S8</t>
        </is>
      </c>
      <c r="E41" t="inlineStr">
        <is>
          <t>0                      K  0334000S  8</t>
        </is>
      </c>
      <c r="F41" t="inlineStr">
        <is>
          <t>Bentham / James Steintrager.</t>
        </is>
      </c>
      <c r="H41" t="inlineStr">
        <is>
          <t>No</t>
        </is>
      </c>
      <c r="I41" t="inlineStr">
        <is>
          <t>1</t>
        </is>
      </c>
      <c r="J41" t="inlineStr">
        <is>
          <t>No</t>
        </is>
      </c>
      <c r="K41" t="inlineStr">
        <is>
          <t>No</t>
        </is>
      </c>
      <c r="L41" t="inlineStr">
        <is>
          <t>0</t>
        </is>
      </c>
      <c r="M41" t="inlineStr">
        <is>
          <t>Steintrager, James, 1936-1981.</t>
        </is>
      </c>
      <c r="N41" t="inlineStr">
        <is>
          <t>Ithaca, N.Y. : Cornell University Press, 1977.</t>
        </is>
      </c>
      <c r="O41" t="inlineStr">
        <is>
          <t>1977</t>
        </is>
      </c>
      <c r="Q41" t="inlineStr">
        <is>
          <t>eng</t>
        </is>
      </c>
      <c r="R41" t="inlineStr">
        <is>
          <t>nyu</t>
        </is>
      </c>
      <c r="S41" t="inlineStr">
        <is>
          <t>Political thinkers</t>
        </is>
      </c>
      <c r="T41" t="inlineStr">
        <is>
          <t xml:space="preserve">K  </t>
        </is>
      </c>
      <c r="U41" t="n">
        <v>1</v>
      </c>
      <c r="V41" t="n">
        <v>1</v>
      </c>
      <c r="W41" t="inlineStr">
        <is>
          <t>2006-11-12</t>
        </is>
      </c>
      <c r="X41" t="inlineStr">
        <is>
          <t>2006-11-12</t>
        </is>
      </c>
      <c r="Y41" t="inlineStr">
        <is>
          <t>1992-06-11</t>
        </is>
      </c>
      <c r="Z41" t="inlineStr">
        <is>
          <t>1992-06-11</t>
        </is>
      </c>
      <c r="AA41" t="n">
        <v>663</v>
      </c>
      <c r="AB41" t="n">
        <v>610</v>
      </c>
      <c r="AC41" t="n">
        <v>920</v>
      </c>
      <c r="AD41" t="n">
        <v>6</v>
      </c>
      <c r="AE41" t="n">
        <v>34</v>
      </c>
      <c r="AF41" t="n">
        <v>44</v>
      </c>
      <c r="AG41" t="n">
        <v>56</v>
      </c>
      <c r="AH41" t="n">
        <v>17</v>
      </c>
      <c r="AI41" t="n">
        <v>18</v>
      </c>
      <c r="AJ41" t="n">
        <v>9</v>
      </c>
      <c r="AK41" t="n">
        <v>9</v>
      </c>
      <c r="AL41" t="n">
        <v>18</v>
      </c>
      <c r="AM41" t="n">
        <v>19</v>
      </c>
      <c r="AN41" t="n">
        <v>4</v>
      </c>
      <c r="AO41" t="n">
        <v>14</v>
      </c>
      <c r="AP41" t="n">
        <v>6</v>
      </c>
      <c r="AQ41" t="n">
        <v>6</v>
      </c>
      <c r="AR41" t="inlineStr">
        <is>
          <t>No</t>
        </is>
      </c>
      <c r="AS41" t="inlineStr">
        <is>
          <t>Yes</t>
        </is>
      </c>
      <c r="AT41">
        <f>HYPERLINK("http://catalog.hathitrust.org/Record/000252621","HathiTrust Record")</f>
        <v/>
      </c>
      <c r="AU41">
        <f>HYPERLINK("https://creighton-primo.hosted.exlibrisgroup.com/primo-explore/search?tab=default_tab&amp;search_scope=EVERYTHING&amp;vid=01CRU&amp;lang=en_US&amp;offset=0&amp;query=any,contains,991004325999702656","Catalog Record")</f>
        <v/>
      </c>
      <c r="AV41">
        <f>HYPERLINK("http://www.worldcat.org/oclc/3037824","WorldCat Record")</f>
        <v/>
      </c>
      <c r="AW41" t="inlineStr">
        <is>
          <t>18017500:eng</t>
        </is>
      </c>
      <c r="AX41" t="inlineStr">
        <is>
          <t>3037824</t>
        </is>
      </c>
      <c r="AY41" t="inlineStr">
        <is>
          <t>991004325999702656</t>
        </is>
      </c>
      <c r="AZ41" t="inlineStr">
        <is>
          <t>991004325999702656</t>
        </is>
      </c>
      <c r="BA41" t="inlineStr">
        <is>
          <t>2260735180002656</t>
        </is>
      </c>
      <c r="BB41" t="inlineStr">
        <is>
          <t>BOOK</t>
        </is>
      </c>
      <c r="BD41" t="inlineStr">
        <is>
          <t>9780801410963</t>
        </is>
      </c>
      <c r="BE41" t="inlineStr">
        <is>
          <t>32285001170538</t>
        </is>
      </c>
      <c r="BF41" t="inlineStr">
        <is>
          <t>893782113</t>
        </is>
      </c>
    </row>
    <row r="42">
      <c r="B42" t="inlineStr">
        <is>
          <t>CURAL</t>
        </is>
      </c>
      <c r="C42" t="inlineStr">
        <is>
          <t>SHELVES</t>
        </is>
      </c>
      <c r="D42" t="inlineStr">
        <is>
          <t>K349 .A67 1996</t>
        </is>
      </c>
      <c r="E42" t="inlineStr">
        <is>
          <t>0                      K  0349000A  67          1996</t>
        </is>
      </c>
      <c r="F42" t="inlineStr">
        <is>
          <t>Applications of feminist legal theory to women's lives : sex, violence, work, and reproduction / edited by D. Kelly Weisberg.</t>
        </is>
      </c>
      <c r="H42" t="inlineStr">
        <is>
          <t>No</t>
        </is>
      </c>
      <c r="I42" t="inlineStr">
        <is>
          <t>1</t>
        </is>
      </c>
      <c r="J42" t="inlineStr">
        <is>
          <t>No</t>
        </is>
      </c>
      <c r="K42" t="inlineStr">
        <is>
          <t>No</t>
        </is>
      </c>
      <c r="L42" t="inlineStr">
        <is>
          <t>0</t>
        </is>
      </c>
      <c r="N42" t="inlineStr">
        <is>
          <t>Philadelphia : Temple University Press, 1996.</t>
        </is>
      </c>
      <c r="O42" t="inlineStr">
        <is>
          <t>1996</t>
        </is>
      </c>
      <c r="Q42" t="inlineStr">
        <is>
          <t>eng</t>
        </is>
      </c>
      <c r="R42" t="inlineStr">
        <is>
          <t>pau</t>
        </is>
      </c>
      <c r="S42" t="inlineStr">
        <is>
          <t>Women in the political economy</t>
        </is>
      </c>
      <c r="T42" t="inlineStr">
        <is>
          <t xml:space="preserve">K  </t>
        </is>
      </c>
      <c r="U42" t="n">
        <v>5</v>
      </c>
      <c r="V42" t="n">
        <v>5</v>
      </c>
      <c r="W42" t="inlineStr">
        <is>
          <t>2010-12-09</t>
        </is>
      </c>
      <c r="X42" t="inlineStr">
        <is>
          <t>2010-12-09</t>
        </is>
      </c>
      <c r="Y42" t="inlineStr">
        <is>
          <t>1997-02-26</t>
        </is>
      </c>
      <c r="Z42" t="inlineStr">
        <is>
          <t>1997-02-26</t>
        </is>
      </c>
      <c r="AA42" t="n">
        <v>418</v>
      </c>
      <c r="AB42" t="n">
        <v>351</v>
      </c>
      <c r="AC42" t="n">
        <v>602</v>
      </c>
      <c r="AD42" t="n">
        <v>3</v>
      </c>
      <c r="AE42" t="n">
        <v>3</v>
      </c>
      <c r="AF42" t="n">
        <v>25</v>
      </c>
      <c r="AG42" t="n">
        <v>40</v>
      </c>
      <c r="AH42" t="n">
        <v>2</v>
      </c>
      <c r="AI42" t="n">
        <v>11</v>
      </c>
      <c r="AJ42" t="n">
        <v>3</v>
      </c>
      <c r="AK42" t="n">
        <v>8</v>
      </c>
      <c r="AL42" t="n">
        <v>4</v>
      </c>
      <c r="AM42" t="n">
        <v>10</v>
      </c>
      <c r="AN42" t="n">
        <v>1</v>
      </c>
      <c r="AO42" t="n">
        <v>1</v>
      </c>
      <c r="AP42" t="n">
        <v>17</v>
      </c>
      <c r="AQ42" t="n">
        <v>17</v>
      </c>
      <c r="AR42" t="inlineStr">
        <is>
          <t>No</t>
        </is>
      </c>
      <c r="AS42" t="inlineStr">
        <is>
          <t>No</t>
        </is>
      </c>
      <c r="AU42">
        <f>HYPERLINK("https://creighton-primo.hosted.exlibrisgroup.com/primo-explore/search?tab=default_tab&amp;search_scope=EVERYTHING&amp;vid=01CRU&amp;lang=en_US&amp;offset=0&amp;query=any,contains,991002631939702656","Catalog Record")</f>
        <v/>
      </c>
      <c r="AV42">
        <f>HYPERLINK("http://www.worldcat.org/oclc/34513154","WorldCat Record")</f>
        <v/>
      </c>
      <c r="AW42" t="inlineStr">
        <is>
          <t>803739528:eng</t>
        </is>
      </c>
      <c r="AX42" t="inlineStr">
        <is>
          <t>34513154</t>
        </is>
      </c>
      <c r="AY42" t="inlineStr">
        <is>
          <t>991002631939702656</t>
        </is>
      </c>
      <c r="AZ42" t="inlineStr">
        <is>
          <t>991002631939702656</t>
        </is>
      </c>
      <c r="BA42" t="inlineStr">
        <is>
          <t>2255571620002656</t>
        </is>
      </c>
      <c r="BB42" t="inlineStr">
        <is>
          <t>BOOK</t>
        </is>
      </c>
      <c r="BD42" t="inlineStr">
        <is>
          <t>9781566394239</t>
        </is>
      </c>
      <c r="BE42" t="inlineStr">
        <is>
          <t>32285002433687</t>
        </is>
      </c>
      <c r="BF42" t="inlineStr">
        <is>
          <t>893523852</t>
        </is>
      </c>
    </row>
    <row r="43">
      <c r="B43" t="inlineStr">
        <is>
          <t>CURAL</t>
        </is>
      </c>
      <c r="C43" t="inlineStr">
        <is>
          <t>SHELVES</t>
        </is>
      </c>
      <c r="D43" t="inlineStr">
        <is>
          <t>K355 .R67 1984</t>
        </is>
      </c>
      <c r="E43" t="inlineStr">
        <is>
          <t>0                      K  0355000R  67          1984</t>
        </is>
      </c>
      <c r="F43" t="inlineStr">
        <is>
          <t>Dialectic of nihilism : post-structuralism and law / Gillian Rose.</t>
        </is>
      </c>
      <c r="H43" t="inlineStr">
        <is>
          <t>No</t>
        </is>
      </c>
      <c r="I43" t="inlineStr">
        <is>
          <t>1</t>
        </is>
      </c>
      <c r="J43" t="inlineStr">
        <is>
          <t>No</t>
        </is>
      </c>
      <c r="K43" t="inlineStr">
        <is>
          <t>No</t>
        </is>
      </c>
      <c r="L43" t="inlineStr">
        <is>
          <t>0</t>
        </is>
      </c>
      <c r="M43" t="inlineStr">
        <is>
          <t>Rose, Gillian.</t>
        </is>
      </c>
      <c r="N43" t="inlineStr">
        <is>
          <t>Oxford [Oxfordshire] ; New York, NY : Basil Blackwell, 1984.</t>
        </is>
      </c>
      <c r="O43" t="inlineStr">
        <is>
          <t>1984</t>
        </is>
      </c>
      <c r="Q43" t="inlineStr">
        <is>
          <t>eng</t>
        </is>
      </c>
      <c r="R43" t="inlineStr">
        <is>
          <t>enk</t>
        </is>
      </c>
      <c r="T43" t="inlineStr">
        <is>
          <t xml:space="preserve">K  </t>
        </is>
      </c>
      <c r="U43" t="n">
        <v>11</v>
      </c>
      <c r="V43" t="n">
        <v>11</v>
      </c>
      <c r="W43" t="inlineStr">
        <is>
          <t>2007-02-28</t>
        </is>
      </c>
      <c r="X43" t="inlineStr">
        <is>
          <t>2007-02-28</t>
        </is>
      </c>
      <c r="Y43" t="inlineStr">
        <is>
          <t>1992-06-11</t>
        </is>
      </c>
      <c r="Z43" t="inlineStr">
        <is>
          <t>1992-06-11</t>
        </is>
      </c>
      <c r="AA43" t="n">
        <v>428</v>
      </c>
      <c r="AB43" t="n">
        <v>301</v>
      </c>
      <c r="AC43" t="n">
        <v>306</v>
      </c>
      <c r="AD43" t="n">
        <v>3</v>
      </c>
      <c r="AE43" t="n">
        <v>3</v>
      </c>
      <c r="AF43" t="n">
        <v>25</v>
      </c>
      <c r="AG43" t="n">
        <v>25</v>
      </c>
      <c r="AH43" t="n">
        <v>4</v>
      </c>
      <c r="AI43" t="n">
        <v>4</v>
      </c>
      <c r="AJ43" t="n">
        <v>4</v>
      </c>
      <c r="AK43" t="n">
        <v>4</v>
      </c>
      <c r="AL43" t="n">
        <v>16</v>
      </c>
      <c r="AM43" t="n">
        <v>16</v>
      </c>
      <c r="AN43" t="n">
        <v>1</v>
      </c>
      <c r="AO43" t="n">
        <v>1</v>
      </c>
      <c r="AP43" t="n">
        <v>8</v>
      </c>
      <c r="AQ43" t="n">
        <v>8</v>
      </c>
      <c r="AR43" t="inlineStr">
        <is>
          <t>No</t>
        </is>
      </c>
      <c r="AS43" t="inlineStr">
        <is>
          <t>No</t>
        </is>
      </c>
      <c r="AU43">
        <f>HYPERLINK("https://creighton-primo.hosted.exlibrisgroup.com/primo-explore/search?tab=default_tab&amp;search_scope=EVERYTHING&amp;vid=01CRU&amp;lang=en_US&amp;offset=0&amp;query=any,contains,991000469229702656","Catalog Record")</f>
        <v/>
      </c>
      <c r="AV43">
        <f>HYPERLINK("http://www.worldcat.org/oclc/10996298","WorldCat Record")</f>
        <v/>
      </c>
      <c r="AW43" t="inlineStr">
        <is>
          <t>836672523:eng</t>
        </is>
      </c>
      <c r="AX43" t="inlineStr">
        <is>
          <t>10996298</t>
        </is>
      </c>
      <c r="AY43" t="inlineStr">
        <is>
          <t>991000469229702656</t>
        </is>
      </c>
      <c r="AZ43" t="inlineStr">
        <is>
          <t>991000469229702656</t>
        </is>
      </c>
      <c r="BA43" t="inlineStr">
        <is>
          <t>2262145870002656</t>
        </is>
      </c>
      <c r="BB43" t="inlineStr">
        <is>
          <t>BOOK</t>
        </is>
      </c>
      <c r="BD43" t="inlineStr">
        <is>
          <t>9780631137085</t>
        </is>
      </c>
      <c r="BE43" t="inlineStr">
        <is>
          <t>32285001170546</t>
        </is>
      </c>
      <c r="BF43" t="inlineStr">
        <is>
          <t>893261480</t>
        </is>
      </c>
    </row>
    <row r="44">
      <c r="B44" t="inlineStr">
        <is>
          <t>CURAL</t>
        </is>
      </c>
      <c r="C44" t="inlineStr">
        <is>
          <t>SHELVES</t>
        </is>
      </c>
      <c r="D44" t="inlineStr">
        <is>
          <t>K357 .C64</t>
        </is>
      </c>
      <c r="E44" t="inlineStr">
        <is>
          <t>0                      K  0357000C  64</t>
        </is>
      </c>
      <c r="F44" t="inlineStr">
        <is>
          <t>Marxism and law / by Hugh Collins.</t>
        </is>
      </c>
      <c r="H44" t="inlineStr">
        <is>
          <t>No</t>
        </is>
      </c>
      <c r="I44" t="inlineStr">
        <is>
          <t>1</t>
        </is>
      </c>
      <c r="J44" t="inlineStr">
        <is>
          <t>No</t>
        </is>
      </c>
      <c r="K44" t="inlineStr">
        <is>
          <t>Yes</t>
        </is>
      </c>
      <c r="L44" t="inlineStr">
        <is>
          <t>0</t>
        </is>
      </c>
      <c r="M44" t="inlineStr">
        <is>
          <t>Collins, Hugh, 1953-</t>
        </is>
      </c>
      <c r="N44" t="inlineStr">
        <is>
          <t>Oxford [Oxfordshire] : Clarendon Press ; New York : Oxford University Press, 1982.</t>
        </is>
      </c>
      <c r="O44" t="inlineStr">
        <is>
          <t>1982</t>
        </is>
      </c>
      <c r="Q44" t="inlineStr">
        <is>
          <t>eng</t>
        </is>
      </c>
      <c r="R44" t="inlineStr">
        <is>
          <t>enk</t>
        </is>
      </c>
      <c r="S44" t="inlineStr">
        <is>
          <t>Marxist introductions</t>
        </is>
      </c>
      <c r="T44" t="inlineStr">
        <is>
          <t xml:space="preserve">K  </t>
        </is>
      </c>
      <c r="U44" t="n">
        <v>2</v>
      </c>
      <c r="V44" t="n">
        <v>2</v>
      </c>
      <c r="W44" t="inlineStr">
        <is>
          <t>2007-11-19</t>
        </is>
      </c>
      <c r="X44" t="inlineStr">
        <is>
          <t>2007-11-19</t>
        </is>
      </c>
      <c r="Y44" t="inlineStr">
        <is>
          <t>1992-06-11</t>
        </is>
      </c>
      <c r="Z44" t="inlineStr">
        <is>
          <t>1992-06-11</t>
        </is>
      </c>
      <c r="AA44" t="n">
        <v>521</v>
      </c>
      <c r="AB44" t="n">
        <v>373</v>
      </c>
      <c r="AC44" t="n">
        <v>499</v>
      </c>
      <c r="AD44" t="n">
        <v>3</v>
      </c>
      <c r="AE44" t="n">
        <v>5</v>
      </c>
      <c r="AF44" t="n">
        <v>26</v>
      </c>
      <c r="AG44" t="n">
        <v>38</v>
      </c>
      <c r="AH44" t="n">
        <v>5</v>
      </c>
      <c r="AI44" t="n">
        <v>5</v>
      </c>
      <c r="AJ44" t="n">
        <v>5</v>
      </c>
      <c r="AK44" t="n">
        <v>7</v>
      </c>
      <c r="AL44" t="n">
        <v>8</v>
      </c>
      <c r="AM44" t="n">
        <v>10</v>
      </c>
      <c r="AN44" t="n">
        <v>1</v>
      </c>
      <c r="AO44" t="n">
        <v>2</v>
      </c>
      <c r="AP44" t="n">
        <v>12</v>
      </c>
      <c r="AQ44" t="n">
        <v>19</v>
      </c>
      <c r="AR44" t="inlineStr">
        <is>
          <t>No</t>
        </is>
      </c>
      <c r="AS44" t="inlineStr">
        <is>
          <t>No</t>
        </is>
      </c>
      <c r="AU44">
        <f>HYPERLINK("https://creighton-primo.hosted.exlibrisgroup.com/primo-explore/search?tab=default_tab&amp;search_scope=EVERYTHING&amp;vid=01CRU&amp;lang=en_US&amp;offset=0&amp;query=any,contains,991005232779702656","Catalog Record")</f>
        <v/>
      </c>
      <c r="AV44">
        <f>HYPERLINK("http://www.worldcat.org/oclc/8345749","WorldCat Record")</f>
        <v/>
      </c>
      <c r="AW44" t="inlineStr">
        <is>
          <t>3501082:eng</t>
        </is>
      </c>
      <c r="AX44" t="inlineStr">
        <is>
          <t>8345749</t>
        </is>
      </c>
      <c r="AY44" t="inlineStr">
        <is>
          <t>991005232779702656</t>
        </is>
      </c>
      <c r="AZ44" t="inlineStr">
        <is>
          <t>991005232779702656</t>
        </is>
      </c>
      <c r="BA44" t="inlineStr">
        <is>
          <t>2263201930002656</t>
        </is>
      </c>
      <c r="BB44" t="inlineStr">
        <is>
          <t>BOOK</t>
        </is>
      </c>
      <c r="BD44" t="inlineStr">
        <is>
          <t>9780198760931</t>
        </is>
      </c>
      <c r="BE44" t="inlineStr">
        <is>
          <t>32285001170561</t>
        </is>
      </c>
      <c r="BF44" t="inlineStr">
        <is>
          <t>893520676</t>
        </is>
      </c>
    </row>
    <row r="45">
      <c r="B45" t="inlineStr">
        <is>
          <t>CURAL</t>
        </is>
      </c>
      <c r="C45" t="inlineStr">
        <is>
          <t>SHELVES</t>
        </is>
      </c>
      <c r="D45" t="inlineStr">
        <is>
          <t>K3611.E95 S45 1987</t>
        </is>
      </c>
      <c r="E45" t="inlineStr">
        <is>
          <t>0                      K  3611000E  95                 S  45          1987</t>
        </is>
      </c>
      <c r="F45" t="inlineStr">
        <is>
          <t>Preserving life : public policy and the life not worth living / Richard Sherlock.</t>
        </is>
      </c>
      <c r="H45" t="inlineStr">
        <is>
          <t>No</t>
        </is>
      </c>
      <c r="I45" t="inlineStr">
        <is>
          <t>1</t>
        </is>
      </c>
      <c r="J45" t="inlineStr">
        <is>
          <t>No</t>
        </is>
      </c>
      <c r="K45" t="inlineStr">
        <is>
          <t>No</t>
        </is>
      </c>
      <c r="L45" t="inlineStr">
        <is>
          <t>0</t>
        </is>
      </c>
      <c r="M45" t="inlineStr">
        <is>
          <t>Sherlock, Richard.</t>
        </is>
      </c>
      <c r="N45" t="inlineStr">
        <is>
          <t>Chicago : Loyola University Press, c1987.</t>
        </is>
      </c>
      <c r="O45" t="inlineStr">
        <is>
          <t>1987</t>
        </is>
      </c>
      <c r="Q45" t="inlineStr">
        <is>
          <t>eng</t>
        </is>
      </c>
      <c r="R45" t="inlineStr">
        <is>
          <t>ilu</t>
        </is>
      </c>
      <c r="T45" t="inlineStr">
        <is>
          <t xml:space="preserve">K  </t>
        </is>
      </c>
      <c r="U45" t="n">
        <v>15</v>
      </c>
      <c r="V45" t="n">
        <v>15</v>
      </c>
      <c r="W45" t="inlineStr">
        <is>
          <t>2010-11-12</t>
        </is>
      </c>
      <c r="X45" t="inlineStr">
        <is>
          <t>2010-11-12</t>
        </is>
      </c>
      <c r="Y45" t="inlineStr">
        <is>
          <t>1992-08-26</t>
        </is>
      </c>
      <c r="Z45" t="inlineStr">
        <is>
          <t>1992-08-26</t>
        </is>
      </c>
      <c r="AA45" t="n">
        <v>547</v>
      </c>
      <c r="AB45" t="n">
        <v>502</v>
      </c>
      <c r="AC45" t="n">
        <v>505</v>
      </c>
      <c r="AD45" t="n">
        <v>4</v>
      </c>
      <c r="AE45" t="n">
        <v>4</v>
      </c>
      <c r="AF45" t="n">
        <v>39</v>
      </c>
      <c r="AG45" t="n">
        <v>39</v>
      </c>
      <c r="AH45" t="n">
        <v>9</v>
      </c>
      <c r="AI45" t="n">
        <v>9</v>
      </c>
      <c r="AJ45" t="n">
        <v>6</v>
      </c>
      <c r="AK45" t="n">
        <v>6</v>
      </c>
      <c r="AL45" t="n">
        <v>20</v>
      </c>
      <c r="AM45" t="n">
        <v>20</v>
      </c>
      <c r="AN45" t="n">
        <v>2</v>
      </c>
      <c r="AO45" t="n">
        <v>2</v>
      </c>
      <c r="AP45" t="n">
        <v>12</v>
      </c>
      <c r="AQ45" t="n">
        <v>12</v>
      </c>
      <c r="AR45" t="inlineStr">
        <is>
          <t>No</t>
        </is>
      </c>
      <c r="AS45" t="inlineStr">
        <is>
          <t>Yes</t>
        </is>
      </c>
      <c r="AT45">
        <f>HYPERLINK("http://catalog.hathitrust.org/Record/000821997","HathiTrust Record")</f>
        <v/>
      </c>
      <c r="AU45">
        <f>HYPERLINK("https://creighton-primo.hosted.exlibrisgroup.com/primo-explore/search?tab=default_tab&amp;search_scope=EVERYTHING&amp;vid=01CRU&amp;lang=en_US&amp;offset=0&amp;query=any,contains,991000939269702656","Catalog Record")</f>
        <v/>
      </c>
      <c r="AV45">
        <f>HYPERLINK("http://www.worldcat.org/oclc/14379476","WorldCat Record")</f>
        <v/>
      </c>
      <c r="AW45" t="inlineStr">
        <is>
          <t>8834789:eng</t>
        </is>
      </c>
      <c r="AX45" t="inlineStr">
        <is>
          <t>14379476</t>
        </is>
      </c>
      <c r="AY45" t="inlineStr">
        <is>
          <t>991000939269702656</t>
        </is>
      </c>
      <c r="AZ45" t="inlineStr">
        <is>
          <t>991000939269702656</t>
        </is>
      </c>
      <c r="BA45" t="inlineStr">
        <is>
          <t>2261667590002656</t>
        </is>
      </c>
      <c r="BB45" t="inlineStr">
        <is>
          <t>BOOK</t>
        </is>
      </c>
      <c r="BD45" t="inlineStr">
        <is>
          <t>9780829405262</t>
        </is>
      </c>
      <c r="BE45" t="inlineStr">
        <is>
          <t>32285001198976</t>
        </is>
      </c>
      <c r="BF45" t="inlineStr">
        <is>
          <t>893528518</t>
        </is>
      </c>
    </row>
    <row r="46">
      <c r="B46" t="inlineStr">
        <is>
          <t>CURAL</t>
        </is>
      </c>
      <c r="C46" t="inlineStr">
        <is>
          <t>SHELVES</t>
        </is>
      </c>
      <c r="D46" t="inlineStr">
        <is>
          <t>K3611.T7 S36 1981</t>
        </is>
      </c>
      <c r="E46" t="inlineStr">
        <is>
          <t>0                      K  3611000T  7                  S  36          1981</t>
        </is>
      </c>
      <c r="F46" t="inlineStr">
        <is>
          <t>The body as property / Russell Scott.</t>
        </is>
      </c>
      <c r="H46" t="inlineStr">
        <is>
          <t>No</t>
        </is>
      </c>
      <c r="I46" t="inlineStr">
        <is>
          <t>1</t>
        </is>
      </c>
      <c r="J46" t="inlineStr">
        <is>
          <t>No</t>
        </is>
      </c>
      <c r="K46" t="inlineStr">
        <is>
          <t>No</t>
        </is>
      </c>
      <c r="L46" t="inlineStr">
        <is>
          <t>0</t>
        </is>
      </c>
      <c r="M46" t="inlineStr">
        <is>
          <t>Scott, Russell, 1925-</t>
        </is>
      </c>
      <c r="N46" t="inlineStr">
        <is>
          <t>New York : Viking Press, 1981.</t>
        </is>
      </c>
      <c r="O46" t="inlineStr">
        <is>
          <t>1981</t>
        </is>
      </c>
      <c r="Q46" t="inlineStr">
        <is>
          <t>eng</t>
        </is>
      </c>
      <c r="R46" t="inlineStr">
        <is>
          <t>nyu</t>
        </is>
      </c>
      <c r="T46" t="inlineStr">
        <is>
          <t xml:space="preserve">K  </t>
        </is>
      </c>
      <c r="U46" t="n">
        <v>16</v>
      </c>
      <c r="V46" t="n">
        <v>16</v>
      </c>
      <c r="W46" t="inlineStr">
        <is>
          <t>2006-11-09</t>
        </is>
      </c>
      <c r="X46" t="inlineStr">
        <is>
          <t>2006-11-09</t>
        </is>
      </c>
      <c r="Y46" t="inlineStr">
        <is>
          <t>1992-03-13</t>
        </is>
      </c>
      <c r="Z46" t="inlineStr">
        <is>
          <t>1992-03-13</t>
        </is>
      </c>
      <c r="AA46" t="n">
        <v>829</v>
      </c>
      <c r="AB46" t="n">
        <v>769</v>
      </c>
      <c r="AC46" t="n">
        <v>776</v>
      </c>
      <c r="AD46" t="n">
        <v>4</v>
      </c>
      <c r="AE46" t="n">
        <v>4</v>
      </c>
      <c r="AF46" t="n">
        <v>33</v>
      </c>
      <c r="AG46" t="n">
        <v>33</v>
      </c>
      <c r="AH46" t="n">
        <v>8</v>
      </c>
      <c r="AI46" t="n">
        <v>8</v>
      </c>
      <c r="AJ46" t="n">
        <v>4</v>
      </c>
      <c r="AK46" t="n">
        <v>4</v>
      </c>
      <c r="AL46" t="n">
        <v>9</v>
      </c>
      <c r="AM46" t="n">
        <v>9</v>
      </c>
      <c r="AN46" t="n">
        <v>1</v>
      </c>
      <c r="AO46" t="n">
        <v>1</v>
      </c>
      <c r="AP46" t="n">
        <v>16</v>
      </c>
      <c r="AQ46" t="n">
        <v>16</v>
      </c>
      <c r="AR46" t="inlineStr">
        <is>
          <t>No</t>
        </is>
      </c>
      <c r="AS46" t="inlineStr">
        <is>
          <t>No</t>
        </is>
      </c>
      <c r="AU46">
        <f>HYPERLINK("https://creighton-primo.hosted.exlibrisgroup.com/primo-explore/search?tab=default_tab&amp;search_scope=EVERYTHING&amp;vid=01CRU&amp;lang=en_US&amp;offset=0&amp;query=any,contains,991005030299702656","Catalog Record")</f>
        <v/>
      </c>
      <c r="AV46">
        <f>HYPERLINK("http://www.worldcat.org/oclc/6709254","WorldCat Record")</f>
        <v/>
      </c>
      <c r="AW46" t="inlineStr">
        <is>
          <t>140139434:eng</t>
        </is>
      </c>
      <c r="AX46" t="inlineStr">
        <is>
          <t>6709254</t>
        </is>
      </c>
      <c r="AY46" t="inlineStr">
        <is>
          <t>991005030299702656</t>
        </is>
      </c>
      <c r="AZ46" t="inlineStr">
        <is>
          <t>991005030299702656</t>
        </is>
      </c>
      <c r="BA46" t="inlineStr">
        <is>
          <t>2256577610002656</t>
        </is>
      </c>
      <c r="BB46" t="inlineStr">
        <is>
          <t>BOOK</t>
        </is>
      </c>
      <c r="BD46" t="inlineStr">
        <is>
          <t>9780670177431</t>
        </is>
      </c>
      <c r="BE46" t="inlineStr">
        <is>
          <t>32285000999580</t>
        </is>
      </c>
      <c r="BF46" t="inlineStr">
        <is>
          <t>893230116</t>
        </is>
      </c>
    </row>
    <row r="47">
      <c r="B47" t="inlineStr">
        <is>
          <t>CURAL</t>
        </is>
      </c>
      <c r="C47" t="inlineStr">
        <is>
          <t>SHELVES</t>
        </is>
      </c>
      <c r="D47" t="inlineStr">
        <is>
          <t>K3842 .V64 1995</t>
        </is>
      </c>
      <c r="E47" t="inlineStr">
        <is>
          <t>0                      K  3842000V  64          1995</t>
        </is>
      </c>
      <c r="F47" t="inlineStr">
        <is>
          <t>Trading up : consumer and environmental regulation in a global economy / David Vogel.</t>
        </is>
      </c>
      <c r="H47" t="inlineStr">
        <is>
          <t>No</t>
        </is>
      </c>
      <c r="I47" t="inlineStr">
        <is>
          <t>1</t>
        </is>
      </c>
      <c r="J47" t="inlineStr">
        <is>
          <t>No</t>
        </is>
      </c>
      <c r="K47" t="inlineStr">
        <is>
          <t>No</t>
        </is>
      </c>
      <c r="L47" t="inlineStr">
        <is>
          <t>0</t>
        </is>
      </c>
      <c r="M47" t="inlineStr">
        <is>
          <t>Vogel, David, 1947-</t>
        </is>
      </c>
      <c r="N47" t="inlineStr">
        <is>
          <t>Cambridge, Mass. : Harvard University Press, 1995.</t>
        </is>
      </c>
      <c r="O47" t="inlineStr">
        <is>
          <t>1995</t>
        </is>
      </c>
      <c r="Q47" t="inlineStr">
        <is>
          <t>eng</t>
        </is>
      </c>
      <c r="R47" t="inlineStr">
        <is>
          <t>mau</t>
        </is>
      </c>
      <c r="T47" t="inlineStr">
        <is>
          <t xml:space="preserve">K  </t>
        </is>
      </c>
      <c r="U47" t="n">
        <v>0</v>
      </c>
      <c r="V47" t="n">
        <v>0</v>
      </c>
      <c r="W47" t="inlineStr">
        <is>
          <t>2010-01-05</t>
        </is>
      </c>
      <c r="X47" t="inlineStr">
        <is>
          <t>2010-01-05</t>
        </is>
      </c>
      <c r="Y47" t="inlineStr">
        <is>
          <t>1995-11-30</t>
        </is>
      </c>
      <c r="Z47" t="inlineStr">
        <is>
          <t>1995-11-30</t>
        </is>
      </c>
      <c r="AA47" t="n">
        <v>656</v>
      </c>
      <c r="AB47" t="n">
        <v>522</v>
      </c>
      <c r="AC47" t="n">
        <v>529</v>
      </c>
      <c r="AD47" t="n">
        <v>3</v>
      </c>
      <c r="AE47" t="n">
        <v>3</v>
      </c>
      <c r="AF47" t="n">
        <v>36</v>
      </c>
      <c r="AG47" t="n">
        <v>36</v>
      </c>
      <c r="AH47" t="n">
        <v>6</v>
      </c>
      <c r="AI47" t="n">
        <v>6</v>
      </c>
      <c r="AJ47" t="n">
        <v>5</v>
      </c>
      <c r="AK47" t="n">
        <v>5</v>
      </c>
      <c r="AL47" t="n">
        <v>14</v>
      </c>
      <c r="AM47" t="n">
        <v>14</v>
      </c>
      <c r="AN47" t="n">
        <v>2</v>
      </c>
      <c r="AO47" t="n">
        <v>2</v>
      </c>
      <c r="AP47" t="n">
        <v>14</v>
      </c>
      <c r="AQ47" t="n">
        <v>14</v>
      </c>
      <c r="AR47" t="inlineStr">
        <is>
          <t>No</t>
        </is>
      </c>
      <c r="AS47" t="inlineStr">
        <is>
          <t>Yes</t>
        </is>
      </c>
      <c r="AT47">
        <f>HYPERLINK("http://catalog.hathitrust.org/Record/003002607","HathiTrust Record")</f>
        <v/>
      </c>
      <c r="AU47">
        <f>HYPERLINK("https://creighton-primo.hosted.exlibrisgroup.com/primo-explore/search?tab=default_tab&amp;search_scope=EVERYTHING&amp;vid=01CRU&amp;lang=en_US&amp;offset=0&amp;query=any,contains,991002473829702656","Catalog Record")</f>
        <v/>
      </c>
      <c r="AV47">
        <f>HYPERLINK("http://www.worldcat.org/oclc/32203754","WorldCat Record")</f>
        <v/>
      </c>
      <c r="AW47" t="inlineStr">
        <is>
          <t>836890277:eng</t>
        </is>
      </c>
      <c r="AX47" t="inlineStr">
        <is>
          <t>32203754</t>
        </is>
      </c>
      <c r="AY47" t="inlineStr">
        <is>
          <t>991002473829702656</t>
        </is>
      </c>
      <c r="AZ47" t="inlineStr">
        <is>
          <t>991002473829702656</t>
        </is>
      </c>
      <c r="BA47" t="inlineStr">
        <is>
          <t>2269196170002656</t>
        </is>
      </c>
      <c r="BB47" t="inlineStr">
        <is>
          <t>BOOK</t>
        </is>
      </c>
      <c r="BD47" t="inlineStr">
        <is>
          <t>9780674900837</t>
        </is>
      </c>
      <c r="BE47" t="inlineStr">
        <is>
          <t>32285002107174</t>
        </is>
      </c>
      <c r="BF47" t="inlineStr">
        <is>
          <t>893710333</t>
        </is>
      </c>
    </row>
    <row r="48">
      <c r="B48" t="inlineStr">
        <is>
          <t>CURAL</t>
        </is>
      </c>
      <c r="C48" t="inlineStr">
        <is>
          <t>SHELVES</t>
        </is>
      </c>
      <c r="D48" t="inlineStr">
        <is>
          <t>K415 .C45</t>
        </is>
      </c>
      <c r="E48" t="inlineStr">
        <is>
          <t>0                      K  0415000C  45</t>
        </is>
      </c>
      <c r="F48" t="inlineStr">
        <is>
          <t>Natural law and modern society / contributors: John Cogley [and others]</t>
        </is>
      </c>
      <c r="H48" t="inlineStr">
        <is>
          <t>No</t>
        </is>
      </c>
      <c r="I48" t="inlineStr">
        <is>
          <t>1</t>
        </is>
      </c>
      <c r="J48" t="inlineStr">
        <is>
          <t>No</t>
        </is>
      </c>
      <c r="K48" t="inlineStr">
        <is>
          <t>No</t>
        </is>
      </c>
      <c r="L48" t="inlineStr">
        <is>
          <t>0</t>
        </is>
      </c>
      <c r="M48" t="inlineStr">
        <is>
          <t>Center for the Study of Democratic Institutions.</t>
        </is>
      </c>
      <c r="N48" t="inlineStr">
        <is>
          <t>Freeport, N.Y. : Books for Libraries Press, [1971, c1963]</t>
        </is>
      </c>
      <c r="O48" t="inlineStr">
        <is>
          <t>1971</t>
        </is>
      </c>
      <c r="Q48" t="inlineStr">
        <is>
          <t>eng</t>
        </is>
      </c>
      <c r="R48" t="inlineStr">
        <is>
          <t>nyu</t>
        </is>
      </c>
      <c r="S48" t="inlineStr">
        <is>
          <t>Essay index reprint series</t>
        </is>
      </c>
      <c r="T48" t="inlineStr">
        <is>
          <t xml:space="preserve">K  </t>
        </is>
      </c>
      <c r="U48" t="n">
        <v>9</v>
      </c>
      <c r="V48" t="n">
        <v>9</v>
      </c>
      <c r="W48" t="inlineStr">
        <is>
          <t>2004-03-31</t>
        </is>
      </c>
      <c r="X48" t="inlineStr">
        <is>
          <t>2004-03-31</t>
        </is>
      </c>
      <c r="Y48" t="inlineStr">
        <is>
          <t>1992-06-12</t>
        </is>
      </c>
      <c r="Z48" t="inlineStr">
        <is>
          <t>1992-06-12</t>
        </is>
      </c>
      <c r="AA48" t="n">
        <v>104</v>
      </c>
      <c r="AB48" t="n">
        <v>90</v>
      </c>
      <c r="AC48" t="n">
        <v>725</v>
      </c>
      <c r="AD48" t="n">
        <v>2</v>
      </c>
      <c r="AE48" t="n">
        <v>8</v>
      </c>
      <c r="AF48" t="n">
        <v>4</v>
      </c>
      <c r="AG48" t="n">
        <v>54</v>
      </c>
      <c r="AH48" t="n">
        <v>2</v>
      </c>
      <c r="AI48" t="n">
        <v>11</v>
      </c>
      <c r="AJ48" t="n">
        <v>2</v>
      </c>
      <c r="AK48" t="n">
        <v>9</v>
      </c>
      <c r="AL48" t="n">
        <v>0</v>
      </c>
      <c r="AM48" t="n">
        <v>20</v>
      </c>
      <c r="AN48" t="n">
        <v>1</v>
      </c>
      <c r="AO48" t="n">
        <v>5</v>
      </c>
      <c r="AP48" t="n">
        <v>0</v>
      </c>
      <c r="AQ48" t="n">
        <v>19</v>
      </c>
      <c r="AR48" t="inlineStr">
        <is>
          <t>No</t>
        </is>
      </c>
      <c r="AS48" t="inlineStr">
        <is>
          <t>No</t>
        </is>
      </c>
      <c r="AU48">
        <f>HYPERLINK("https://creighton-primo.hosted.exlibrisgroup.com/primo-explore/search?tab=default_tab&amp;search_scope=EVERYTHING&amp;vid=01CRU&amp;lang=en_US&amp;offset=0&amp;query=any,contains,991005353799702656","Catalog Record")</f>
        <v/>
      </c>
      <c r="AV48">
        <f>HYPERLINK("http://www.worldcat.org/oclc/216898","WorldCat Record")</f>
        <v/>
      </c>
      <c r="AW48" t="inlineStr">
        <is>
          <t>1308981:eng</t>
        </is>
      </c>
      <c r="AX48" t="inlineStr">
        <is>
          <t>216898</t>
        </is>
      </c>
      <c r="AY48" t="inlineStr">
        <is>
          <t>991005353799702656</t>
        </is>
      </c>
      <c r="AZ48" t="inlineStr">
        <is>
          <t>991005353799702656</t>
        </is>
      </c>
      <c r="BA48" t="inlineStr">
        <is>
          <t>2256848340002656</t>
        </is>
      </c>
      <c r="BB48" t="inlineStr">
        <is>
          <t>BOOK</t>
        </is>
      </c>
      <c r="BD48" t="inlineStr">
        <is>
          <t>9780836923889</t>
        </is>
      </c>
      <c r="BE48" t="inlineStr">
        <is>
          <t>32285001170686</t>
        </is>
      </c>
      <c r="BF48" t="inlineStr">
        <is>
          <t>893527351</t>
        </is>
      </c>
    </row>
    <row r="49">
      <c r="B49" t="inlineStr">
        <is>
          <t>CURAL</t>
        </is>
      </c>
      <c r="C49" t="inlineStr">
        <is>
          <t>SHELVES</t>
        </is>
      </c>
      <c r="D49" t="inlineStr">
        <is>
          <t>K415 .S5 1982</t>
        </is>
      </c>
      <c r="E49" t="inlineStr">
        <is>
          <t>0                      K  0415000S  5           1982</t>
        </is>
      </c>
      <c r="F49" t="inlineStr">
        <is>
          <t>Natural law in political thought / Paul E. Sigmund.</t>
        </is>
      </c>
      <c r="H49" t="inlineStr">
        <is>
          <t>No</t>
        </is>
      </c>
      <c r="I49" t="inlineStr">
        <is>
          <t>1</t>
        </is>
      </c>
      <c r="J49" t="inlineStr">
        <is>
          <t>No</t>
        </is>
      </c>
      <c r="K49" t="inlineStr">
        <is>
          <t>No</t>
        </is>
      </c>
      <c r="L49" t="inlineStr">
        <is>
          <t>0</t>
        </is>
      </c>
      <c r="M49" t="inlineStr">
        <is>
          <t>Sigmund, Paul E.</t>
        </is>
      </c>
      <c r="N49" t="inlineStr">
        <is>
          <t>Washington, D.C. : University Press of America, [1982]</t>
        </is>
      </c>
      <c r="O49" t="inlineStr">
        <is>
          <t>1982</t>
        </is>
      </c>
      <c r="Q49" t="inlineStr">
        <is>
          <t>eng</t>
        </is>
      </c>
      <c r="R49" t="inlineStr">
        <is>
          <t>dcu</t>
        </is>
      </c>
      <c r="T49" t="inlineStr">
        <is>
          <t xml:space="preserve">K  </t>
        </is>
      </c>
      <c r="U49" t="n">
        <v>7</v>
      </c>
      <c r="V49" t="n">
        <v>7</v>
      </c>
      <c r="W49" t="inlineStr">
        <is>
          <t>2004-07-26</t>
        </is>
      </c>
      <c r="X49" t="inlineStr">
        <is>
          <t>2004-07-26</t>
        </is>
      </c>
      <c r="Y49" t="inlineStr">
        <is>
          <t>1992-06-11</t>
        </is>
      </c>
      <c r="Z49" t="inlineStr">
        <is>
          <t>1992-06-11</t>
        </is>
      </c>
      <c r="AA49" t="n">
        <v>175</v>
      </c>
      <c r="AB49" t="n">
        <v>159</v>
      </c>
      <c r="AC49" t="n">
        <v>594</v>
      </c>
      <c r="AD49" t="n">
        <v>1</v>
      </c>
      <c r="AE49" t="n">
        <v>7</v>
      </c>
      <c r="AF49" t="n">
        <v>18</v>
      </c>
      <c r="AG49" t="n">
        <v>44</v>
      </c>
      <c r="AH49" t="n">
        <v>5</v>
      </c>
      <c r="AI49" t="n">
        <v>11</v>
      </c>
      <c r="AJ49" t="n">
        <v>2</v>
      </c>
      <c r="AK49" t="n">
        <v>7</v>
      </c>
      <c r="AL49" t="n">
        <v>9</v>
      </c>
      <c r="AM49" t="n">
        <v>18</v>
      </c>
      <c r="AN49" t="n">
        <v>0</v>
      </c>
      <c r="AO49" t="n">
        <v>5</v>
      </c>
      <c r="AP49" t="n">
        <v>6</v>
      </c>
      <c r="AQ49" t="n">
        <v>11</v>
      </c>
      <c r="AR49" t="inlineStr">
        <is>
          <t>No</t>
        </is>
      </c>
      <c r="AS49" t="inlineStr">
        <is>
          <t>No</t>
        </is>
      </c>
      <c r="AU49">
        <f>HYPERLINK("https://creighton-primo.hosted.exlibrisgroup.com/primo-explore/search?tab=default_tab&amp;search_scope=EVERYTHING&amp;vid=01CRU&amp;lang=en_US&amp;offset=0&amp;query=any,contains,991005185329702656","Catalog Record")</f>
        <v/>
      </c>
      <c r="AV49">
        <f>HYPERLINK("http://www.worldcat.org/oclc/7975442","WorldCat Record")</f>
        <v/>
      </c>
      <c r="AW49" t="inlineStr">
        <is>
          <t>483404:eng</t>
        </is>
      </c>
      <c r="AX49" t="inlineStr">
        <is>
          <t>7975442</t>
        </is>
      </c>
      <c r="AY49" t="inlineStr">
        <is>
          <t>991005185329702656</t>
        </is>
      </c>
      <c r="AZ49" t="inlineStr">
        <is>
          <t>991005185329702656</t>
        </is>
      </c>
      <c r="BA49" t="inlineStr">
        <is>
          <t>2264003140002656</t>
        </is>
      </c>
      <c r="BB49" t="inlineStr">
        <is>
          <t>BOOK</t>
        </is>
      </c>
      <c r="BD49" t="inlineStr">
        <is>
          <t>9780819120991</t>
        </is>
      </c>
      <c r="BE49" t="inlineStr">
        <is>
          <t>32285001170702</t>
        </is>
      </c>
      <c r="BF49" t="inlineStr">
        <is>
          <t>893594622</t>
        </is>
      </c>
    </row>
    <row r="50">
      <c r="B50" t="inlineStr">
        <is>
          <t>CURAL</t>
        </is>
      </c>
      <c r="C50" t="inlineStr">
        <is>
          <t>SHELVES</t>
        </is>
      </c>
      <c r="D50" t="inlineStr">
        <is>
          <t>K415 .T83</t>
        </is>
      </c>
      <c r="E50" t="inlineStr">
        <is>
          <t>0                      K  0415000T  83</t>
        </is>
      </c>
      <c r="F50" t="inlineStr">
        <is>
          <t>Natural rights theories : their origin and development / Richard Tuck.</t>
        </is>
      </c>
      <c r="H50" t="inlineStr">
        <is>
          <t>No</t>
        </is>
      </c>
      <c r="I50" t="inlineStr">
        <is>
          <t>1</t>
        </is>
      </c>
      <c r="J50" t="inlineStr">
        <is>
          <t>No</t>
        </is>
      </c>
      <c r="K50" t="inlineStr">
        <is>
          <t>No</t>
        </is>
      </c>
      <c r="L50" t="inlineStr">
        <is>
          <t>0</t>
        </is>
      </c>
      <c r="M50" t="inlineStr">
        <is>
          <t>Tuck, Richard, 1949-</t>
        </is>
      </c>
      <c r="N50" t="inlineStr">
        <is>
          <t>Cambridge [Eng.] ; New York : Cambridge University Press, 1979.</t>
        </is>
      </c>
      <c r="O50" t="inlineStr">
        <is>
          <t>1979</t>
        </is>
      </c>
      <c r="Q50" t="inlineStr">
        <is>
          <t>eng</t>
        </is>
      </c>
      <c r="R50" t="inlineStr">
        <is>
          <t>enk</t>
        </is>
      </c>
      <c r="T50" t="inlineStr">
        <is>
          <t xml:space="preserve">K  </t>
        </is>
      </c>
      <c r="U50" t="n">
        <v>8</v>
      </c>
      <c r="V50" t="n">
        <v>8</v>
      </c>
      <c r="W50" t="inlineStr">
        <is>
          <t>2005-12-08</t>
        </is>
      </c>
      <c r="X50" t="inlineStr">
        <is>
          <t>2005-12-08</t>
        </is>
      </c>
      <c r="Y50" t="inlineStr">
        <is>
          <t>1990-07-09</t>
        </is>
      </c>
      <c r="Z50" t="inlineStr">
        <is>
          <t>1990-07-09</t>
        </is>
      </c>
      <c r="AA50" t="n">
        <v>810</v>
      </c>
      <c r="AB50" t="n">
        <v>577</v>
      </c>
      <c r="AC50" t="n">
        <v>658</v>
      </c>
      <c r="AD50" t="n">
        <v>3</v>
      </c>
      <c r="AE50" t="n">
        <v>3</v>
      </c>
      <c r="AF50" t="n">
        <v>45</v>
      </c>
      <c r="AG50" t="n">
        <v>50</v>
      </c>
      <c r="AH50" t="n">
        <v>12</v>
      </c>
      <c r="AI50" t="n">
        <v>13</v>
      </c>
      <c r="AJ50" t="n">
        <v>10</v>
      </c>
      <c r="AK50" t="n">
        <v>11</v>
      </c>
      <c r="AL50" t="n">
        <v>19</v>
      </c>
      <c r="AM50" t="n">
        <v>22</v>
      </c>
      <c r="AN50" t="n">
        <v>2</v>
      </c>
      <c r="AO50" t="n">
        <v>2</v>
      </c>
      <c r="AP50" t="n">
        <v>14</v>
      </c>
      <c r="AQ50" t="n">
        <v>15</v>
      </c>
      <c r="AR50" t="inlineStr">
        <is>
          <t>No</t>
        </is>
      </c>
      <c r="AS50" t="inlineStr">
        <is>
          <t>No</t>
        </is>
      </c>
      <c r="AU50">
        <f>HYPERLINK("https://creighton-primo.hosted.exlibrisgroup.com/primo-explore/search?tab=default_tab&amp;search_scope=EVERYTHING&amp;vid=01CRU&amp;lang=en_US&amp;offset=0&amp;query=any,contains,991004729919702656","Catalog Record")</f>
        <v/>
      </c>
      <c r="AV50">
        <f>HYPERLINK("http://www.worldcat.org/oclc/4834165","WorldCat Record")</f>
        <v/>
      </c>
      <c r="AW50" t="inlineStr">
        <is>
          <t>324502218:eng</t>
        </is>
      </c>
      <c r="AX50" t="inlineStr">
        <is>
          <t>4834165</t>
        </is>
      </c>
      <c r="AY50" t="inlineStr">
        <is>
          <t>991004729919702656</t>
        </is>
      </c>
      <c r="AZ50" t="inlineStr">
        <is>
          <t>991004729919702656</t>
        </is>
      </c>
      <c r="BA50" t="inlineStr">
        <is>
          <t>2267759510002656</t>
        </is>
      </c>
      <c r="BB50" t="inlineStr">
        <is>
          <t>BOOK</t>
        </is>
      </c>
      <c r="BD50" t="inlineStr">
        <is>
          <t>9780521225120</t>
        </is>
      </c>
      <c r="BE50" t="inlineStr">
        <is>
          <t>32285000222371</t>
        </is>
      </c>
      <c r="BF50" t="inlineStr">
        <is>
          <t>893229764</t>
        </is>
      </c>
    </row>
    <row r="51">
      <c r="B51" t="inlineStr">
        <is>
          <t>CURAL</t>
        </is>
      </c>
      <c r="C51" t="inlineStr">
        <is>
          <t>SHELVES</t>
        </is>
      </c>
      <c r="D51" t="inlineStr">
        <is>
          <t>K430 .S5</t>
        </is>
      </c>
      <c r="E51" t="inlineStr">
        <is>
          <t>0                      K  0430000S  5</t>
        </is>
      </c>
      <c r="F51" t="inlineStr">
        <is>
          <t>The tradition of natural law; a philosopher's reflections [by] Yves R. Simon. Edited by Vukan Kuic.</t>
        </is>
      </c>
      <c r="H51" t="inlineStr">
        <is>
          <t>No</t>
        </is>
      </c>
      <c r="I51" t="inlineStr">
        <is>
          <t>1</t>
        </is>
      </c>
      <c r="J51" t="inlineStr">
        <is>
          <t>Yes</t>
        </is>
      </c>
      <c r="K51" t="inlineStr">
        <is>
          <t>No</t>
        </is>
      </c>
      <c r="L51" t="inlineStr">
        <is>
          <t>0</t>
        </is>
      </c>
      <c r="M51" t="inlineStr">
        <is>
          <t>Simon, Yves R., 1903-1961.</t>
        </is>
      </c>
      <c r="N51" t="inlineStr">
        <is>
          <t>New York, Fordham University Press [1965]</t>
        </is>
      </c>
      <c r="O51" t="inlineStr">
        <is>
          <t>1965</t>
        </is>
      </c>
      <c r="Q51" t="inlineStr">
        <is>
          <t>eng</t>
        </is>
      </c>
      <c r="R51" t="inlineStr">
        <is>
          <t>___</t>
        </is>
      </c>
      <c r="T51" t="inlineStr">
        <is>
          <t xml:space="preserve">K  </t>
        </is>
      </c>
      <c r="U51" t="n">
        <v>5</v>
      </c>
      <c r="V51" t="n">
        <v>6</v>
      </c>
      <c r="W51" t="inlineStr">
        <is>
          <t>2004-04-19</t>
        </is>
      </c>
      <c r="X51" t="inlineStr">
        <is>
          <t>2004-04-19</t>
        </is>
      </c>
      <c r="Y51" t="inlineStr">
        <is>
          <t>1992-06-11</t>
        </is>
      </c>
      <c r="Z51" t="inlineStr">
        <is>
          <t>1992-06-11</t>
        </is>
      </c>
      <c r="AA51" t="n">
        <v>696</v>
      </c>
      <c r="AB51" t="n">
        <v>611</v>
      </c>
      <c r="AC51" t="n">
        <v>953</v>
      </c>
      <c r="AD51" t="n">
        <v>6</v>
      </c>
      <c r="AE51" t="n">
        <v>9</v>
      </c>
      <c r="AF51" t="n">
        <v>54</v>
      </c>
      <c r="AG51" t="n">
        <v>66</v>
      </c>
      <c r="AH51" t="n">
        <v>15</v>
      </c>
      <c r="AI51" t="n">
        <v>17</v>
      </c>
      <c r="AJ51" t="n">
        <v>9</v>
      </c>
      <c r="AK51" t="n">
        <v>10</v>
      </c>
      <c r="AL51" t="n">
        <v>24</v>
      </c>
      <c r="AM51" t="n">
        <v>26</v>
      </c>
      <c r="AN51" t="n">
        <v>4</v>
      </c>
      <c r="AO51" t="n">
        <v>6</v>
      </c>
      <c r="AP51" t="n">
        <v>13</v>
      </c>
      <c r="AQ51" t="n">
        <v>19</v>
      </c>
      <c r="AR51" t="inlineStr">
        <is>
          <t>No</t>
        </is>
      </c>
      <c r="AS51" t="inlineStr">
        <is>
          <t>Yes</t>
        </is>
      </c>
      <c r="AT51">
        <f>HYPERLINK("http://catalog.hathitrust.org/Record/001434025","HathiTrust Record")</f>
        <v/>
      </c>
      <c r="AU51">
        <f>HYPERLINK("https://creighton-primo.hosted.exlibrisgroup.com/primo-explore/search?tab=default_tab&amp;search_scope=EVERYTHING&amp;vid=01CRU&amp;lang=en_US&amp;offset=0&amp;query=any,contains,991001625919702656","Catalog Record")</f>
        <v/>
      </c>
      <c r="AV51">
        <f>HYPERLINK("http://www.worldcat.org/oclc/306156","WorldCat Record")</f>
        <v/>
      </c>
      <c r="AW51" t="inlineStr">
        <is>
          <t>1020321:eng</t>
        </is>
      </c>
      <c r="AX51" t="inlineStr">
        <is>
          <t>306156</t>
        </is>
      </c>
      <c r="AY51" t="inlineStr">
        <is>
          <t>991001625919702656</t>
        </is>
      </c>
      <c r="AZ51" t="inlineStr">
        <is>
          <t>991001625919702656</t>
        </is>
      </c>
      <c r="BA51" t="inlineStr">
        <is>
          <t>2266056460002656</t>
        </is>
      </c>
      <c r="BB51" t="inlineStr">
        <is>
          <t>BOOK</t>
        </is>
      </c>
      <c r="BE51" t="inlineStr">
        <is>
          <t>32285001170744</t>
        </is>
      </c>
      <c r="BF51" t="inlineStr">
        <is>
          <t>893340552</t>
        </is>
      </c>
    </row>
    <row r="52">
      <c r="B52" t="inlineStr">
        <is>
          <t>CURAL</t>
        </is>
      </c>
      <c r="C52" t="inlineStr">
        <is>
          <t>SHELVES</t>
        </is>
      </c>
      <c r="D52" t="inlineStr">
        <is>
          <t>K457.L6 A2 1990</t>
        </is>
      </c>
      <c r="E52" t="inlineStr">
        <is>
          <t>0                      K  0457000L  6                  A  2           1990</t>
        </is>
      </c>
      <c r="F52" t="inlineStr">
        <is>
          <t>Questions concerning the law of nature / John Locke ; with an introduction, text, and translation by Robert Horwitz, Jenny Strauss Clay, and Diskin Clay.</t>
        </is>
      </c>
      <c r="H52" t="inlineStr">
        <is>
          <t>No</t>
        </is>
      </c>
      <c r="I52" t="inlineStr">
        <is>
          <t>1</t>
        </is>
      </c>
      <c r="J52" t="inlineStr">
        <is>
          <t>No</t>
        </is>
      </c>
      <c r="K52" t="inlineStr">
        <is>
          <t>No</t>
        </is>
      </c>
      <c r="L52" t="inlineStr">
        <is>
          <t>0</t>
        </is>
      </c>
      <c r="M52" t="inlineStr">
        <is>
          <t>Locke, John, 1632-1704.</t>
        </is>
      </c>
      <c r="N52" t="inlineStr">
        <is>
          <t>Ithaca : Cornell University Press, 1990.</t>
        </is>
      </c>
      <c r="O52" t="inlineStr">
        <is>
          <t>1990</t>
        </is>
      </c>
      <c r="Q52" t="inlineStr">
        <is>
          <t>eng</t>
        </is>
      </c>
      <c r="R52" t="inlineStr">
        <is>
          <t>nyu</t>
        </is>
      </c>
      <c r="T52" t="inlineStr">
        <is>
          <t xml:space="preserve">K  </t>
        </is>
      </c>
      <c r="U52" t="n">
        <v>8</v>
      </c>
      <c r="V52" t="n">
        <v>8</v>
      </c>
      <c r="W52" t="inlineStr">
        <is>
          <t>2008-04-17</t>
        </is>
      </c>
      <c r="X52" t="inlineStr">
        <is>
          <t>2008-04-17</t>
        </is>
      </c>
      <c r="Y52" t="inlineStr">
        <is>
          <t>1990-12-19</t>
        </is>
      </c>
      <c r="Z52" t="inlineStr">
        <is>
          <t>1990-12-19</t>
        </is>
      </c>
      <c r="AA52" t="n">
        <v>398</v>
      </c>
      <c r="AB52" t="n">
        <v>328</v>
      </c>
      <c r="AC52" t="n">
        <v>515</v>
      </c>
      <c r="AD52" t="n">
        <v>2</v>
      </c>
      <c r="AE52" t="n">
        <v>2</v>
      </c>
      <c r="AF52" t="n">
        <v>29</v>
      </c>
      <c r="AG52" t="n">
        <v>36</v>
      </c>
      <c r="AH52" t="n">
        <v>6</v>
      </c>
      <c r="AI52" t="n">
        <v>10</v>
      </c>
      <c r="AJ52" t="n">
        <v>5</v>
      </c>
      <c r="AK52" t="n">
        <v>7</v>
      </c>
      <c r="AL52" t="n">
        <v>12</v>
      </c>
      <c r="AM52" t="n">
        <v>15</v>
      </c>
      <c r="AN52" t="n">
        <v>1</v>
      </c>
      <c r="AO52" t="n">
        <v>1</v>
      </c>
      <c r="AP52" t="n">
        <v>11</v>
      </c>
      <c r="AQ52" t="n">
        <v>11</v>
      </c>
      <c r="AR52" t="inlineStr">
        <is>
          <t>No</t>
        </is>
      </c>
      <c r="AS52" t="inlineStr">
        <is>
          <t>Yes</t>
        </is>
      </c>
      <c r="AT52">
        <f>HYPERLINK("http://catalog.hathitrust.org/Record/002167374","HathiTrust Record")</f>
        <v/>
      </c>
      <c r="AU52">
        <f>HYPERLINK("https://creighton-primo.hosted.exlibrisgroup.com/primo-explore/search?tab=default_tab&amp;search_scope=EVERYTHING&amp;vid=01CRU&amp;lang=en_US&amp;offset=0&amp;query=any,contains,991001650949702656","Catalog Record")</f>
        <v/>
      </c>
      <c r="AV52">
        <f>HYPERLINK("http://www.worldcat.org/oclc/21080801","WorldCat Record")</f>
        <v/>
      </c>
      <c r="AW52" t="inlineStr">
        <is>
          <t>233761677:eng</t>
        </is>
      </c>
      <c r="AX52" t="inlineStr">
        <is>
          <t>21080801</t>
        </is>
      </c>
      <c r="AY52" t="inlineStr">
        <is>
          <t>991001650949702656</t>
        </is>
      </c>
      <c r="AZ52" t="inlineStr">
        <is>
          <t>991001650949702656</t>
        </is>
      </c>
      <c r="BA52" t="inlineStr">
        <is>
          <t>2255595490002656</t>
        </is>
      </c>
      <c r="BB52" t="inlineStr">
        <is>
          <t>BOOK</t>
        </is>
      </c>
      <c r="BD52" t="inlineStr">
        <is>
          <t>9780801423482</t>
        </is>
      </c>
      <c r="BE52" t="inlineStr">
        <is>
          <t>32285000359934</t>
        </is>
      </c>
      <c r="BF52" t="inlineStr">
        <is>
          <t>893696889</t>
        </is>
      </c>
    </row>
    <row r="53">
      <c r="B53" t="inlineStr">
        <is>
          <t>CURAL</t>
        </is>
      </c>
      <c r="C53" t="inlineStr">
        <is>
          <t>SHELVES</t>
        </is>
      </c>
      <c r="D53" t="inlineStr">
        <is>
          <t>K460 .P37 1994</t>
        </is>
      </c>
      <c r="E53" t="inlineStr">
        <is>
          <t>0                      K  0460000P  37          1994</t>
        </is>
      </c>
      <c r="F53" t="inlineStr">
        <is>
          <t>Natural law : an introduction to legal philosophy / Alexander Passerin d'Entrèves ; with a new introduction by Cary J. Nederman.</t>
        </is>
      </c>
      <c r="H53" t="inlineStr">
        <is>
          <t>No</t>
        </is>
      </c>
      <c r="I53" t="inlineStr">
        <is>
          <t>1</t>
        </is>
      </c>
      <c r="J53" t="inlineStr">
        <is>
          <t>No</t>
        </is>
      </c>
      <c r="K53" t="inlineStr">
        <is>
          <t>Yes</t>
        </is>
      </c>
      <c r="L53" t="inlineStr">
        <is>
          <t>0</t>
        </is>
      </c>
      <c r="M53" t="inlineStr">
        <is>
          <t>Passerin d'Entrèves, Alessandro, 1902-1985.</t>
        </is>
      </c>
      <c r="N53" t="inlineStr">
        <is>
          <t>New Brunswick, U.S.A. : Transaction Publishers, c1994.</t>
        </is>
      </c>
      <c r="O53" t="inlineStr">
        <is>
          <t>1994</t>
        </is>
      </c>
      <c r="Q53" t="inlineStr">
        <is>
          <t>eng</t>
        </is>
      </c>
      <c r="R53" t="inlineStr">
        <is>
          <t>nju</t>
        </is>
      </c>
      <c r="S53" t="inlineStr">
        <is>
          <t>Library of conservative thought</t>
        </is>
      </c>
      <c r="T53" t="inlineStr">
        <is>
          <t xml:space="preserve">K  </t>
        </is>
      </c>
      <c r="U53" t="n">
        <v>3</v>
      </c>
      <c r="V53" t="n">
        <v>3</v>
      </c>
      <c r="W53" t="inlineStr">
        <is>
          <t>2008-03-19</t>
        </is>
      </c>
      <c r="X53" t="inlineStr">
        <is>
          <t>2008-03-19</t>
        </is>
      </c>
      <c r="Y53" t="inlineStr">
        <is>
          <t>2005-10-13</t>
        </is>
      </c>
      <c r="Z53" t="inlineStr">
        <is>
          <t>2005-10-13</t>
        </is>
      </c>
      <c r="AA53" t="n">
        <v>162</v>
      </c>
      <c r="AB53" t="n">
        <v>130</v>
      </c>
      <c r="AC53" t="n">
        <v>805</v>
      </c>
      <c r="AD53" t="n">
        <v>1</v>
      </c>
      <c r="AE53" t="n">
        <v>5</v>
      </c>
      <c r="AF53" t="n">
        <v>7</v>
      </c>
      <c r="AG53" t="n">
        <v>53</v>
      </c>
      <c r="AH53" t="n">
        <v>2</v>
      </c>
      <c r="AI53" t="n">
        <v>14</v>
      </c>
      <c r="AJ53" t="n">
        <v>0</v>
      </c>
      <c r="AK53" t="n">
        <v>6</v>
      </c>
      <c r="AL53" t="n">
        <v>0</v>
      </c>
      <c r="AM53" t="n">
        <v>19</v>
      </c>
      <c r="AN53" t="n">
        <v>0</v>
      </c>
      <c r="AO53" t="n">
        <v>2</v>
      </c>
      <c r="AP53" t="n">
        <v>5</v>
      </c>
      <c r="AQ53" t="n">
        <v>21</v>
      </c>
      <c r="AR53" t="inlineStr">
        <is>
          <t>No</t>
        </is>
      </c>
      <c r="AS53" t="inlineStr">
        <is>
          <t>No</t>
        </is>
      </c>
      <c r="AU53">
        <f>HYPERLINK("https://creighton-primo.hosted.exlibrisgroup.com/primo-explore/search?tab=default_tab&amp;search_scope=EVERYTHING&amp;vid=01CRU&amp;lang=en_US&amp;offset=0&amp;query=any,contains,991004672099702656","Catalog Record")</f>
        <v/>
      </c>
      <c r="AV53">
        <f>HYPERLINK("http://www.worldcat.org/oclc/26855780","WorldCat Record")</f>
        <v/>
      </c>
      <c r="AW53" t="inlineStr">
        <is>
          <t>196170422:eng</t>
        </is>
      </c>
      <c r="AX53" t="inlineStr">
        <is>
          <t>26855780</t>
        </is>
      </c>
      <c r="AY53" t="inlineStr">
        <is>
          <t>991004672099702656</t>
        </is>
      </c>
      <c r="AZ53" t="inlineStr">
        <is>
          <t>991004672099702656</t>
        </is>
      </c>
      <c r="BA53" t="inlineStr">
        <is>
          <t>2267663930002656</t>
        </is>
      </c>
      <c r="BB53" t="inlineStr">
        <is>
          <t>BOOK</t>
        </is>
      </c>
      <c r="BD53" t="inlineStr">
        <is>
          <t>9781560006732</t>
        </is>
      </c>
      <c r="BE53" t="inlineStr">
        <is>
          <t>32285005089395</t>
        </is>
      </c>
      <c r="BF53" t="inlineStr">
        <is>
          <t>893901599</t>
        </is>
      </c>
    </row>
    <row r="54">
      <c r="B54" t="inlineStr">
        <is>
          <t>CURAL</t>
        </is>
      </c>
      <c r="C54" t="inlineStr">
        <is>
          <t>SHELVES</t>
        </is>
      </c>
      <c r="D54" t="inlineStr">
        <is>
          <t>K460 .W45 1987</t>
        </is>
      </c>
      <c r="E54" t="inlineStr">
        <is>
          <t>0                      K  0460000W  45          1987</t>
        </is>
      </c>
      <c r="F54" t="inlineStr">
        <is>
          <t>Natural law and justice / Lloyd L. Weinreb.</t>
        </is>
      </c>
      <c r="H54" t="inlineStr">
        <is>
          <t>No</t>
        </is>
      </c>
      <c r="I54" t="inlineStr">
        <is>
          <t>1</t>
        </is>
      </c>
      <c r="J54" t="inlineStr">
        <is>
          <t>Yes</t>
        </is>
      </c>
      <c r="K54" t="inlineStr">
        <is>
          <t>No</t>
        </is>
      </c>
      <c r="L54" t="inlineStr">
        <is>
          <t>0</t>
        </is>
      </c>
      <c r="M54" t="inlineStr">
        <is>
          <t>Weinreb, Lloyd L., 1936-</t>
        </is>
      </c>
      <c r="N54" t="inlineStr">
        <is>
          <t>Cambridge, Mass. : Harvard University Press, 1987.</t>
        </is>
      </c>
      <c r="O54" t="inlineStr">
        <is>
          <t>1987</t>
        </is>
      </c>
      <c r="Q54" t="inlineStr">
        <is>
          <t>eng</t>
        </is>
      </c>
      <c r="R54" t="inlineStr">
        <is>
          <t>mau</t>
        </is>
      </c>
      <c r="T54" t="inlineStr">
        <is>
          <t xml:space="preserve">K  </t>
        </is>
      </c>
      <c r="U54" t="n">
        <v>6</v>
      </c>
      <c r="V54" t="n">
        <v>7</v>
      </c>
      <c r="W54" t="inlineStr">
        <is>
          <t>2005-06-28</t>
        </is>
      </c>
      <c r="X54" t="inlineStr">
        <is>
          <t>2005-06-28</t>
        </is>
      </c>
      <c r="Y54" t="inlineStr">
        <is>
          <t>1992-06-11</t>
        </is>
      </c>
      <c r="Z54" t="inlineStr">
        <is>
          <t>1993-04-28</t>
        </is>
      </c>
      <c r="AA54" t="n">
        <v>640</v>
      </c>
      <c r="AB54" t="n">
        <v>501</v>
      </c>
      <c r="AC54" t="n">
        <v>504</v>
      </c>
      <c r="AD54" t="n">
        <v>5</v>
      </c>
      <c r="AE54" t="n">
        <v>5</v>
      </c>
      <c r="AF54" t="n">
        <v>44</v>
      </c>
      <c r="AG54" t="n">
        <v>44</v>
      </c>
      <c r="AH54" t="n">
        <v>6</v>
      </c>
      <c r="AI54" t="n">
        <v>6</v>
      </c>
      <c r="AJ54" t="n">
        <v>8</v>
      </c>
      <c r="AK54" t="n">
        <v>8</v>
      </c>
      <c r="AL54" t="n">
        <v>13</v>
      </c>
      <c r="AM54" t="n">
        <v>13</v>
      </c>
      <c r="AN54" t="n">
        <v>1</v>
      </c>
      <c r="AO54" t="n">
        <v>1</v>
      </c>
      <c r="AP54" t="n">
        <v>23</v>
      </c>
      <c r="AQ54" t="n">
        <v>23</v>
      </c>
      <c r="AR54" t="inlineStr">
        <is>
          <t>No</t>
        </is>
      </c>
      <c r="AS54" t="inlineStr">
        <is>
          <t>Yes</t>
        </is>
      </c>
      <c r="AT54">
        <f>HYPERLINK("http://catalog.hathitrust.org/Record/000839894","HathiTrust Record")</f>
        <v/>
      </c>
      <c r="AU54">
        <f>HYPERLINK("https://creighton-primo.hosted.exlibrisgroup.com/primo-explore/search?tab=default_tab&amp;search_scope=EVERYTHING&amp;vid=01CRU&amp;lang=en_US&amp;offset=0&amp;query=any,contains,991001635099702656","Catalog Record")</f>
        <v/>
      </c>
      <c r="AV54">
        <f>HYPERLINK("http://www.worldcat.org/oclc/14586188","WorldCat Record")</f>
        <v/>
      </c>
      <c r="AW54" t="inlineStr">
        <is>
          <t>2682385:eng</t>
        </is>
      </c>
      <c r="AX54" t="inlineStr">
        <is>
          <t>14586188</t>
        </is>
      </c>
      <c r="AY54" t="inlineStr">
        <is>
          <t>991001635099702656</t>
        </is>
      </c>
      <c r="AZ54" t="inlineStr">
        <is>
          <t>991001635099702656</t>
        </is>
      </c>
      <c r="BA54" t="inlineStr">
        <is>
          <t>2272465410002656</t>
        </is>
      </c>
      <c r="BB54" t="inlineStr">
        <is>
          <t>BOOK</t>
        </is>
      </c>
      <c r="BD54" t="inlineStr">
        <is>
          <t>9780674604254</t>
        </is>
      </c>
      <c r="BE54" t="inlineStr">
        <is>
          <t>32285001170777</t>
        </is>
      </c>
      <c r="BF54" t="inlineStr">
        <is>
          <t>893866352</t>
        </is>
      </c>
    </row>
    <row r="55">
      <c r="B55" t="inlineStr">
        <is>
          <t>CURAL</t>
        </is>
      </c>
      <c r="C55" t="inlineStr">
        <is>
          <t>SHELVES</t>
        </is>
      </c>
      <c r="D55" t="inlineStr">
        <is>
          <t>K4725 .K4</t>
        </is>
      </c>
      <c r="E55" t="inlineStr">
        <is>
          <t>0                      K  4725000K  4</t>
        </is>
      </c>
      <c r="F55" t="inlineStr">
        <is>
          <t>Military obedience / by Nico Keijzer.</t>
        </is>
      </c>
      <c r="H55" t="inlineStr">
        <is>
          <t>No</t>
        </is>
      </c>
      <c r="I55" t="inlineStr">
        <is>
          <t>1</t>
        </is>
      </c>
      <c r="J55" t="inlineStr">
        <is>
          <t>No</t>
        </is>
      </c>
      <c r="K55" t="inlineStr">
        <is>
          <t>No</t>
        </is>
      </c>
      <c r="L55" t="inlineStr">
        <is>
          <t>0</t>
        </is>
      </c>
      <c r="M55" t="inlineStr">
        <is>
          <t>Keijzer, Nico.</t>
        </is>
      </c>
      <c r="N55" t="inlineStr">
        <is>
          <t>Alphen aan den Rijn, Netherlands : Sijthoff &amp; Noordhoff, 1978.</t>
        </is>
      </c>
      <c r="O55" t="inlineStr">
        <is>
          <t>1978</t>
        </is>
      </c>
      <c r="Q55" t="inlineStr">
        <is>
          <t>eng</t>
        </is>
      </c>
      <c r="R55" t="inlineStr">
        <is>
          <t xml:space="preserve">xx </t>
        </is>
      </c>
      <c r="T55" t="inlineStr">
        <is>
          <t xml:space="preserve">K  </t>
        </is>
      </c>
      <c r="U55" t="n">
        <v>3</v>
      </c>
      <c r="V55" t="n">
        <v>3</v>
      </c>
      <c r="W55" t="inlineStr">
        <is>
          <t>2005-10-04</t>
        </is>
      </c>
      <c r="X55" t="inlineStr">
        <is>
          <t>2005-10-04</t>
        </is>
      </c>
      <c r="Y55" t="inlineStr">
        <is>
          <t>1995-03-02</t>
        </is>
      </c>
      <c r="Z55" t="inlineStr">
        <is>
          <t>1995-03-02</t>
        </is>
      </c>
      <c r="AA55" t="n">
        <v>141</v>
      </c>
      <c r="AB55" t="n">
        <v>78</v>
      </c>
      <c r="AC55" t="n">
        <v>78</v>
      </c>
      <c r="AD55" t="n">
        <v>2</v>
      </c>
      <c r="AE55" t="n">
        <v>2</v>
      </c>
      <c r="AF55" t="n">
        <v>6</v>
      </c>
      <c r="AG55" t="n">
        <v>6</v>
      </c>
      <c r="AH55" t="n">
        <v>0</v>
      </c>
      <c r="AI55" t="n">
        <v>0</v>
      </c>
      <c r="AJ55" t="n">
        <v>0</v>
      </c>
      <c r="AK55" t="n">
        <v>0</v>
      </c>
      <c r="AL55" t="n">
        <v>0</v>
      </c>
      <c r="AM55" t="n">
        <v>0</v>
      </c>
      <c r="AN55" t="n">
        <v>1</v>
      </c>
      <c r="AO55" t="n">
        <v>1</v>
      </c>
      <c r="AP55" t="n">
        <v>5</v>
      </c>
      <c r="AQ55" t="n">
        <v>5</v>
      </c>
      <c r="AR55" t="inlineStr">
        <is>
          <t>No</t>
        </is>
      </c>
      <c r="AS55" t="inlineStr">
        <is>
          <t>No</t>
        </is>
      </c>
      <c r="AU55">
        <f>HYPERLINK("https://creighton-primo.hosted.exlibrisgroup.com/primo-explore/search?tab=default_tab&amp;search_scope=EVERYTHING&amp;vid=01CRU&amp;lang=en_US&amp;offset=0&amp;query=any,contains,991004734159702656","Catalog Record")</f>
        <v/>
      </c>
      <c r="AV55">
        <f>HYPERLINK("http://www.worldcat.org/oclc/4846247","WorldCat Record")</f>
        <v/>
      </c>
      <c r="AW55" t="inlineStr">
        <is>
          <t>15107107:eng</t>
        </is>
      </c>
      <c r="AX55" t="inlineStr">
        <is>
          <t>4846247</t>
        </is>
      </c>
      <c r="AY55" t="inlineStr">
        <is>
          <t>991004734159702656</t>
        </is>
      </c>
      <c r="AZ55" t="inlineStr">
        <is>
          <t>991004734159702656</t>
        </is>
      </c>
      <c r="BA55" t="inlineStr">
        <is>
          <t>2262552120002656</t>
        </is>
      </c>
      <c r="BB55" t="inlineStr">
        <is>
          <t>BOOK</t>
        </is>
      </c>
      <c r="BD55" t="inlineStr">
        <is>
          <t>9780902860582</t>
        </is>
      </c>
      <c r="BE55" t="inlineStr">
        <is>
          <t>32285002020062</t>
        </is>
      </c>
      <c r="BF55" t="inlineStr">
        <is>
          <t>893789032</t>
        </is>
      </c>
    </row>
    <row r="56">
      <c r="B56" t="inlineStr">
        <is>
          <t>CURAL</t>
        </is>
      </c>
      <c r="C56" t="inlineStr">
        <is>
          <t>SHELVES</t>
        </is>
      </c>
      <c r="D56" t="inlineStr">
        <is>
          <t>K487.P75 P78</t>
        </is>
      </c>
      <c r="E56" t="inlineStr">
        <is>
          <t>0                      K  0487000P  75                 P  78</t>
        </is>
      </c>
      <c r="F56" t="inlineStr">
        <is>
          <t>Psychology in the legal process / edited by Bruce Dennis Sales.</t>
        </is>
      </c>
      <c r="H56" t="inlineStr">
        <is>
          <t>No</t>
        </is>
      </c>
      <c r="I56" t="inlineStr">
        <is>
          <t>1</t>
        </is>
      </c>
      <c r="J56" t="inlineStr">
        <is>
          <t>No</t>
        </is>
      </c>
      <c r="K56" t="inlineStr">
        <is>
          <t>No</t>
        </is>
      </c>
      <c r="L56" t="inlineStr">
        <is>
          <t>0</t>
        </is>
      </c>
      <c r="N56" t="inlineStr">
        <is>
          <t>New York : SP Books Division of Spectrum Publications ; distributed by Halsted Press, c1977.</t>
        </is>
      </c>
      <c r="O56" t="inlineStr">
        <is>
          <t>1977</t>
        </is>
      </c>
      <c r="Q56" t="inlineStr">
        <is>
          <t>eng</t>
        </is>
      </c>
      <c r="R56" t="inlineStr">
        <is>
          <t>nyu</t>
        </is>
      </c>
      <c r="T56" t="inlineStr">
        <is>
          <t xml:space="preserve">K  </t>
        </is>
      </c>
      <c r="U56" t="n">
        <v>11</v>
      </c>
      <c r="V56" t="n">
        <v>11</v>
      </c>
      <c r="W56" t="inlineStr">
        <is>
          <t>2007-12-09</t>
        </is>
      </c>
      <c r="X56" t="inlineStr">
        <is>
          <t>2007-12-09</t>
        </is>
      </c>
      <c r="Y56" t="inlineStr">
        <is>
          <t>1992-06-11</t>
        </is>
      </c>
      <c r="Z56" t="inlineStr">
        <is>
          <t>1992-06-11</t>
        </is>
      </c>
      <c r="AA56" t="n">
        <v>386</v>
      </c>
      <c r="AB56" t="n">
        <v>310</v>
      </c>
      <c r="AC56" t="n">
        <v>313</v>
      </c>
      <c r="AD56" t="n">
        <v>3</v>
      </c>
      <c r="AE56" t="n">
        <v>3</v>
      </c>
      <c r="AF56" t="n">
        <v>26</v>
      </c>
      <c r="AG56" t="n">
        <v>26</v>
      </c>
      <c r="AH56" t="n">
        <v>4</v>
      </c>
      <c r="AI56" t="n">
        <v>4</v>
      </c>
      <c r="AJ56" t="n">
        <v>4</v>
      </c>
      <c r="AK56" t="n">
        <v>4</v>
      </c>
      <c r="AL56" t="n">
        <v>6</v>
      </c>
      <c r="AM56" t="n">
        <v>6</v>
      </c>
      <c r="AN56" t="n">
        <v>1</v>
      </c>
      <c r="AO56" t="n">
        <v>1</v>
      </c>
      <c r="AP56" t="n">
        <v>15</v>
      </c>
      <c r="AQ56" t="n">
        <v>15</v>
      </c>
      <c r="AR56" t="inlineStr">
        <is>
          <t>No</t>
        </is>
      </c>
      <c r="AS56" t="inlineStr">
        <is>
          <t>Yes</t>
        </is>
      </c>
      <c r="AT56">
        <f>HYPERLINK("http://catalog.hathitrust.org/Record/007475271","HathiTrust Record")</f>
        <v/>
      </c>
      <c r="AU56">
        <f>HYPERLINK("https://creighton-primo.hosted.exlibrisgroup.com/primo-explore/search?tab=default_tab&amp;search_scope=EVERYTHING&amp;vid=01CRU&amp;lang=en_US&amp;offset=0&amp;query=any,contains,991004259339702656","Catalog Record")</f>
        <v/>
      </c>
      <c r="AV56">
        <f>HYPERLINK("http://www.worldcat.org/oclc/2837140","WorldCat Record")</f>
        <v/>
      </c>
      <c r="AW56" t="inlineStr">
        <is>
          <t>488181:eng</t>
        </is>
      </c>
      <c r="AX56" t="inlineStr">
        <is>
          <t>2837140</t>
        </is>
      </c>
      <c r="AY56" t="inlineStr">
        <is>
          <t>991004259339702656</t>
        </is>
      </c>
      <c r="AZ56" t="inlineStr">
        <is>
          <t>991004259339702656</t>
        </is>
      </c>
      <c r="BA56" t="inlineStr">
        <is>
          <t>2262184950002656</t>
        </is>
      </c>
      <c r="BB56" t="inlineStr">
        <is>
          <t>BOOK</t>
        </is>
      </c>
      <c r="BD56" t="inlineStr">
        <is>
          <t>9780893350123</t>
        </is>
      </c>
      <c r="BE56" t="inlineStr">
        <is>
          <t>32285001170843</t>
        </is>
      </c>
      <c r="BF56" t="inlineStr">
        <is>
          <t>893532196</t>
        </is>
      </c>
    </row>
    <row r="57">
      <c r="B57" t="inlineStr">
        <is>
          <t>CURAL</t>
        </is>
      </c>
      <c r="C57" t="inlineStr">
        <is>
          <t>SHELVES</t>
        </is>
      </c>
      <c r="D57" t="inlineStr">
        <is>
          <t>K487.S3 F35 1999</t>
        </is>
      </c>
      <c r="E57" t="inlineStr">
        <is>
          <t>0                      K  0487000S  3                  F  35          1999</t>
        </is>
      </c>
      <c r="F57" t="inlineStr">
        <is>
          <t>Legal alchemy : the use and misuse of science in the law / David L. Faigman.</t>
        </is>
      </c>
      <c r="H57" t="inlineStr">
        <is>
          <t>No</t>
        </is>
      </c>
      <c r="I57" t="inlineStr">
        <is>
          <t>1</t>
        </is>
      </c>
      <c r="J57" t="inlineStr">
        <is>
          <t>No</t>
        </is>
      </c>
      <c r="K57" t="inlineStr">
        <is>
          <t>Yes</t>
        </is>
      </c>
      <c r="L57" t="inlineStr">
        <is>
          <t>0</t>
        </is>
      </c>
      <c r="M57" t="inlineStr">
        <is>
          <t>Faigman, David L. (David Laurence)</t>
        </is>
      </c>
      <c r="N57" t="inlineStr">
        <is>
          <t>New York : W.H. Freeman and Co., c1999.</t>
        </is>
      </c>
      <c r="O57" t="inlineStr">
        <is>
          <t>1999</t>
        </is>
      </c>
      <c r="Q57" t="inlineStr">
        <is>
          <t>eng</t>
        </is>
      </c>
      <c r="R57" t="inlineStr">
        <is>
          <t>nyu</t>
        </is>
      </c>
      <c r="T57" t="inlineStr">
        <is>
          <t xml:space="preserve">K  </t>
        </is>
      </c>
      <c r="U57" t="n">
        <v>1</v>
      </c>
      <c r="V57" t="n">
        <v>1</v>
      </c>
      <c r="W57" t="inlineStr">
        <is>
          <t>2002-09-04</t>
        </is>
      </c>
      <c r="X57" t="inlineStr">
        <is>
          <t>2002-09-04</t>
        </is>
      </c>
      <c r="Y57" t="inlineStr">
        <is>
          <t>2000-01-19</t>
        </is>
      </c>
      <c r="Z57" t="inlineStr">
        <is>
          <t>2000-01-19</t>
        </is>
      </c>
      <c r="AA57" t="n">
        <v>590</v>
      </c>
      <c r="AB57" t="n">
        <v>514</v>
      </c>
      <c r="AC57" t="n">
        <v>556</v>
      </c>
      <c r="AD57" t="n">
        <v>5</v>
      </c>
      <c r="AE57" t="n">
        <v>8</v>
      </c>
      <c r="AF57" t="n">
        <v>37</v>
      </c>
      <c r="AG57" t="n">
        <v>40</v>
      </c>
      <c r="AH57" t="n">
        <v>8</v>
      </c>
      <c r="AI57" t="n">
        <v>8</v>
      </c>
      <c r="AJ57" t="n">
        <v>3</v>
      </c>
      <c r="AK57" t="n">
        <v>3</v>
      </c>
      <c r="AL57" t="n">
        <v>10</v>
      </c>
      <c r="AM57" t="n">
        <v>11</v>
      </c>
      <c r="AN57" t="n">
        <v>4</v>
      </c>
      <c r="AO57" t="n">
        <v>6</v>
      </c>
      <c r="AP57" t="n">
        <v>17</v>
      </c>
      <c r="AQ57" t="n">
        <v>17</v>
      </c>
      <c r="AR57" t="inlineStr">
        <is>
          <t>No</t>
        </is>
      </c>
      <c r="AS57" t="inlineStr">
        <is>
          <t>No</t>
        </is>
      </c>
      <c r="AU57">
        <f>HYPERLINK("https://creighton-primo.hosted.exlibrisgroup.com/primo-explore/search?tab=default_tab&amp;search_scope=EVERYTHING&amp;vid=01CRU&amp;lang=en_US&amp;offset=0&amp;query=any,contains,991003025599702656","Catalog Record")</f>
        <v/>
      </c>
      <c r="AV57">
        <f>HYPERLINK("http://www.worldcat.org/oclc/41320197","WorldCat Record")</f>
        <v/>
      </c>
      <c r="AW57" t="inlineStr">
        <is>
          <t>836990620:eng</t>
        </is>
      </c>
      <c r="AX57" t="inlineStr">
        <is>
          <t>41320197</t>
        </is>
      </c>
      <c r="AY57" t="inlineStr">
        <is>
          <t>991003025599702656</t>
        </is>
      </c>
      <c r="AZ57" t="inlineStr">
        <is>
          <t>991003025599702656</t>
        </is>
      </c>
      <c r="BA57" t="inlineStr">
        <is>
          <t>2268015600002656</t>
        </is>
      </c>
      <c r="BB57" t="inlineStr">
        <is>
          <t>BOOK</t>
        </is>
      </c>
      <c r="BD57" t="inlineStr">
        <is>
          <t>9780716731436</t>
        </is>
      </c>
      <c r="BE57" t="inlineStr">
        <is>
          <t>32285003643094</t>
        </is>
      </c>
      <c r="BF57" t="inlineStr">
        <is>
          <t>893698596</t>
        </is>
      </c>
    </row>
    <row r="58">
      <c r="B58" t="inlineStr">
        <is>
          <t>CURAL</t>
        </is>
      </c>
      <c r="C58" t="inlineStr">
        <is>
          <t>SHELVES</t>
        </is>
      </c>
      <c r="D58" t="inlineStr">
        <is>
          <t>K50 .W54 1986</t>
        </is>
      </c>
      <c r="E58" t="inlineStr">
        <is>
          <t>0                      K  0050000W  54          1986</t>
        </is>
      </c>
      <c r="F58" t="inlineStr">
        <is>
          <t>Legal terminology : an historical guide to the technical language of law / Daniel Williman.</t>
        </is>
      </c>
      <c r="H58" t="inlineStr">
        <is>
          <t>No</t>
        </is>
      </c>
      <c r="I58" t="inlineStr">
        <is>
          <t>1</t>
        </is>
      </c>
      <c r="J58" t="inlineStr">
        <is>
          <t>No</t>
        </is>
      </c>
      <c r="K58" t="inlineStr">
        <is>
          <t>No</t>
        </is>
      </c>
      <c r="L58" t="inlineStr">
        <is>
          <t>0</t>
        </is>
      </c>
      <c r="M58" t="inlineStr">
        <is>
          <t>Williman, Daniel.</t>
        </is>
      </c>
      <c r="N58" t="inlineStr">
        <is>
          <t>Peterborough [Ontario] ; Lewiston, N.Y. : Broadview Press, c1986.</t>
        </is>
      </c>
      <c r="O58" t="inlineStr">
        <is>
          <t>1986</t>
        </is>
      </c>
      <c r="Q58" t="inlineStr">
        <is>
          <t>eng</t>
        </is>
      </c>
      <c r="R58" t="inlineStr">
        <is>
          <t>onc</t>
        </is>
      </c>
      <c r="T58" t="inlineStr">
        <is>
          <t xml:space="preserve">K  </t>
        </is>
      </c>
      <c r="U58" t="n">
        <v>11</v>
      </c>
      <c r="V58" t="n">
        <v>11</v>
      </c>
      <c r="W58" t="inlineStr">
        <is>
          <t>2010-05-03</t>
        </is>
      </c>
      <c r="X58" t="inlineStr">
        <is>
          <t>2010-05-03</t>
        </is>
      </c>
      <c r="Y58" t="inlineStr">
        <is>
          <t>1992-06-11</t>
        </is>
      </c>
      <c r="Z58" t="inlineStr">
        <is>
          <t>1992-06-11</t>
        </is>
      </c>
      <c r="AA58" t="n">
        <v>210</v>
      </c>
      <c r="AB58" t="n">
        <v>161</v>
      </c>
      <c r="AC58" t="n">
        <v>161</v>
      </c>
      <c r="AD58" t="n">
        <v>2</v>
      </c>
      <c r="AE58" t="n">
        <v>2</v>
      </c>
      <c r="AF58" t="n">
        <v>8</v>
      </c>
      <c r="AG58" t="n">
        <v>8</v>
      </c>
      <c r="AH58" t="n">
        <v>0</v>
      </c>
      <c r="AI58" t="n">
        <v>0</v>
      </c>
      <c r="AJ58" t="n">
        <v>0</v>
      </c>
      <c r="AK58" t="n">
        <v>0</v>
      </c>
      <c r="AL58" t="n">
        <v>0</v>
      </c>
      <c r="AM58" t="n">
        <v>0</v>
      </c>
      <c r="AN58" t="n">
        <v>1</v>
      </c>
      <c r="AO58" t="n">
        <v>1</v>
      </c>
      <c r="AP58" t="n">
        <v>7</v>
      </c>
      <c r="AQ58" t="n">
        <v>7</v>
      </c>
      <c r="AR58" t="inlineStr">
        <is>
          <t>No</t>
        </is>
      </c>
      <c r="AS58" t="inlineStr">
        <is>
          <t>No</t>
        </is>
      </c>
      <c r="AU58">
        <f>HYPERLINK("https://creighton-primo.hosted.exlibrisgroup.com/primo-explore/search?tab=default_tab&amp;search_scope=EVERYTHING&amp;vid=01CRU&amp;lang=en_US&amp;offset=0&amp;query=any,contains,991001006169702656","Catalog Record")</f>
        <v/>
      </c>
      <c r="AV58">
        <f>HYPERLINK("http://www.worldcat.org/oclc/15246880","WorldCat Record")</f>
        <v/>
      </c>
      <c r="AW58" t="inlineStr">
        <is>
          <t>889402215:eng</t>
        </is>
      </c>
      <c r="AX58" t="inlineStr">
        <is>
          <t>15246880</t>
        </is>
      </c>
      <c r="AY58" t="inlineStr">
        <is>
          <t>991001006169702656</t>
        </is>
      </c>
      <c r="AZ58" t="inlineStr">
        <is>
          <t>991001006169702656</t>
        </is>
      </c>
      <c r="BA58" t="inlineStr">
        <is>
          <t>2266545080002656</t>
        </is>
      </c>
      <c r="BB58" t="inlineStr">
        <is>
          <t>BOOK</t>
        </is>
      </c>
      <c r="BD58" t="inlineStr">
        <is>
          <t>9780921149026</t>
        </is>
      </c>
      <c r="BE58" t="inlineStr">
        <is>
          <t>32285001170066</t>
        </is>
      </c>
      <c r="BF58" t="inlineStr">
        <is>
          <t>893231613</t>
        </is>
      </c>
    </row>
    <row r="59">
      <c r="B59" t="inlineStr">
        <is>
          <t>CURAL</t>
        </is>
      </c>
      <c r="C59" t="inlineStr">
        <is>
          <t>SHELVES</t>
        </is>
      </c>
      <c r="D59" t="inlineStr">
        <is>
          <t>K5018 .G7</t>
        </is>
      </c>
      <c r="E59" t="inlineStr">
        <is>
          <t>0                      K  5018000G  7</t>
        </is>
      </c>
      <c r="F59" t="inlineStr">
        <is>
          <t>A theory of criminal justice / Hyman Gross.</t>
        </is>
      </c>
      <c r="H59" t="inlineStr">
        <is>
          <t>No</t>
        </is>
      </c>
      <c r="I59" t="inlineStr">
        <is>
          <t>1</t>
        </is>
      </c>
      <c r="J59" t="inlineStr">
        <is>
          <t>Yes</t>
        </is>
      </c>
      <c r="K59" t="inlineStr">
        <is>
          <t>No</t>
        </is>
      </c>
      <c r="L59" t="inlineStr">
        <is>
          <t>0</t>
        </is>
      </c>
      <c r="M59" t="inlineStr">
        <is>
          <t>Gross, Hyman.</t>
        </is>
      </c>
      <c r="N59" t="inlineStr">
        <is>
          <t>New York : Oxford University Press, 1979.</t>
        </is>
      </c>
      <c r="O59" t="inlineStr">
        <is>
          <t>1979</t>
        </is>
      </c>
      <c r="Q59" t="inlineStr">
        <is>
          <t>eng</t>
        </is>
      </c>
      <c r="R59" t="inlineStr">
        <is>
          <t>nyu</t>
        </is>
      </c>
      <c r="T59" t="inlineStr">
        <is>
          <t xml:space="preserve">K  </t>
        </is>
      </c>
      <c r="U59" t="n">
        <v>9</v>
      </c>
      <c r="V59" t="n">
        <v>9</v>
      </c>
      <c r="W59" t="inlineStr">
        <is>
          <t>2010-09-27</t>
        </is>
      </c>
      <c r="X59" t="inlineStr">
        <is>
          <t>2010-09-27</t>
        </is>
      </c>
      <c r="Y59" t="inlineStr">
        <is>
          <t>1992-06-12</t>
        </is>
      </c>
      <c r="Z59" t="inlineStr">
        <is>
          <t>1992-06-12</t>
        </is>
      </c>
      <c r="AA59" t="n">
        <v>873</v>
      </c>
      <c r="AB59" t="n">
        <v>708</v>
      </c>
      <c r="AC59" t="n">
        <v>716</v>
      </c>
      <c r="AD59" t="n">
        <v>7</v>
      </c>
      <c r="AE59" t="n">
        <v>7</v>
      </c>
      <c r="AF59" t="n">
        <v>51</v>
      </c>
      <c r="AG59" t="n">
        <v>53</v>
      </c>
      <c r="AH59" t="n">
        <v>13</v>
      </c>
      <c r="AI59" t="n">
        <v>13</v>
      </c>
      <c r="AJ59" t="n">
        <v>5</v>
      </c>
      <c r="AK59" t="n">
        <v>6</v>
      </c>
      <c r="AL59" t="n">
        <v>16</v>
      </c>
      <c r="AM59" t="n">
        <v>17</v>
      </c>
      <c r="AN59" t="n">
        <v>4</v>
      </c>
      <c r="AO59" t="n">
        <v>4</v>
      </c>
      <c r="AP59" t="n">
        <v>22</v>
      </c>
      <c r="AQ59" t="n">
        <v>23</v>
      </c>
      <c r="AR59" t="inlineStr">
        <is>
          <t>No</t>
        </is>
      </c>
      <c r="AS59" t="inlineStr">
        <is>
          <t>Yes</t>
        </is>
      </c>
      <c r="AT59">
        <f>HYPERLINK("http://catalog.hathitrust.org/Record/000752962","HathiTrust Record")</f>
        <v/>
      </c>
      <c r="AU59">
        <f>HYPERLINK("https://creighton-primo.hosted.exlibrisgroup.com/primo-explore/search?tab=default_tab&amp;search_scope=EVERYTHING&amp;vid=01CRU&amp;lang=en_US&amp;offset=0&amp;query=any,contains,991001783589702656","Catalog Record")</f>
        <v/>
      </c>
      <c r="AV59">
        <f>HYPERLINK("http://www.worldcat.org/oclc/3447574","WorldCat Record")</f>
        <v/>
      </c>
      <c r="AW59" t="inlineStr">
        <is>
          <t>414966:eng</t>
        </is>
      </c>
      <c r="AX59" t="inlineStr">
        <is>
          <t>3447574</t>
        </is>
      </c>
      <c r="AY59" t="inlineStr">
        <is>
          <t>991001783589702656</t>
        </is>
      </c>
      <c r="AZ59" t="inlineStr">
        <is>
          <t>991001783589702656</t>
        </is>
      </c>
      <c r="BA59" t="inlineStr">
        <is>
          <t>2268734260002656</t>
        </is>
      </c>
      <c r="BB59" t="inlineStr">
        <is>
          <t>BOOK</t>
        </is>
      </c>
      <c r="BD59" t="inlineStr">
        <is>
          <t>9780195023497</t>
        </is>
      </c>
      <c r="BE59" t="inlineStr">
        <is>
          <t>32285001171676</t>
        </is>
      </c>
      <c r="BF59" t="inlineStr">
        <is>
          <t>893316060</t>
        </is>
      </c>
    </row>
    <row r="60">
      <c r="B60" t="inlineStr">
        <is>
          <t>CURAL</t>
        </is>
      </c>
      <c r="C60" t="inlineStr">
        <is>
          <t>SHELVES</t>
        </is>
      </c>
      <c r="D60" t="inlineStr">
        <is>
          <t>K5029 .P46</t>
        </is>
      </c>
      <c r="E60" t="inlineStr">
        <is>
          <t>0                      K  5029000P  46</t>
        </is>
      </c>
      <c r="F60" t="inlineStr">
        <is>
          <t>Crime and conflict : a study of law and society / Harold E. Pepinsky.</t>
        </is>
      </c>
      <c r="H60" t="inlineStr">
        <is>
          <t>No</t>
        </is>
      </c>
      <c r="I60" t="inlineStr">
        <is>
          <t>1</t>
        </is>
      </c>
      <c r="J60" t="inlineStr">
        <is>
          <t>No</t>
        </is>
      </c>
      <c r="K60" t="inlineStr">
        <is>
          <t>No</t>
        </is>
      </c>
      <c r="L60" t="inlineStr">
        <is>
          <t>0</t>
        </is>
      </c>
      <c r="M60" t="inlineStr">
        <is>
          <t>Pepinsky, Harold E.</t>
        </is>
      </c>
      <c r="N60" t="inlineStr">
        <is>
          <t>New York : Academic Press, 1976.</t>
        </is>
      </c>
      <c r="O60" t="inlineStr">
        <is>
          <t>1976</t>
        </is>
      </c>
      <c r="Q60" t="inlineStr">
        <is>
          <t>eng</t>
        </is>
      </c>
      <c r="R60" t="inlineStr">
        <is>
          <t>nyu</t>
        </is>
      </c>
      <c r="S60" t="inlineStr">
        <is>
          <t>Law in society series</t>
        </is>
      </c>
      <c r="T60" t="inlineStr">
        <is>
          <t xml:space="preserve">K  </t>
        </is>
      </c>
      <c r="U60" t="n">
        <v>2</v>
      </c>
      <c r="V60" t="n">
        <v>2</v>
      </c>
      <c r="W60" t="inlineStr">
        <is>
          <t>2010-11-07</t>
        </is>
      </c>
      <c r="X60" t="inlineStr">
        <is>
          <t>2010-11-07</t>
        </is>
      </c>
      <c r="Y60" t="inlineStr">
        <is>
          <t>1997-04-08</t>
        </is>
      </c>
      <c r="Z60" t="inlineStr">
        <is>
          <t>1997-04-08</t>
        </is>
      </c>
      <c r="AA60" t="n">
        <v>506</v>
      </c>
      <c r="AB60" t="n">
        <v>434</v>
      </c>
      <c r="AC60" t="n">
        <v>464</v>
      </c>
      <c r="AD60" t="n">
        <v>3</v>
      </c>
      <c r="AE60" t="n">
        <v>3</v>
      </c>
      <c r="AF60" t="n">
        <v>30</v>
      </c>
      <c r="AG60" t="n">
        <v>30</v>
      </c>
      <c r="AH60" t="n">
        <v>6</v>
      </c>
      <c r="AI60" t="n">
        <v>6</v>
      </c>
      <c r="AJ60" t="n">
        <v>5</v>
      </c>
      <c r="AK60" t="n">
        <v>5</v>
      </c>
      <c r="AL60" t="n">
        <v>13</v>
      </c>
      <c r="AM60" t="n">
        <v>13</v>
      </c>
      <c r="AN60" t="n">
        <v>2</v>
      </c>
      <c r="AO60" t="n">
        <v>2</v>
      </c>
      <c r="AP60" t="n">
        <v>10</v>
      </c>
      <c r="AQ60" t="n">
        <v>10</v>
      </c>
      <c r="AR60" t="inlineStr">
        <is>
          <t>No</t>
        </is>
      </c>
      <c r="AS60" t="inlineStr">
        <is>
          <t>No</t>
        </is>
      </c>
      <c r="AU60">
        <f>HYPERLINK("https://creighton-primo.hosted.exlibrisgroup.com/primo-explore/search?tab=default_tab&amp;search_scope=EVERYTHING&amp;vid=01CRU&amp;lang=en_US&amp;offset=0&amp;query=any,contains,991004159499702656","Catalog Record")</f>
        <v/>
      </c>
      <c r="AV60">
        <f>HYPERLINK("http://www.worldcat.org/oclc/2546008","WorldCat Record")</f>
        <v/>
      </c>
      <c r="AW60" t="inlineStr">
        <is>
          <t>890803982:eng</t>
        </is>
      </c>
      <c r="AX60" t="inlineStr">
        <is>
          <t>2546008</t>
        </is>
      </c>
      <c r="AY60" t="inlineStr">
        <is>
          <t>991004159499702656</t>
        </is>
      </c>
      <c r="AZ60" t="inlineStr">
        <is>
          <t>991004159499702656</t>
        </is>
      </c>
      <c r="BA60" t="inlineStr">
        <is>
          <t>2270219810002656</t>
        </is>
      </c>
      <c r="BB60" t="inlineStr">
        <is>
          <t>BOOK</t>
        </is>
      </c>
      <c r="BD60" t="inlineStr">
        <is>
          <t>9780125500500</t>
        </is>
      </c>
      <c r="BE60" t="inlineStr">
        <is>
          <t>32285002522612</t>
        </is>
      </c>
      <c r="BF60" t="inlineStr">
        <is>
          <t>893423453</t>
        </is>
      </c>
    </row>
    <row r="61">
      <c r="B61" t="inlineStr">
        <is>
          <t>CURAL</t>
        </is>
      </c>
      <c r="C61" t="inlineStr">
        <is>
          <t>SHELVES</t>
        </is>
      </c>
      <c r="D61" t="inlineStr">
        <is>
          <t>K5064 .K46</t>
        </is>
      </c>
      <c r="E61" t="inlineStr">
        <is>
          <t>0                      K  5064000K  46</t>
        </is>
      </c>
      <c r="F61" t="inlineStr">
        <is>
          <t>Freewill and responsibility / Anthony Kenny.</t>
        </is>
      </c>
      <c r="H61" t="inlineStr">
        <is>
          <t>No</t>
        </is>
      </c>
      <c r="I61" t="inlineStr">
        <is>
          <t>1</t>
        </is>
      </c>
      <c r="J61" t="inlineStr">
        <is>
          <t>No</t>
        </is>
      </c>
      <c r="K61" t="inlineStr">
        <is>
          <t>No</t>
        </is>
      </c>
      <c r="L61" t="inlineStr">
        <is>
          <t>0</t>
        </is>
      </c>
      <c r="M61" t="inlineStr">
        <is>
          <t>Kenny, Anthony, 1931-</t>
        </is>
      </c>
      <c r="N61" t="inlineStr">
        <is>
          <t>London ; Boston : Routledge and K. Paul, 1978.</t>
        </is>
      </c>
      <c r="O61" t="inlineStr">
        <is>
          <t>1978</t>
        </is>
      </c>
      <c r="Q61" t="inlineStr">
        <is>
          <t>eng</t>
        </is>
      </c>
      <c r="R61" t="inlineStr">
        <is>
          <t>enk</t>
        </is>
      </c>
      <c r="T61" t="inlineStr">
        <is>
          <t xml:space="preserve">K  </t>
        </is>
      </c>
      <c r="U61" t="n">
        <v>8</v>
      </c>
      <c r="V61" t="n">
        <v>8</v>
      </c>
      <c r="W61" t="inlineStr">
        <is>
          <t>2008-09-07</t>
        </is>
      </c>
      <c r="X61" t="inlineStr">
        <is>
          <t>2008-09-07</t>
        </is>
      </c>
      <c r="Y61" t="inlineStr">
        <is>
          <t>1991-12-09</t>
        </is>
      </c>
      <c r="Z61" t="inlineStr">
        <is>
          <t>1991-12-09</t>
        </is>
      </c>
      <c r="AA61" t="n">
        <v>649</v>
      </c>
      <c r="AB61" t="n">
        <v>451</v>
      </c>
      <c r="AC61" t="n">
        <v>493</v>
      </c>
      <c r="AD61" t="n">
        <v>5</v>
      </c>
      <c r="AE61" t="n">
        <v>5</v>
      </c>
      <c r="AF61" t="n">
        <v>34</v>
      </c>
      <c r="AG61" t="n">
        <v>35</v>
      </c>
      <c r="AH61" t="n">
        <v>11</v>
      </c>
      <c r="AI61" t="n">
        <v>11</v>
      </c>
      <c r="AJ61" t="n">
        <v>4</v>
      </c>
      <c r="AK61" t="n">
        <v>4</v>
      </c>
      <c r="AL61" t="n">
        <v>13</v>
      </c>
      <c r="AM61" t="n">
        <v>13</v>
      </c>
      <c r="AN61" t="n">
        <v>4</v>
      </c>
      <c r="AO61" t="n">
        <v>4</v>
      </c>
      <c r="AP61" t="n">
        <v>9</v>
      </c>
      <c r="AQ61" t="n">
        <v>10</v>
      </c>
      <c r="AR61" t="inlineStr">
        <is>
          <t>No</t>
        </is>
      </c>
      <c r="AS61" t="inlineStr">
        <is>
          <t>Yes</t>
        </is>
      </c>
      <c r="AT61">
        <f>HYPERLINK("http://catalog.hathitrust.org/Record/000260338","HathiTrust Record")</f>
        <v/>
      </c>
      <c r="AU61">
        <f>HYPERLINK("https://creighton-primo.hosted.exlibrisgroup.com/primo-explore/search?tab=default_tab&amp;search_scope=EVERYTHING&amp;vid=01CRU&amp;lang=en_US&amp;offset=0&amp;query=any,contains,991004698159702656","Catalog Record")</f>
        <v/>
      </c>
      <c r="AV61">
        <f>HYPERLINK("http://www.worldcat.org/oclc/4654446","WorldCat Record")</f>
        <v/>
      </c>
      <c r="AW61" t="inlineStr">
        <is>
          <t>14803545:eng</t>
        </is>
      </c>
      <c r="AX61" t="inlineStr">
        <is>
          <t>4654446</t>
        </is>
      </c>
      <c r="AY61" t="inlineStr">
        <is>
          <t>991004698159702656</t>
        </is>
      </c>
      <c r="AZ61" t="inlineStr">
        <is>
          <t>991004698159702656</t>
        </is>
      </c>
      <c r="BA61" t="inlineStr">
        <is>
          <t>2255746760002656</t>
        </is>
      </c>
      <c r="BB61" t="inlineStr">
        <is>
          <t>BOOK</t>
        </is>
      </c>
      <c r="BD61" t="inlineStr">
        <is>
          <t>9780710089984</t>
        </is>
      </c>
      <c r="BE61" t="inlineStr">
        <is>
          <t>32285000885375</t>
        </is>
      </c>
      <c r="BF61" t="inlineStr">
        <is>
          <t>893532704</t>
        </is>
      </c>
    </row>
    <row r="62">
      <c r="B62" t="inlineStr">
        <is>
          <t>CURAL</t>
        </is>
      </c>
      <c r="C62" t="inlineStr">
        <is>
          <t>SHELVES</t>
        </is>
      </c>
      <c r="D62" t="inlineStr">
        <is>
          <t>K5077 .R63 1996</t>
        </is>
      </c>
      <c r="E62" t="inlineStr">
        <is>
          <t>0                      K  5077000R  63          1996</t>
        </is>
      </c>
      <c r="F62" t="inlineStr">
        <is>
          <t>Wild beasts &amp; idle humours : the insanity defense from antiquity to the present / Daniel N. Robinson.</t>
        </is>
      </c>
      <c r="H62" t="inlineStr">
        <is>
          <t>No</t>
        </is>
      </c>
      <c r="I62" t="inlineStr">
        <is>
          <t>1</t>
        </is>
      </c>
      <c r="J62" t="inlineStr">
        <is>
          <t>Yes</t>
        </is>
      </c>
      <c r="K62" t="inlineStr">
        <is>
          <t>No</t>
        </is>
      </c>
      <c r="L62" t="inlineStr">
        <is>
          <t>0</t>
        </is>
      </c>
      <c r="M62" t="inlineStr">
        <is>
          <t>Robinson, Daniel N., 1937-</t>
        </is>
      </c>
      <c r="N62" t="inlineStr">
        <is>
          <t>Cambridge, Mass. : Harvard University Press, 1996.</t>
        </is>
      </c>
      <c r="O62" t="inlineStr">
        <is>
          <t>1996</t>
        </is>
      </c>
      <c r="Q62" t="inlineStr">
        <is>
          <t>eng</t>
        </is>
      </c>
      <c r="R62" t="inlineStr">
        <is>
          <t>mau</t>
        </is>
      </c>
      <c r="T62" t="inlineStr">
        <is>
          <t xml:space="preserve">K  </t>
        </is>
      </c>
      <c r="U62" t="n">
        <v>2</v>
      </c>
      <c r="V62" t="n">
        <v>2</v>
      </c>
      <c r="W62" t="inlineStr">
        <is>
          <t>2007-03-01</t>
        </is>
      </c>
      <c r="X62" t="inlineStr">
        <is>
          <t>2007-03-01</t>
        </is>
      </c>
      <c r="Y62" t="inlineStr">
        <is>
          <t>1996-12-04</t>
        </is>
      </c>
      <c r="Z62" t="inlineStr">
        <is>
          <t>2004-06-29</t>
        </is>
      </c>
      <c r="AA62" t="n">
        <v>875</v>
      </c>
      <c r="AB62" t="n">
        <v>770</v>
      </c>
      <c r="AC62" t="n">
        <v>824</v>
      </c>
      <c r="AD62" t="n">
        <v>7</v>
      </c>
      <c r="AE62" t="n">
        <v>7</v>
      </c>
      <c r="AF62" t="n">
        <v>47</v>
      </c>
      <c r="AG62" t="n">
        <v>48</v>
      </c>
      <c r="AH62" t="n">
        <v>12</v>
      </c>
      <c r="AI62" t="n">
        <v>13</v>
      </c>
      <c r="AJ62" t="n">
        <v>6</v>
      </c>
      <c r="AK62" t="n">
        <v>6</v>
      </c>
      <c r="AL62" t="n">
        <v>15</v>
      </c>
      <c r="AM62" t="n">
        <v>15</v>
      </c>
      <c r="AN62" t="n">
        <v>5</v>
      </c>
      <c r="AO62" t="n">
        <v>5</v>
      </c>
      <c r="AP62" t="n">
        <v>17</v>
      </c>
      <c r="AQ62" t="n">
        <v>17</v>
      </c>
      <c r="AR62" t="inlineStr">
        <is>
          <t>No</t>
        </is>
      </c>
      <c r="AS62" t="inlineStr">
        <is>
          <t>Yes</t>
        </is>
      </c>
      <c r="AT62">
        <f>HYPERLINK("http://catalog.hathitrust.org/Record/003093003","HathiTrust Record")</f>
        <v/>
      </c>
      <c r="AU62">
        <f>HYPERLINK("https://creighton-primo.hosted.exlibrisgroup.com/primo-explore/search?tab=default_tab&amp;search_scope=EVERYTHING&amp;vid=01CRU&amp;lang=en_US&amp;offset=0&amp;query=any,contains,991001671059702656","Catalog Record")</f>
        <v/>
      </c>
      <c r="AV62">
        <f>HYPERLINK("http://www.worldcat.org/oclc/34411563","WorldCat Record")</f>
        <v/>
      </c>
      <c r="AW62" t="inlineStr">
        <is>
          <t>2685490:eng</t>
        </is>
      </c>
      <c r="AX62" t="inlineStr">
        <is>
          <t>34411563</t>
        </is>
      </c>
      <c r="AY62" t="inlineStr">
        <is>
          <t>991001671059702656</t>
        </is>
      </c>
      <c r="AZ62" t="inlineStr">
        <is>
          <t>991001671059702656</t>
        </is>
      </c>
      <c r="BA62" t="inlineStr">
        <is>
          <t>2263277140002656</t>
        </is>
      </c>
      <c r="BB62" t="inlineStr">
        <is>
          <t>BOOK</t>
        </is>
      </c>
      <c r="BD62" t="inlineStr">
        <is>
          <t>9780674952898</t>
        </is>
      </c>
      <c r="BE62" t="inlineStr">
        <is>
          <t>32285002388188</t>
        </is>
      </c>
      <c r="BF62" t="inlineStr">
        <is>
          <t>893256398</t>
        </is>
      </c>
    </row>
    <row r="63">
      <c r="B63" t="inlineStr">
        <is>
          <t>CURAL</t>
        </is>
      </c>
      <c r="C63" t="inlineStr">
        <is>
          <t>SHELVES</t>
        </is>
      </c>
      <c r="D63" t="inlineStr">
        <is>
          <t>K5103 .G47 1972</t>
        </is>
      </c>
      <c r="E63" t="inlineStr">
        <is>
          <t>0                      K  5103000G  47          1972</t>
        </is>
      </c>
      <c r="F63" t="inlineStr">
        <is>
          <t>Contemporary punishment : views, explanations, and justifications / Rudolph J. Gerber and Patrick D. McAnany, editors ; with a foreword by Norval Morris.</t>
        </is>
      </c>
      <c r="H63" t="inlineStr">
        <is>
          <t>No</t>
        </is>
      </c>
      <c r="I63" t="inlineStr">
        <is>
          <t>1</t>
        </is>
      </c>
      <c r="J63" t="inlineStr">
        <is>
          <t>Yes</t>
        </is>
      </c>
      <c r="K63" t="inlineStr">
        <is>
          <t>No</t>
        </is>
      </c>
      <c r="L63" t="inlineStr">
        <is>
          <t>0</t>
        </is>
      </c>
      <c r="N63" t="inlineStr">
        <is>
          <t>Notre Dame [Ind.] : University of Notre Dame Press, [1972]</t>
        </is>
      </c>
      <c r="O63" t="inlineStr">
        <is>
          <t>1972</t>
        </is>
      </c>
      <c r="Q63" t="inlineStr">
        <is>
          <t>eng</t>
        </is>
      </c>
      <c r="R63" t="inlineStr">
        <is>
          <t>inu</t>
        </is>
      </c>
      <c r="T63" t="inlineStr">
        <is>
          <t xml:space="preserve">K  </t>
        </is>
      </c>
      <c r="U63" t="n">
        <v>8</v>
      </c>
      <c r="V63" t="n">
        <v>10</v>
      </c>
      <c r="W63" t="inlineStr">
        <is>
          <t>2005-07-25</t>
        </is>
      </c>
      <c r="X63" t="inlineStr">
        <is>
          <t>2005-07-25</t>
        </is>
      </c>
      <c r="Y63" t="inlineStr">
        <is>
          <t>1997-09-16</t>
        </is>
      </c>
      <c r="Z63" t="inlineStr">
        <is>
          <t>1997-09-16</t>
        </is>
      </c>
      <c r="AA63" t="n">
        <v>764</v>
      </c>
      <c r="AB63" t="n">
        <v>653</v>
      </c>
      <c r="AC63" t="n">
        <v>656</v>
      </c>
      <c r="AD63" t="n">
        <v>11</v>
      </c>
      <c r="AE63" t="n">
        <v>11</v>
      </c>
      <c r="AF63" t="n">
        <v>48</v>
      </c>
      <c r="AG63" t="n">
        <v>48</v>
      </c>
      <c r="AH63" t="n">
        <v>11</v>
      </c>
      <c r="AI63" t="n">
        <v>11</v>
      </c>
      <c r="AJ63" t="n">
        <v>9</v>
      </c>
      <c r="AK63" t="n">
        <v>9</v>
      </c>
      <c r="AL63" t="n">
        <v>14</v>
      </c>
      <c r="AM63" t="n">
        <v>14</v>
      </c>
      <c r="AN63" t="n">
        <v>7</v>
      </c>
      <c r="AO63" t="n">
        <v>7</v>
      </c>
      <c r="AP63" t="n">
        <v>15</v>
      </c>
      <c r="AQ63" t="n">
        <v>15</v>
      </c>
      <c r="AR63" t="inlineStr">
        <is>
          <t>No</t>
        </is>
      </c>
      <c r="AS63" t="inlineStr">
        <is>
          <t>No</t>
        </is>
      </c>
      <c r="AU63">
        <f>HYPERLINK("https://creighton-primo.hosted.exlibrisgroup.com/primo-explore/search?tab=default_tab&amp;search_scope=EVERYTHING&amp;vid=01CRU&amp;lang=en_US&amp;offset=0&amp;query=any,contains,991001626849702656","Catalog Record")</f>
        <v/>
      </c>
      <c r="AV63">
        <f>HYPERLINK("http://www.worldcat.org/oclc/314879","WorldCat Record")</f>
        <v/>
      </c>
      <c r="AW63" t="inlineStr">
        <is>
          <t>1382636:eng</t>
        </is>
      </c>
      <c r="AX63" t="inlineStr">
        <is>
          <t>314879</t>
        </is>
      </c>
      <c r="AY63" t="inlineStr">
        <is>
          <t>991001626849702656</t>
        </is>
      </c>
      <c r="AZ63" t="inlineStr">
        <is>
          <t>991001626849702656</t>
        </is>
      </c>
      <c r="BA63" t="inlineStr">
        <is>
          <t>2271891190002656</t>
        </is>
      </c>
      <c r="BB63" t="inlineStr">
        <is>
          <t>BOOK</t>
        </is>
      </c>
      <c r="BE63" t="inlineStr">
        <is>
          <t>32285003171682</t>
        </is>
      </c>
      <c r="BF63" t="inlineStr">
        <is>
          <t>893503535</t>
        </is>
      </c>
    </row>
    <row r="64">
      <c r="B64" t="inlineStr">
        <is>
          <t>CURAL</t>
        </is>
      </c>
      <c r="C64" t="inlineStr">
        <is>
          <t>SHELVES</t>
        </is>
      </c>
      <c r="D64" t="inlineStr">
        <is>
          <t>K5103 .P865 1995</t>
        </is>
      </c>
      <c r="E64" t="inlineStr">
        <is>
          <t>0                      K  5103000P  865         1995</t>
        </is>
      </c>
      <c r="F64" t="inlineStr">
        <is>
          <t>Punishment / edited by A. John Simmons ... [et al.] ; contributors, Jeffrie G. Murphy ... [et al.]</t>
        </is>
      </c>
      <c r="H64" t="inlineStr">
        <is>
          <t>No</t>
        </is>
      </c>
      <c r="I64" t="inlineStr">
        <is>
          <t>1</t>
        </is>
      </c>
      <c r="J64" t="inlineStr">
        <is>
          <t>No</t>
        </is>
      </c>
      <c r="K64" t="inlineStr">
        <is>
          <t>No</t>
        </is>
      </c>
      <c r="L64" t="inlineStr">
        <is>
          <t>0</t>
        </is>
      </c>
      <c r="N64" t="inlineStr">
        <is>
          <t>Princeton, N.J. : Princeton University Press, c1995.</t>
        </is>
      </c>
      <c r="O64" t="inlineStr">
        <is>
          <t>1995</t>
        </is>
      </c>
      <c r="Q64" t="inlineStr">
        <is>
          <t>eng</t>
        </is>
      </c>
      <c r="R64" t="inlineStr">
        <is>
          <t>nju</t>
        </is>
      </c>
      <c r="S64" t="inlineStr">
        <is>
          <t>Philosophy &amp; public affairs reader</t>
        </is>
      </c>
      <c r="T64" t="inlineStr">
        <is>
          <t xml:space="preserve">K  </t>
        </is>
      </c>
      <c r="U64" t="n">
        <v>9</v>
      </c>
      <c r="V64" t="n">
        <v>9</v>
      </c>
      <c r="W64" t="inlineStr">
        <is>
          <t>2005-07-25</t>
        </is>
      </c>
      <c r="X64" t="inlineStr">
        <is>
          <t>2005-07-25</t>
        </is>
      </c>
      <c r="Y64" t="inlineStr">
        <is>
          <t>1995-01-23</t>
        </is>
      </c>
      <c r="Z64" t="inlineStr">
        <is>
          <t>1995-01-23</t>
        </is>
      </c>
      <c r="AA64" t="n">
        <v>367</v>
      </c>
      <c r="AB64" t="n">
        <v>296</v>
      </c>
      <c r="AC64" t="n">
        <v>304</v>
      </c>
      <c r="AD64" t="n">
        <v>2</v>
      </c>
      <c r="AE64" t="n">
        <v>2</v>
      </c>
      <c r="AF64" t="n">
        <v>13</v>
      </c>
      <c r="AG64" t="n">
        <v>13</v>
      </c>
      <c r="AH64" t="n">
        <v>2</v>
      </c>
      <c r="AI64" t="n">
        <v>2</v>
      </c>
      <c r="AJ64" t="n">
        <v>1</v>
      </c>
      <c r="AK64" t="n">
        <v>1</v>
      </c>
      <c r="AL64" t="n">
        <v>3</v>
      </c>
      <c r="AM64" t="n">
        <v>3</v>
      </c>
      <c r="AN64" t="n">
        <v>1</v>
      </c>
      <c r="AO64" t="n">
        <v>1</v>
      </c>
      <c r="AP64" t="n">
        <v>6</v>
      </c>
      <c r="AQ64" t="n">
        <v>6</v>
      </c>
      <c r="AR64" t="inlineStr">
        <is>
          <t>No</t>
        </is>
      </c>
      <c r="AS64" t="inlineStr">
        <is>
          <t>No</t>
        </is>
      </c>
      <c r="AU64">
        <f>HYPERLINK("https://creighton-primo.hosted.exlibrisgroup.com/primo-explore/search?tab=default_tab&amp;search_scope=EVERYTHING&amp;vid=01CRU&amp;lang=en_US&amp;offset=0&amp;query=any,contains,991002348099702656","Catalog Record")</f>
        <v/>
      </c>
      <c r="AV64">
        <f>HYPERLINK("http://www.worldcat.org/oclc/30593302","WorldCat Record")</f>
        <v/>
      </c>
      <c r="AW64" t="inlineStr">
        <is>
          <t>905755074:eng</t>
        </is>
      </c>
      <c r="AX64" t="inlineStr">
        <is>
          <t>30593302</t>
        </is>
      </c>
      <c r="AY64" t="inlineStr">
        <is>
          <t>991002348099702656</t>
        </is>
      </c>
      <c r="AZ64" t="inlineStr">
        <is>
          <t>991002348099702656</t>
        </is>
      </c>
      <c r="BA64" t="inlineStr">
        <is>
          <t>2263336030002656</t>
        </is>
      </c>
      <c r="BB64" t="inlineStr">
        <is>
          <t>BOOK</t>
        </is>
      </c>
      <c r="BD64" t="inlineStr">
        <is>
          <t>9780691029559</t>
        </is>
      </c>
      <c r="BE64" t="inlineStr">
        <is>
          <t>32285001994853</t>
        </is>
      </c>
      <c r="BF64" t="inlineStr">
        <is>
          <t>893510624</t>
        </is>
      </c>
    </row>
    <row r="65">
      <c r="B65" t="inlineStr">
        <is>
          <t>CURAL</t>
        </is>
      </c>
      <c r="C65" t="inlineStr">
        <is>
          <t>SHELVES</t>
        </is>
      </c>
      <c r="D65" t="inlineStr">
        <is>
          <t>K5181 .A26 1989</t>
        </is>
      </c>
      <c r="E65" t="inlineStr">
        <is>
          <t>0                      K  5181000A  26          1989</t>
        </is>
      </c>
      <c r="F65" t="inlineStr">
        <is>
          <t>Abortion rights and fetal 'personhood'/ edited by Edd Doerr &amp; James W. Prescott.</t>
        </is>
      </c>
      <c r="H65" t="inlineStr">
        <is>
          <t>No</t>
        </is>
      </c>
      <c r="I65" t="inlineStr">
        <is>
          <t>1</t>
        </is>
      </c>
      <c r="J65" t="inlineStr">
        <is>
          <t>No</t>
        </is>
      </c>
      <c r="K65" t="inlineStr">
        <is>
          <t>No</t>
        </is>
      </c>
      <c r="L65" t="inlineStr">
        <is>
          <t>0</t>
        </is>
      </c>
      <c r="N65" t="inlineStr">
        <is>
          <t>Long Beach, Calif. : Centerline Pr., c1989.</t>
        </is>
      </c>
      <c r="O65" t="inlineStr">
        <is>
          <t>1989</t>
        </is>
      </c>
      <c r="Q65" t="inlineStr">
        <is>
          <t>eng</t>
        </is>
      </c>
      <c r="R65" t="inlineStr">
        <is>
          <t>cau</t>
        </is>
      </c>
      <c r="T65" t="inlineStr">
        <is>
          <t xml:space="preserve">K  </t>
        </is>
      </c>
      <c r="U65" t="n">
        <v>8</v>
      </c>
      <c r="V65" t="n">
        <v>8</v>
      </c>
      <c r="W65" t="inlineStr">
        <is>
          <t>2003-04-01</t>
        </is>
      </c>
      <c r="X65" t="inlineStr">
        <is>
          <t>2003-04-01</t>
        </is>
      </c>
      <c r="Y65" t="inlineStr">
        <is>
          <t>1989-11-27</t>
        </is>
      </c>
      <c r="Z65" t="inlineStr">
        <is>
          <t>1989-11-27</t>
        </is>
      </c>
      <c r="AA65" t="n">
        <v>101</v>
      </c>
      <c r="AB65" t="n">
        <v>97</v>
      </c>
      <c r="AC65" t="n">
        <v>163</v>
      </c>
      <c r="AD65" t="n">
        <v>2</v>
      </c>
      <c r="AE65" t="n">
        <v>2</v>
      </c>
      <c r="AF65" t="n">
        <v>2</v>
      </c>
      <c r="AG65" t="n">
        <v>3</v>
      </c>
      <c r="AH65" t="n">
        <v>0</v>
      </c>
      <c r="AI65" t="n">
        <v>0</v>
      </c>
      <c r="AJ65" t="n">
        <v>0</v>
      </c>
      <c r="AK65" t="n">
        <v>0</v>
      </c>
      <c r="AL65" t="n">
        <v>0</v>
      </c>
      <c r="AM65" t="n">
        <v>1</v>
      </c>
      <c r="AN65" t="n">
        <v>1</v>
      </c>
      <c r="AO65" t="n">
        <v>1</v>
      </c>
      <c r="AP65" t="n">
        <v>1</v>
      </c>
      <c r="AQ65" t="n">
        <v>1</v>
      </c>
      <c r="AR65" t="inlineStr">
        <is>
          <t>No</t>
        </is>
      </c>
      <c r="AS65" t="inlineStr">
        <is>
          <t>No</t>
        </is>
      </c>
      <c r="AU65">
        <f>HYPERLINK("https://creighton-primo.hosted.exlibrisgroup.com/primo-explore/search?tab=default_tab&amp;search_scope=EVERYTHING&amp;vid=01CRU&amp;lang=en_US&amp;offset=0&amp;query=any,contains,991001501309702656","Catalog Record")</f>
        <v/>
      </c>
      <c r="AV65">
        <f>HYPERLINK("http://www.worldcat.org/oclc/19806376","WorldCat Record")</f>
        <v/>
      </c>
      <c r="AW65" t="inlineStr">
        <is>
          <t>431836563:eng</t>
        </is>
      </c>
      <c r="AX65" t="inlineStr">
        <is>
          <t>19806376</t>
        </is>
      </c>
      <c r="AY65" t="inlineStr">
        <is>
          <t>991001501309702656</t>
        </is>
      </c>
      <c r="AZ65" t="inlineStr">
        <is>
          <t>991001501309702656</t>
        </is>
      </c>
      <c r="BA65" t="inlineStr">
        <is>
          <t>2270270500002656</t>
        </is>
      </c>
      <c r="BB65" t="inlineStr">
        <is>
          <t>BOOK</t>
        </is>
      </c>
      <c r="BD65" t="inlineStr">
        <is>
          <t>9780913111260</t>
        </is>
      </c>
      <c r="BE65" t="inlineStr">
        <is>
          <t>32285000014901</t>
        </is>
      </c>
      <c r="BF65" t="inlineStr">
        <is>
          <t>893684364</t>
        </is>
      </c>
    </row>
    <row r="66">
      <c r="B66" t="inlineStr">
        <is>
          <t>CURAL</t>
        </is>
      </c>
      <c r="C66" t="inlineStr">
        <is>
          <t>SHELVES</t>
        </is>
      </c>
      <c r="D66" t="inlineStr">
        <is>
          <t>K52.S6 R63 1997</t>
        </is>
      </c>
      <c r="E66" t="inlineStr">
        <is>
          <t>0                      K  0052000S  6                  R  63          1997</t>
        </is>
      </c>
      <c r="F66" t="inlineStr">
        <is>
          <t>Diccionario de términos legales : español-inglés e inglés-español = Dictionary of legal terms : Spanish-English and English-Spanish / por Louis A. Robb ; con la colaboración de los siguientes abogados Tomás I. Nido ... [et al.].</t>
        </is>
      </c>
      <c r="H66" t="inlineStr">
        <is>
          <t>No</t>
        </is>
      </c>
      <c r="I66" t="inlineStr">
        <is>
          <t>1</t>
        </is>
      </c>
      <c r="J66" t="inlineStr">
        <is>
          <t>No</t>
        </is>
      </c>
      <c r="K66" t="inlineStr">
        <is>
          <t>Yes</t>
        </is>
      </c>
      <c r="L66" t="inlineStr">
        <is>
          <t>0</t>
        </is>
      </c>
      <c r="M66" t="inlineStr">
        <is>
          <t>Robb, Louis Adams, 1877-</t>
        </is>
      </c>
      <c r="N66" t="inlineStr">
        <is>
          <t>México, D.F. : Limusa, c1997.</t>
        </is>
      </c>
      <c r="O66" t="inlineStr">
        <is>
          <t>1997</t>
        </is>
      </c>
      <c r="Q66" t="inlineStr">
        <is>
          <t>spa</t>
        </is>
      </c>
      <c r="R66" t="inlineStr">
        <is>
          <t xml:space="preserve">mx </t>
        </is>
      </c>
      <c r="T66" t="inlineStr">
        <is>
          <t xml:space="preserve">K  </t>
        </is>
      </c>
      <c r="U66" t="n">
        <v>2</v>
      </c>
      <c r="V66" t="n">
        <v>2</v>
      </c>
      <c r="W66" t="inlineStr">
        <is>
          <t>2008-01-25</t>
        </is>
      </c>
      <c r="X66" t="inlineStr">
        <is>
          <t>2008-01-25</t>
        </is>
      </c>
      <c r="Y66" t="inlineStr">
        <is>
          <t>1998-05-21</t>
        </is>
      </c>
      <c r="Z66" t="inlineStr">
        <is>
          <t>1998-05-21</t>
        </is>
      </c>
      <c r="AA66" t="n">
        <v>21</v>
      </c>
      <c r="AB66" t="n">
        <v>17</v>
      </c>
      <c r="AC66" t="n">
        <v>516</v>
      </c>
      <c r="AD66" t="n">
        <v>1</v>
      </c>
      <c r="AE66" t="n">
        <v>5</v>
      </c>
      <c r="AF66" t="n">
        <v>1</v>
      </c>
      <c r="AG66" t="n">
        <v>26</v>
      </c>
      <c r="AH66" t="n">
        <v>0</v>
      </c>
      <c r="AI66" t="n">
        <v>6</v>
      </c>
      <c r="AJ66" t="n">
        <v>1</v>
      </c>
      <c r="AK66" t="n">
        <v>2</v>
      </c>
      <c r="AL66" t="n">
        <v>0</v>
      </c>
      <c r="AM66" t="n">
        <v>6</v>
      </c>
      <c r="AN66" t="n">
        <v>0</v>
      </c>
      <c r="AO66" t="n">
        <v>2</v>
      </c>
      <c r="AP66" t="n">
        <v>0</v>
      </c>
      <c r="AQ66" t="n">
        <v>14</v>
      </c>
      <c r="AR66" t="inlineStr">
        <is>
          <t>No</t>
        </is>
      </c>
      <c r="AS66" t="inlineStr">
        <is>
          <t>No</t>
        </is>
      </c>
      <c r="AU66">
        <f>HYPERLINK("https://creighton-primo.hosted.exlibrisgroup.com/primo-explore/search?tab=default_tab&amp;search_scope=EVERYTHING&amp;vid=01CRU&amp;lang=en_US&amp;offset=0&amp;query=any,contains,991002696529702656","Catalog Record")</f>
        <v/>
      </c>
      <c r="AV66">
        <f>HYPERLINK("http://www.worldcat.org/oclc/35203533","WorldCat Record")</f>
        <v/>
      </c>
      <c r="AW66" t="inlineStr">
        <is>
          <t>145797:spa</t>
        </is>
      </c>
      <c r="AX66" t="inlineStr">
        <is>
          <t>35203533</t>
        </is>
      </c>
      <c r="AY66" t="inlineStr">
        <is>
          <t>991002696529702656</t>
        </is>
      </c>
      <c r="AZ66" t="inlineStr">
        <is>
          <t>991002696529702656</t>
        </is>
      </c>
      <c r="BA66" t="inlineStr">
        <is>
          <t>2271237110002656</t>
        </is>
      </c>
      <c r="BB66" t="inlineStr">
        <is>
          <t>BOOK</t>
        </is>
      </c>
      <c r="BD66" t="inlineStr">
        <is>
          <t>9789681827984</t>
        </is>
      </c>
      <c r="BE66" t="inlineStr">
        <is>
          <t>32285003411252</t>
        </is>
      </c>
      <c r="BF66" t="inlineStr">
        <is>
          <t>893880276</t>
        </is>
      </c>
    </row>
    <row r="67">
      <c r="B67" t="inlineStr">
        <is>
          <t>CURAL</t>
        </is>
      </c>
      <c r="C67" t="inlineStr">
        <is>
          <t>SHELVES</t>
        </is>
      </c>
      <c r="D67" t="inlineStr">
        <is>
          <t>K5261 .N66 1984</t>
        </is>
      </c>
      <c r="E67" t="inlineStr">
        <is>
          <t>0                      K  5261000N  66          1984</t>
        </is>
      </c>
      <c r="F67" t="inlineStr">
        <is>
          <t>Bribes / John T. Noonan, Jr.</t>
        </is>
      </c>
      <c r="H67" t="inlineStr">
        <is>
          <t>No</t>
        </is>
      </c>
      <c r="I67" t="inlineStr">
        <is>
          <t>1</t>
        </is>
      </c>
      <c r="J67" t="inlineStr">
        <is>
          <t>Yes</t>
        </is>
      </c>
      <c r="K67" t="inlineStr">
        <is>
          <t>No</t>
        </is>
      </c>
      <c r="L67" t="inlineStr">
        <is>
          <t>0</t>
        </is>
      </c>
      <c r="M67" t="inlineStr">
        <is>
          <t>Noonan, John T., Jr. (John Thomas), 1926-2017.</t>
        </is>
      </c>
      <c r="N67" t="inlineStr">
        <is>
          <t>New York : Macmillan, c1984.</t>
        </is>
      </c>
      <c r="O67" t="inlineStr">
        <is>
          <t>1984</t>
        </is>
      </c>
      <c r="Q67" t="inlineStr">
        <is>
          <t>eng</t>
        </is>
      </c>
      <c r="R67" t="inlineStr">
        <is>
          <t>nyu</t>
        </is>
      </c>
      <c r="T67" t="inlineStr">
        <is>
          <t xml:space="preserve">K  </t>
        </is>
      </c>
      <c r="U67" t="n">
        <v>2</v>
      </c>
      <c r="V67" t="n">
        <v>2</v>
      </c>
      <c r="W67" t="inlineStr">
        <is>
          <t>1993-04-22</t>
        </is>
      </c>
      <c r="X67" t="inlineStr">
        <is>
          <t>1993-04-22</t>
        </is>
      </c>
      <c r="Y67" t="inlineStr">
        <is>
          <t>1992-06-12</t>
        </is>
      </c>
      <c r="Z67" t="inlineStr">
        <is>
          <t>1992-06-12</t>
        </is>
      </c>
      <c r="AA67" t="n">
        <v>965</v>
      </c>
      <c r="AB67" t="n">
        <v>851</v>
      </c>
      <c r="AC67" t="n">
        <v>948</v>
      </c>
      <c r="AD67" t="n">
        <v>7</v>
      </c>
      <c r="AE67" t="n">
        <v>7</v>
      </c>
      <c r="AF67" t="n">
        <v>46</v>
      </c>
      <c r="AG67" t="n">
        <v>49</v>
      </c>
      <c r="AH67" t="n">
        <v>11</v>
      </c>
      <c r="AI67" t="n">
        <v>11</v>
      </c>
      <c r="AJ67" t="n">
        <v>8</v>
      </c>
      <c r="AK67" t="n">
        <v>8</v>
      </c>
      <c r="AL67" t="n">
        <v>19</v>
      </c>
      <c r="AM67" t="n">
        <v>20</v>
      </c>
      <c r="AN67" t="n">
        <v>4</v>
      </c>
      <c r="AO67" t="n">
        <v>4</v>
      </c>
      <c r="AP67" t="n">
        <v>14</v>
      </c>
      <c r="AQ67" t="n">
        <v>16</v>
      </c>
      <c r="AR67" t="inlineStr">
        <is>
          <t>No</t>
        </is>
      </c>
      <c r="AS67" t="inlineStr">
        <is>
          <t>Yes</t>
        </is>
      </c>
      <c r="AT67">
        <f>HYPERLINK("http://catalog.hathitrust.org/Record/000332268","HathiTrust Record")</f>
        <v/>
      </c>
      <c r="AU67">
        <f>HYPERLINK("https://creighton-primo.hosted.exlibrisgroup.com/primo-explore/search?tab=default_tab&amp;search_scope=EVERYTHING&amp;vid=01CRU&amp;lang=en_US&amp;offset=0&amp;query=any,contains,991001627959702656","Catalog Record")</f>
        <v/>
      </c>
      <c r="AV67">
        <f>HYPERLINK("http://www.worldcat.org/oclc/10925115","WorldCat Record")</f>
        <v/>
      </c>
      <c r="AW67" t="inlineStr">
        <is>
          <t>3437297:eng</t>
        </is>
      </c>
      <c r="AX67" t="inlineStr">
        <is>
          <t>10925115</t>
        </is>
      </c>
      <c r="AY67" t="inlineStr">
        <is>
          <t>991001627959702656</t>
        </is>
      </c>
      <c r="AZ67" t="inlineStr">
        <is>
          <t>991001627959702656</t>
        </is>
      </c>
      <c r="BA67" t="inlineStr">
        <is>
          <t>2272789250002656</t>
        </is>
      </c>
      <c r="BB67" t="inlineStr">
        <is>
          <t>BOOK</t>
        </is>
      </c>
      <c r="BD67" t="inlineStr">
        <is>
          <t>9780029228807</t>
        </is>
      </c>
      <c r="BE67" t="inlineStr">
        <is>
          <t>32285001171692</t>
        </is>
      </c>
      <c r="BF67" t="inlineStr">
        <is>
          <t>893426713</t>
        </is>
      </c>
    </row>
    <row r="68">
      <c r="B68" t="inlineStr">
        <is>
          <t>CURAL</t>
        </is>
      </c>
      <c r="C68" t="inlineStr">
        <is>
          <t>SHELVES</t>
        </is>
      </c>
      <c r="D68" t="inlineStr">
        <is>
          <t>K5410.T6 L43 1973</t>
        </is>
      </c>
      <c r="E68" t="inlineStr">
        <is>
          <t>0                      K  5410000T  6                  L  43          1973</t>
        </is>
      </c>
      <c r="F68" t="inlineStr">
        <is>
          <t>Torture / Henry Charles Lea ; introd. by Edward Peters.</t>
        </is>
      </c>
      <c r="H68" t="inlineStr">
        <is>
          <t>No</t>
        </is>
      </c>
      <c r="I68" t="inlineStr">
        <is>
          <t>1</t>
        </is>
      </c>
      <c r="J68" t="inlineStr">
        <is>
          <t>No</t>
        </is>
      </c>
      <c r="K68" t="inlineStr">
        <is>
          <t>No</t>
        </is>
      </c>
      <c r="L68" t="inlineStr">
        <is>
          <t>0</t>
        </is>
      </c>
      <c r="M68" t="inlineStr">
        <is>
          <t>Lea, Henry Charles, 1825-1909.</t>
        </is>
      </c>
      <c r="N68" t="inlineStr">
        <is>
          <t>Philadelphia : University of Pennsylvania Press, c1973.]</t>
        </is>
      </c>
      <c r="O68" t="inlineStr">
        <is>
          <t>1973</t>
        </is>
      </c>
      <c r="Q68" t="inlineStr">
        <is>
          <t>eng</t>
        </is>
      </c>
      <c r="R68" t="inlineStr">
        <is>
          <t>pau</t>
        </is>
      </c>
      <c r="S68" t="inlineStr">
        <is>
          <t>Sources of medieval history</t>
        </is>
      </c>
      <c r="T68" t="inlineStr">
        <is>
          <t xml:space="preserve">K  </t>
        </is>
      </c>
      <c r="U68" t="n">
        <v>9</v>
      </c>
      <c r="V68" t="n">
        <v>9</v>
      </c>
      <c r="W68" t="inlineStr">
        <is>
          <t>2005-10-10</t>
        </is>
      </c>
      <c r="X68" t="inlineStr">
        <is>
          <t>2005-10-10</t>
        </is>
      </c>
      <c r="Y68" t="inlineStr">
        <is>
          <t>1991-12-09</t>
        </is>
      </c>
      <c r="Z68" t="inlineStr">
        <is>
          <t>1991-12-09</t>
        </is>
      </c>
      <c r="AA68" t="n">
        <v>363</v>
      </c>
      <c r="AB68" t="n">
        <v>329</v>
      </c>
      <c r="AC68" t="n">
        <v>526</v>
      </c>
      <c r="AD68" t="n">
        <v>1</v>
      </c>
      <c r="AE68" t="n">
        <v>1</v>
      </c>
      <c r="AF68" t="n">
        <v>25</v>
      </c>
      <c r="AG68" t="n">
        <v>34</v>
      </c>
      <c r="AH68" t="n">
        <v>7</v>
      </c>
      <c r="AI68" t="n">
        <v>13</v>
      </c>
      <c r="AJ68" t="n">
        <v>6</v>
      </c>
      <c r="AK68" t="n">
        <v>7</v>
      </c>
      <c r="AL68" t="n">
        <v>10</v>
      </c>
      <c r="AM68" t="n">
        <v>15</v>
      </c>
      <c r="AN68" t="n">
        <v>0</v>
      </c>
      <c r="AO68" t="n">
        <v>0</v>
      </c>
      <c r="AP68" t="n">
        <v>8</v>
      </c>
      <c r="AQ68" t="n">
        <v>8</v>
      </c>
      <c r="AR68" t="inlineStr">
        <is>
          <t>No</t>
        </is>
      </c>
      <c r="AS68" t="inlineStr">
        <is>
          <t>Yes</t>
        </is>
      </c>
      <c r="AT68">
        <f>HYPERLINK("http://catalog.hathitrust.org/Record/004402883","HathiTrust Record")</f>
        <v/>
      </c>
      <c r="AU68">
        <f>HYPERLINK("https://creighton-primo.hosted.exlibrisgroup.com/primo-explore/search?tab=default_tab&amp;search_scope=EVERYTHING&amp;vid=01CRU&amp;lang=en_US&amp;offset=0&amp;query=any,contains,991003521609702656","Catalog Record")</f>
        <v/>
      </c>
      <c r="AV68">
        <f>HYPERLINK("http://www.worldcat.org/oclc/1083112","WorldCat Record")</f>
        <v/>
      </c>
      <c r="AW68" t="inlineStr">
        <is>
          <t>4925339175:eng</t>
        </is>
      </c>
      <c r="AX68" t="inlineStr">
        <is>
          <t>1083112</t>
        </is>
      </c>
      <c r="AY68" t="inlineStr">
        <is>
          <t>991003521609702656</t>
        </is>
      </c>
      <c r="AZ68" t="inlineStr">
        <is>
          <t>991003521609702656</t>
        </is>
      </c>
      <c r="BA68" t="inlineStr">
        <is>
          <t>2267864820002656</t>
        </is>
      </c>
      <c r="BB68" t="inlineStr">
        <is>
          <t>BOOK</t>
        </is>
      </c>
      <c r="BD68" t="inlineStr">
        <is>
          <t>9780812210620</t>
        </is>
      </c>
      <c r="BE68" t="inlineStr">
        <is>
          <t>32285000873090</t>
        </is>
      </c>
      <c r="BF68" t="inlineStr">
        <is>
          <t>893721969</t>
        </is>
      </c>
    </row>
    <row r="69">
      <c r="B69" t="inlineStr">
        <is>
          <t>CURAL</t>
        </is>
      </c>
      <c r="C69" t="inlineStr">
        <is>
          <t>SHELVES</t>
        </is>
      </c>
      <c r="D69" t="inlineStr">
        <is>
          <t>K7174 .S43 1959</t>
        </is>
      </c>
      <c r="E69" t="inlineStr">
        <is>
          <t>0                      K  7174000S  43          1959</t>
        </is>
      </c>
      <c r="F69" t="inlineStr">
        <is>
          <t>Nullity of marriage / F.J. Sheed.</t>
        </is>
      </c>
      <c r="H69" t="inlineStr">
        <is>
          <t>No</t>
        </is>
      </c>
      <c r="I69" t="inlineStr">
        <is>
          <t>1</t>
        </is>
      </c>
      <c r="J69" t="inlineStr">
        <is>
          <t>No</t>
        </is>
      </c>
      <c r="K69" t="inlineStr">
        <is>
          <t>Yes</t>
        </is>
      </c>
      <c r="L69" t="inlineStr">
        <is>
          <t>0</t>
        </is>
      </c>
      <c r="M69" t="inlineStr">
        <is>
          <t>Sheed, F. J. (Francis Joseph), 1897-1981.</t>
        </is>
      </c>
      <c r="N69" t="inlineStr">
        <is>
          <t>New York : Sheed and Ward, [1959]</t>
        </is>
      </c>
      <c r="O69" t="inlineStr">
        <is>
          <t>1959</t>
        </is>
      </c>
      <c r="P69" t="inlineStr">
        <is>
          <t>New ed., rev. and enl.</t>
        </is>
      </c>
      <c r="Q69" t="inlineStr">
        <is>
          <t>eng</t>
        </is>
      </c>
      <c r="R69" t="inlineStr">
        <is>
          <t xml:space="preserve">xx </t>
        </is>
      </c>
      <c r="T69" t="inlineStr">
        <is>
          <t xml:space="preserve">K  </t>
        </is>
      </c>
      <c r="U69" t="n">
        <v>7</v>
      </c>
      <c r="V69" t="n">
        <v>7</v>
      </c>
      <c r="W69" t="inlineStr">
        <is>
          <t>2000-07-12</t>
        </is>
      </c>
      <c r="X69" t="inlineStr">
        <is>
          <t>2000-07-12</t>
        </is>
      </c>
      <c r="Y69" t="inlineStr">
        <is>
          <t>1992-06-12</t>
        </is>
      </c>
      <c r="Z69" t="inlineStr">
        <is>
          <t>1992-06-12</t>
        </is>
      </c>
      <c r="AA69" t="n">
        <v>181</v>
      </c>
      <c r="AB69" t="n">
        <v>172</v>
      </c>
      <c r="AC69" t="n">
        <v>316</v>
      </c>
      <c r="AD69" t="n">
        <v>4</v>
      </c>
      <c r="AE69" t="n">
        <v>6</v>
      </c>
      <c r="AF69" t="n">
        <v>25</v>
      </c>
      <c r="AG69" t="n">
        <v>35</v>
      </c>
      <c r="AH69" t="n">
        <v>7</v>
      </c>
      <c r="AI69" t="n">
        <v>10</v>
      </c>
      <c r="AJ69" t="n">
        <v>6</v>
      </c>
      <c r="AK69" t="n">
        <v>8</v>
      </c>
      <c r="AL69" t="n">
        <v>16</v>
      </c>
      <c r="AM69" t="n">
        <v>17</v>
      </c>
      <c r="AN69" t="n">
        <v>0</v>
      </c>
      <c r="AO69" t="n">
        <v>1</v>
      </c>
      <c r="AP69" t="n">
        <v>4</v>
      </c>
      <c r="AQ69" t="n">
        <v>9</v>
      </c>
      <c r="AR69" t="inlineStr">
        <is>
          <t>No</t>
        </is>
      </c>
      <c r="AS69" t="inlineStr">
        <is>
          <t>No</t>
        </is>
      </c>
      <c r="AU69">
        <f>HYPERLINK("https://creighton-primo.hosted.exlibrisgroup.com/primo-explore/search?tab=default_tab&amp;search_scope=EVERYTHING&amp;vid=01CRU&amp;lang=en_US&amp;offset=0&amp;query=any,contains,991003763739702656","Catalog Record")</f>
        <v/>
      </c>
      <c r="AV69">
        <f>HYPERLINK("http://www.worldcat.org/oclc/1454200","WorldCat Record")</f>
        <v/>
      </c>
      <c r="AW69" t="inlineStr">
        <is>
          <t>132964627:eng</t>
        </is>
      </c>
      <c r="AX69" t="inlineStr">
        <is>
          <t>1454200</t>
        </is>
      </c>
      <c r="AY69" t="inlineStr">
        <is>
          <t>991003763739702656</t>
        </is>
      </c>
      <c r="AZ69" t="inlineStr">
        <is>
          <t>991003763739702656</t>
        </is>
      </c>
      <c r="BA69" t="inlineStr">
        <is>
          <t>2259289390002656</t>
        </is>
      </c>
      <c r="BB69" t="inlineStr">
        <is>
          <t>BOOK</t>
        </is>
      </c>
      <c r="BE69" t="inlineStr">
        <is>
          <t>32285001171734</t>
        </is>
      </c>
      <c r="BF69" t="inlineStr">
        <is>
          <t>893535615</t>
        </is>
      </c>
    </row>
    <row r="70">
      <c r="B70" t="inlineStr">
        <is>
          <t>CURAL</t>
        </is>
      </c>
      <c r="C70" t="inlineStr">
        <is>
          <t>SHELVES</t>
        </is>
      </c>
      <c r="D70" t="inlineStr">
        <is>
          <t>K7174 .W74 1983</t>
        </is>
      </c>
      <c r="E70" t="inlineStr">
        <is>
          <t>0                      K  7174000W  74          1983</t>
        </is>
      </c>
      <c r="F70" t="inlineStr">
        <is>
          <t>Annulments / Lawrence G. Wrenn.</t>
        </is>
      </c>
      <c r="H70" t="inlineStr">
        <is>
          <t>No</t>
        </is>
      </c>
      <c r="I70" t="inlineStr">
        <is>
          <t>1</t>
        </is>
      </c>
      <c r="J70" t="inlineStr">
        <is>
          <t>No</t>
        </is>
      </c>
      <c r="K70" t="inlineStr">
        <is>
          <t>No</t>
        </is>
      </c>
      <c r="L70" t="inlineStr">
        <is>
          <t>0</t>
        </is>
      </c>
      <c r="M70" t="inlineStr">
        <is>
          <t>Wrenn, Lawrence G.</t>
        </is>
      </c>
      <c r="N70" t="inlineStr">
        <is>
          <t>Washington, DC : Canon Law Society of America, c1983.</t>
        </is>
      </c>
      <c r="O70" t="inlineStr">
        <is>
          <t>1983</t>
        </is>
      </c>
      <c r="P70" t="inlineStr">
        <is>
          <t>4th ed. rev.</t>
        </is>
      </c>
      <c r="Q70" t="inlineStr">
        <is>
          <t>eng</t>
        </is>
      </c>
      <c r="R70" t="inlineStr">
        <is>
          <t>dcu</t>
        </is>
      </c>
      <c r="T70" t="inlineStr">
        <is>
          <t xml:space="preserve">K  </t>
        </is>
      </c>
      <c r="U70" t="n">
        <v>11</v>
      </c>
      <c r="V70" t="n">
        <v>11</v>
      </c>
      <c r="W70" t="inlineStr">
        <is>
          <t>2003-07-29</t>
        </is>
      </c>
      <c r="X70" t="inlineStr">
        <is>
          <t>2003-07-29</t>
        </is>
      </c>
      <c r="Y70" t="inlineStr">
        <is>
          <t>1992-03-23</t>
        </is>
      </c>
      <c r="Z70" t="inlineStr">
        <is>
          <t>1992-03-23</t>
        </is>
      </c>
      <c r="AA70" t="n">
        <v>142</v>
      </c>
      <c r="AB70" t="n">
        <v>120</v>
      </c>
      <c r="AC70" t="n">
        <v>205</v>
      </c>
      <c r="AD70" t="n">
        <v>2</v>
      </c>
      <c r="AE70" t="n">
        <v>2</v>
      </c>
      <c r="AF70" t="n">
        <v>13</v>
      </c>
      <c r="AG70" t="n">
        <v>24</v>
      </c>
      <c r="AH70" t="n">
        <v>1</v>
      </c>
      <c r="AI70" t="n">
        <v>5</v>
      </c>
      <c r="AJ70" t="n">
        <v>1</v>
      </c>
      <c r="AK70" t="n">
        <v>5</v>
      </c>
      <c r="AL70" t="n">
        <v>5</v>
      </c>
      <c r="AM70" t="n">
        <v>12</v>
      </c>
      <c r="AN70" t="n">
        <v>0</v>
      </c>
      <c r="AO70" t="n">
        <v>0</v>
      </c>
      <c r="AP70" t="n">
        <v>7</v>
      </c>
      <c r="AQ70" t="n">
        <v>7</v>
      </c>
      <c r="AR70" t="inlineStr">
        <is>
          <t>No</t>
        </is>
      </c>
      <c r="AS70" t="inlineStr">
        <is>
          <t>No</t>
        </is>
      </c>
      <c r="AU70">
        <f>HYPERLINK("https://creighton-primo.hosted.exlibrisgroup.com/primo-explore/search?tab=default_tab&amp;search_scope=EVERYTHING&amp;vid=01CRU&amp;lang=en_US&amp;offset=0&amp;query=any,contains,991000267869702656","Catalog Record")</f>
        <v/>
      </c>
      <c r="AV70">
        <f>HYPERLINK("http://www.worldcat.org/oclc/9845525","WorldCat Record")</f>
        <v/>
      </c>
      <c r="AW70" t="inlineStr">
        <is>
          <t>1916491:eng</t>
        </is>
      </c>
      <c r="AX70" t="inlineStr">
        <is>
          <t>9845525</t>
        </is>
      </c>
      <c r="AY70" t="inlineStr">
        <is>
          <t>991000267869702656</t>
        </is>
      </c>
      <c r="AZ70" t="inlineStr">
        <is>
          <t>991000267869702656</t>
        </is>
      </c>
      <c r="BA70" t="inlineStr">
        <is>
          <t>2257592120002656</t>
        </is>
      </c>
      <c r="BB70" t="inlineStr">
        <is>
          <t>BOOK</t>
        </is>
      </c>
      <c r="BD70" t="inlineStr">
        <is>
          <t>9780943616162</t>
        </is>
      </c>
      <c r="BE70" t="inlineStr">
        <is>
          <t>32285001027092</t>
        </is>
      </c>
      <c r="BF70" t="inlineStr">
        <is>
          <t>893620342</t>
        </is>
      </c>
    </row>
    <row r="71">
      <c r="B71" t="inlineStr">
        <is>
          <t>CURAL</t>
        </is>
      </c>
      <c r="C71" t="inlineStr">
        <is>
          <t>SHELVES</t>
        </is>
      </c>
      <c r="D71" t="inlineStr">
        <is>
          <t>K840 .M3</t>
        </is>
      </c>
      <c r="E71" t="inlineStr">
        <is>
          <t>0                      K  0840000M  3</t>
        </is>
      </c>
      <c r="F71" t="inlineStr">
        <is>
          <t>The new social contract : an inquiry into modern contractual relations / Ian R. Macneil.</t>
        </is>
      </c>
      <c r="H71" t="inlineStr">
        <is>
          <t>No</t>
        </is>
      </c>
      <c r="I71" t="inlineStr">
        <is>
          <t>1</t>
        </is>
      </c>
      <c r="J71" t="inlineStr">
        <is>
          <t>Yes</t>
        </is>
      </c>
      <c r="K71" t="inlineStr">
        <is>
          <t>No</t>
        </is>
      </c>
      <c r="L71" t="inlineStr">
        <is>
          <t>0</t>
        </is>
      </c>
      <c r="M71" t="inlineStr">
        <is>
          <t>Macneil, Ian R.</t>
        </is>
      </c>
      <c r="N71" t="inlineStr">
        <is>
          <t>New Haven, Conn. : Yale University Press, c1980.</t>
        </is>
      </c>
      <c r="O71" t="inlineStr">
        <is>
          <t>1980</t>
        </is>
      </c>
      <c r="Q71" t="inlineStr">
        <is>
          <t>eng</t>
        </is>
      </c>
      <c r="R71" t="inlineStr">
        <is>
          <t>ctu</t>
        </is>
      </c>
      <c r="T71" t="inlineStr">
        <is>
          <t xml:space="preserve">K  </t>
        </is>
      </c>
      <c r="U71" t="n">
        <v>3</v>
      </c>
      <c r="V71" t="n">
        <v>4</v>
      </c>
      <c r="W71" t="inlineStr">
        <is>
          <t>2005-02-25</t>
        </is>
      </c>
      <c r="X71" t="inlineStr">
        <is>
          <t>2005-02-25</t>
        </is>
      </c>
      <c r="Y71" t="inlineStr">
        <is>
          <t>1992-06-11</t>
        </is>
      </c>
      <c r="Z71" t="inlineStr">
        <is>
          <t>1992-06-11</t>
        </is>
      </c>
      <c r="AA71" t="n">
        <v>490</v>
      </c>
      <c r="AB71" t="n">
        <v>363</v>
      </c>
      <c r="AC71" t="n">
        <v>365</v>
      </c>
      <c r="AD71" t="n">
        <v>5</v>
      </c>
      <c r="AE71" t="n">
        <v>5</v>
      </c>
      <c r="AF71" t="n">
        <v>33</v>
      </c>
      <c r="AG71" t="n">
        <v>33</v>
      </c>
      <c r="AH71" t="n">
        <v>3</v>
      </c>
      <c r="AI71" t="n">
        <v>3</v>
      </c>
      <c r="AJ71" t="n">
        <v>3</v>
      </c>
      <c r="AK71" t="n">
        <v>3</v>
      </c>
      <c r="AL71" t="n">
        <v>8</v>
      </c>
      <c r="AM71" t="n">
        <v>8</v>
      </c>
      <c r="AN71" t="n">
        <v>2</v>
      </c>
      <c r="AO71" t="n">
        <v>2</v>
      </c>
      <c r="AP71" t="n">
        <v>20</v>
      </c>
      <c r="AQ71" t="n">
        <v>20</v>
      </c>
      <c r="AR71" t="inlineStr">
        <is>
          <t>No</t>
        </is>
      </c>
      <c r="AS71" t="inlineStr">
        <is>
          <t>No</t>
        </is>
      </c>
      <c r="AU71">
        <f>HYPERLINK("https://creighton-primo.hosted.exlibrisgroup.com/primo-explore/search?tab=default_tab&amp;search_scope=EVERYTHING&amp;vid=01CRU&amp;lang=en_US&amp;offset=0&amp;query=any,contains,991001616949702656","Catalog Record")</f>
        <v/>
      </c>
      <c r="AV71">
        <f>HYPERLINK("http://www.worldcat.org/oclc/6486606","WorldCat Record")</f>
        <v/>
      </c>
      <c r="AW71" t="inlineStr">
        <is>
          <t>20919026:eng</t>
        </is>
      </c>
      <c r="AX71" t="inlineStr">
        <is>
          <t>6486606</t>
        </is>
      </c>
      <c r="AY71" t="inlineStr">
        <is>
          <t>991001616949702656</t>
        </is>
      </c>
      <c r="AZ71" t="inlineStr">
        <is>
          <t>991001616949702656</t>
        </is>
      </c>
      <c r="BA71" t="inlineStr">
        <is>
          <t>2269605170002656</t>
        </is>
      </c>
      <c r="BB71" t="inlineStr">
        <is>
          <t>BOOK</t>
        </is>
      </c>
      <c r="BD71" t="inlineStr">
        <is>
          <t>9780300025422</t>
        </is>
      </c>
      <c r="BE71" t="inlineStr">
        <is>
          <t>32285001171015</t>
        </is>
      </c>
      <c r="BF71" t="inlineStr">
        <is>
          <t>893497207</t>
        </is>
      </c>
    </row>
    <row r="72">
      <c r="B72" t="inlineStr">
        <is>
          <t>CURAL</t>
        </is>
      </c>
      <c r="C72" t="inlineStr">
        <is>
          <t>SHELVES</t>
        </is>
      </c>
      <c r="D72" t="inlineStr">
        <is>
          <t>KBD0 .W37</t>
        </is>
      </c>
      <c r="E72" t="inlineStr">
        <is>
          <t>0                      KBD0000000W  37</t>
        </is>
      </c>
      <c r="F72" t="inlineStr">
        <is>
          <t>Rome of the XII Tables : persons and property / by Alan Watson.</t>
        </is>
      </c>
      <c r="H72" t="inlineStr">
        <is>
          <t>No</t>
        </is>
      </c>
      <c r="I72" t="inlineStr">
        <is>
          <t>1</t>
        </is>
      </c>
      <c r="J72" t="inlineStr">
        <is>
          <t>No</t>
        </is>
      </c>
      <c r="K72" t="inlineStr">
        <is>
          <t>No</t>
        </is>
      </c>
      <c r="L72" t="inlineStr">
        <is>
          <t>0</t>
        </is>
      </c>
      <c r="M72" t="inlineStr">
        <is>
          <t>Watson, Alan, 1933-2018.</t>
        </is>
      </c>
      <c r="N72" t="inlineStr">
        <is>
          <t>Princeton, N.J. : Princeton University Press, c1975.</t>
        </is>
      </c>
      <c r="O72" t="inlineStr">
        <is>
          <t>1975</t>
        </is>
      </c>
      <c r="Q72" t="inlineStr">
        <is>
          <t>eng</t>
        </is>
      </c>
      <c r="R72" t="inlineStr">
        <is>
          <t>nju</t>
        </is>
      </c>
      <c r="T72" t="inlineStr">
        <is>
          <t xml:space="preserve">KB </t>
        </is>
      </c>
      <c r="U72" t="n">
        <v>3</v>
      </c>
      <c r="V72" t="n">
        <v>3</v>
      </c>
      <c r="W72" t="inlineStr">
        <is>
          <t>2003-11-20</t>
        </is>
      </c>
      <c r="X72" t="inlineStr">
        <is>
          <t>2003-11-20</t>
        </is>
      </c>
      <c r="Y72" t="inlineStr">
        <is>
          <t>1992-06-12</t>
        </is>
      </c>
      <c r="Z72" t="inlineStr">
        <is>
          <t>1992-06-12</t>
        </is>
      </c>
      <c r="AA72" t="n">
        <v>438</v>
      </c>
      <c r="AB72" t="n">
        <v>315</v>
      </c>
      <c r="AC72" t="n">
        <v>321</v>
      </c>
      <c r="AD72" t="n">
        <v>2</v>
      </c>
      <c r="AE72" t="n">
        <v>2</v>
      </c>
      <c r="AF72" t="n">
        <v>27</v>
      </c>
      <c r="AG72" t="n">
        <v>27</v>
      </c>
      <c r="AH72" t="n">
        <v>4</v>
      </c>
      <c r="AI72" t="n">
        <v>4</v>
      </c>
      <c r="AJ72" t="n">
        <v>6</v>
      </c>
      <c r="AK72" t="n">
        <v>6</v>
      </c>
      <c r="AL72" t="n">
        <v>16</v>
      </c>
      <c r="AM72" t="n">
        <v>16</v>
      </c>
      <c r="AN72" t="n">
        <v>1</v>
      </c>
      <c r="AO72" t="n">
        <v>1</v>
      </c>
      <c r="AP72" t="n">
        <v>7</v>
      </c>
      <c r="AQ72" t="n">
        <v>7</v>
      </c>
      <c r="AR72" t="inlineStr">
        <is>
          <t>No</t>
        </is>
      </c>
      <c r="AS72" t="inlineStr">
        <is>
          <t>No</t>
        </is>
      </c>
      <c r="AU72">
        <f>HYPERLINK("https://creighton-primo.hosted.exlibrisgroup.com/primo-explore/search?tab=default_tab&amp;search_scope=EVERYTHING&amp;vid=01CRU&amp;lang=en_US&amp;offset=0&amp;query=any,contains,991003803279702656","Catalog Record")</f>
        <v/>
      </c>
      <c r="AV72">
        <f>HYPERLINK("http://www.worldcat.org/oclc/1529169","WorldCat Record")</f>
        <v/>
      </c>
      <c r="AW72" t="inlineStr">
        <is>
          <t>836619825:eng</t>
        </is>
      </c>
      <c r="AX72" t="inlineStr">
        <is>
          <t>1529169</t>
        </is>
      </c>
      <c r="AY72" t="inlineStr">
        <is>
          <t>991003803279702656</t>
        </is>
      </c>
      <c r="AZ72" t="inlineStr">
        <is>
          <t>991003803279702656</t>
        </is>
      </c>
      <c r="BA72" t="inlineStr">
        <is>
          <t>2257393120002656</t>
        </is>
      </c>
      <c r="BB72" t="inlineStr">
        <is>
          <t>BOOK</t>
        </is>
      </c>
      <c r="BD72" t="inlineStr">
        <is>
          <t>9780691035482</t>
        </is>
      </c>
      <c r="BE72" t="inlineStr">
        <is>
          <t>32285001171874</t>
        </is>
      </c>
      <c r="BF72" t="inlineStr">
        <is>
          <t>893441770</t>
        </is>
      </c>
    </row>
    <row r="73">
      <c r="B73" t="inlineStr">
        <is>
          <t>CURAL</t>
        </is>
      </c>
      <c r="C73" t="inlineStr">
        <is>
          <t>SHELVES</t>
        </is>
      </c>
      <c r="D73" t="inlineStr">
        <is>
          <t>KBG0 .G35 1983</t>
        </is>
      </c>
      <c r="E73" t="inlineStr">
        <is>
          <t>0                      KBG0000000G  35          1983</t>
        </is>
      </c>
      <c r="F73" t="inlineStr">
        <is>
          <t>Canon law for religious : an explanation / by Joseph F. Gallen.</t>
        </is>
      </c>
      <c r="H73" t="inlineStr">
        <is>
          <t>No</t>
        </is>
      </c>
      <c r="I73" t="inlineStr">
        <is>
          <t>1</t>
        </is>
      </c>
      <c r="J73" t="inlineStr">
        <is>
          <t>No</t>
        </is>
      </c>
      <c r="K73" t="inlineStr">
        <is>
          <t>No</t>
        </is>
      </c>
      <c r="L73" t="inlineStr">
        <is>
          <t>0</t>
        </is>
      </c>
      <c r="M73" t="inlineStr">
        <is>
          <t>Gallen, Joseph F.</t>
        </is>
      </c>
      <c r="N73" t="inlineStr">
        <is>
          <t>New York : Alba House, c1983.</t>
        </is>
      </c>
      <c r="O73" t="inlineStr">
        <is>
          <t>1983</t>
        </is>
      </c>
      <c r="Q73" t="inlineStr">
        <is>
          <t>eng</t>
        </is>
      </c>
      <c r="R73" t="inlineStr">
        <is>
          <t>nyu</t>
        </is>
      </c>
      <c r="T73" t="inlineStr">
        <is>
          <t xml:space="preserve">KB </t>
        </is>
      </c>
      <c r="U73" t="n">
        <v>1</v>
      </c>
      <c r="V73" t="n">
        <v>1</v>
      </c>
      <c r="W73" t="inlineStr">
        <is>
          <t>1997-01-30</t>
        </is>
      </c>
      <c r="X73" t="inlineStr">
        <is>
          <t>1997-01-30</t>
        </is>
      </c>
      <c r="Y73" t="inlineStr">
        <is>
          <t>1993-07-23</t>
        </is>
      </c>
      <c r="Z73" t="inlineStr">
        <is>
          <t>1993-07-23</t>
        </is>
      </c>
      <c r="AA73" t="n">
        <v>130</v>
      </c>
      <c r="AB73" t="n">
        <v>108</v>
      </c>
      <c r="AC73" t="n">
        <v>113</v>
      </c>
      <c r="AD73" t="n">
        <v>2</v>
      </c>
      <c r="AE73" t="n">
        <v>2</v>
      </c>
      <c r="AF73" t="n">
        <v>13</v>
      </c>
      <c r="AG73" t="n">
        <v>13</v>
      </c>
      <c r="AH73" t="n">
        <v>2</v>
      </c>
      <c r="AI73" t="n">
        <v>2</v>
      </c>
      <c r="AJ73" t="n">
        <v>3</v>
      </c>
      <c r="AK73" t="n">
        <v>3</v>
      </c>
      <c r="AL73" t="n">
        <v>8</v>
      </c>
      <c r="AM73" t="n">
        <v>8</v>
      </c>
      <c r="AN73" t="n">
        <v>0</v>
      </c>
      <c r="AO73" t="n">
        <v>0</v>
      </c>
      <c r="AP73" t="n">
        <v>2</v>
      </c>
      <c r="AQ73" t="n">
        <v>2</v>
      </c>
      <c r="AR73" t="inlineStr">
        <is>
          <t>No</t>
        </is>
      </c>
      <c r="AS73" t="inlineStr">
        <is>
          <t>No</t>
        </is>
      </c>
      <c r="AU73">
        <f>HYPERLINK("https://creighton-primo.hosted.exlibrisgroup.com/primo-explore/search?tab=default_tab&amp;search_scope=EVERYTHING&amp;vid=01CRU&amp;lang=en_US&amp;offset=0&amp;query=any,contains,991000274059702656","Catalog Record")</f>
        <v/>
      </c>
      <c r="AV73">
        <f>HYPERLINK("http://www.worldcat.org/oclc/9893689","WorldCat Record")</f>
        <v/>
      </c>
      <c r="AW73" t="inlineStr">
        <is>
          <t>43449832:eng</t>
        </is>
      </c>
      <c r="AX73" t="inlineStr">
        <is>
          <t>9893689</t>
        </is>
      </c>
      <c r="AY73" t="inlineStr">
        <is>
          <t>991000274059702656</t>
        </is>
      </c>
      <c r="AZ73" t="inlineStr">
        <is>
          <t>991000274059702656</t>
        </is>
      </c>
      <c r="BA73" t="inlineStr">
        <is>
          <t>2265822890002656</t>
        </is>
      </c>
      <c r="BB73" t="inlineStr">
        <is>
          <t>BOOK</t>
        </is>
      </c>
      <c r="BD73" t="inlineStr">
        <is>
          <t>9780818904615</t>
        </is>
      </c>
      <c r="BE73" t="inlineStr">
        <is>
          <t>32285001745297</t>
        </is>
      </c>
      <c r="BF73" t="inlineStr">
        <is>
          <t>893237205</t>
        </is>
      </c>
    </row>
    <row r="74">
      <c r="B74" t="inlineStr">
        <is>
          <t>CURAL</t>
        </is>
      </c>
      <c r="C74" t="inlineStr">
        <is>
          <t>SHELVES</t>
        </is>
      </c>
      <c r="D74" t="inlineStr">
        <is>
          <t>KBG0 .M85</t>
        </is>
      </c>
      <c r="E74" t="inlineStr">
        <is>
          <t>0                      KBG0000000M  85</t>
        </is>
      </c>
      <c r="F74" t="inlineStr">
        <is>
          <t>Popes, lawyers, and infidels : the church and the non-Christian world, 1250-1550/ James Muldoon.</t>
        </is>
      </c>
      <c r="H74" t="inlineStr">
        <is>
          <t>No</t>
        </is>
      </c>
      <c r="I74" t="inlineStr">
        <is>
          <t>1</t>
        </is>
      </c>
      <c r="J74" t="inlineStr">
        <is>
          <t>No</t>
        </is>
      </c>
      <c r="K74" t="inlineStr">
        <is>
          <t>No</t>
        </is>
      </c>
      <c r="L74" t="inlineStr">
        <is>
          <t>0</t>
        </is>
      </c>
      <c r="M74" t="inlineStr">
        <is>
          <t>Muldoon, James, 1935-</t>
        </is>
      </c>
      <c r="N74" t="inlineStr">
        <is>
          <t>[Philadelphia] : University of Pennsylvania Press, 1979.</t>
        </is>
      </c>
      <c r="O74" t="inlineStr">
        <is>
          <t>1979</t>
        </is>
      </c>
      <c r="Q74" t="inlineStr">
        <is>
          <t>eng</t>
        </is>
      </c>
      <c r="R74" t="inlineStr">
        <is>
          <t>pau</t>
        </is>
      </c>
      <c r="S74" t="inlineStr">
        <is>
          <t>The Middle Ages</t>
        </is>
      </c>
      <c r="T74" t="inlineStr">
        <is>
          <t xml:space="preserve">KB </t>
        </is>
      </c>
      <c r="U74" t="n">
        <v>0</v>
      </c>
      <c r="V74" t="n">
        <v>0</v>
      </c>
      <c r="W74" t="inlineStr">
        <is>
          <t>2005-03-07</t>
        </is>
      </c>
      <c r="X74" t="inlineStr">
        <is>
          <t>2005-03-07</t>
        </is>
      </c>
      <c r="Y74" t="inlineStr">
        <is>
          <t>1992-06-12</t>
        </is>
      </c>
      <c r="Z74" t="inlineStr">
        <is>
          <t>1992-06-12</t>
        </is>
      </c>
      <c r="AA74" t="n">
        <v>634</v>
      </c>
      <c r="AB74" t="n">
        <v>534</v>
      </c>
      <c r="AC74" t="n">
        <v>719</v>
      </c>
      <c r="AD74" t="n">
        <v>4</v>
      </c>
      <c r="AE74" t="n">
        <v>4</v>
      </c>
      <c r="AF74" t="n">
        <v>40</v>
      </c>
      <c r="AG74" t="n">
        <v>46</v>
      </c>
      <c r="AH74" t="n">
        <v>11</v>
      </c>
      <c r="AI74" t="n">
        <v>15</v>
      </c>
      <c r="AJ74" t="n">
        <v>8</v>
      </c>
      <c r="AK74" t="n">
        <v>10</v>
      </c>
      <c r="AL74" t="n">
        <v>19</v>
      </c>
      <c r="AM74" t="n">
        <v>21</v>
      </c>
      <c r="AN74" t="n">
        <v>2</v>
      </c>
      <c r="AO74" t="n">
        <v>2</v>
      </c>
      <c r="AP74" t="n">
        <v>10</v>
      </c>
      <c r="AQ74" t="n">
        <v>10</v>
      </c>
      <c r="AR74" t="inlineStr">
        <is>
          <t>No</t>
        </is>
      </c>
      <c r="AS74" t="inlineStr">
        <is>
          <t>Yes</t>
        </is>
      </c>
      <c r="AT74">
        <f>HYPERLINK("http://catalog.hathitrust.org/Record/000684957","HathiTrust Record")</f>
        <v/>
      </c>
      <c r="AU74">
        <f>HYPERLINK("https://creighton-primo.hosted.exlibrisgroup.com/primo-explore/search?tab=default_tab&amp;search_scope=EVERYTHING&amp;vid=01CRU&amp;lang=en_US&amp;offset=0&amp;query=any,contains,991004809239702656","Catalog Record")</f>
        <v/>
      </c>
      <c r="AV74">
        <f>HYPERLINK("http://www.worldcat.org/oclc/5264834","WorldCat Record")</f>
        <v/>
      </c>
      <c r="AW74" t="inlineStr">
        <is>
          <t>836630845:eng</t>
        </is>
      </c>
      <c r="AX74" t="inlineStr">
        <is>
          <t>5264834</t>
        </is>
      </c>
      <c r="AY74" t="inlineStr">
        <is>
          <t>991004809239702656</t>
        </is>
      </c>
      <c r="AZ74" t="inlineStr">
        <is>
          <t>991004809239702656</t>
        </is>
      </c>
      <c r="BA74" t="inlineStr">
        <is>
          <t>2259072550002656</t>
        </is>
      </c>
      <c r="BB74" t="inlineStr">
        <is>
          <t>BOOK</t>
        </is>
      </c>
      <c r="BD74" t="inlineStr">
        <is>
          <t>9780812277708</t>
        </is>
      </c>
      <c r="BE74" t="inlineStr">
        <is>
          <t>32285001171981</t>
        </is>
      </c>
      <c r="BF74" t="inlineStr">
        <is>
          <t>893694376</t>
        </is>
      </c>
    </row>
    <row r="75">
      <c r="B75" t="inlineStr">
        <is>
          <t>CURAL</t>
        </is>
      </c>
      <c r="C75" t="inlineStr">
        <is>
          <t>SHELVES</t>
        </is>
      </c>
      <c r="D75" t="inlineStr">
        <is>
          <t>KBG0 .R63 1971</t>
        </is>
      </c>
      <c r="E75" t="inlineStr">
        <is>
          <t>0                      KBG0000000R  63          1971</t>
        </is>
      </c>
      <c r="F75" t="inlineStr">
        <is>
          <t>Liber poenitentialis : a critical edition with introduction and notes / edited by J. J. Francis Firth.</t>
        </is>
      </c>
      <c r="H75" t="inlineStr">
        <is>
          <t>No</t>
        </is>
      </c>
      <c r="I75" t="inlineStr">
        <is>
          <t>1</t>
        </is>
      </c>
      <c r="J75" t="inlineStr">
        <is>
          <t>No</t>
        </is>
      </c>
      <c r="K75" t="inlineStr">
        <is>
          <t>No</t>
        </is>
      </c>
      <c r="L75" t="inlineStr">
        <is>
          <t>0</t>
        </is>
      </c>
      <c r="M75" t="inlineStr">
        <is>
          <t>Robert, of Flamborough.</t>
        </is>
      </c>
      <c r="N75" t="inlineStr">
        <is>
          <t>Toronto : Pontifical Institute of Mediaeval Studies, 1971.</t>
        </is>
      </c>
      <c r="O75" t="inlineStr">
        <is>
          <t>1971</t>
        </is>
      </c>
      <c r="Q75" t="inlineStr">
        <is>
          <t>eng</t>
        </is>
      </c>
      <c r="R75" t="inlineStr">
        <is>
          <t>onc</t>
        </is>
      </c>
      <c r="S75" t="inlineStr">
        <is>
          <t>Pontifical Institute of Mediaeval Studies. Studies and texts, 18</t>
        </is>
      </c>
      <c r="T75" t="inlineStr">
        <is>
          <t xml:space="preserve">KB </t>
        </is>
      </c>
      <c r="U75" t="n">
        <v>4</v>
      </c>
      <c r="V75" t="n">
        <v>4</v>
      </c>
      <c r="W75" t="inlineStr">
        <is>
          <t>2010-09-01</t>
        </is>
      </c>
      <c r="X75" t="inlineStr">
        <is>
          <t>2010-09-01</t>
        </is>
      </c>
      <c r="Y75" t="inlineStr">
        <is>
          <t>1992-06-12</t>
        </is>
      </c>
      <c r="Z75" t="inlineStr">
        <is>
          <t>1992-06-12</t>
        </is>
      </c>
      <c r="AA75" t="n">
        <v>267</v>
      </c>
      <c r="AB75" t="n">
        <v>193</v>
      </c>
      <c r="AC75" t="n">
        <v>195</v>
      </c>
      <c r="AD75" t="n">
        <v>2</v>
      </c>
      <c r="AE75" t="n">
        <v>2</v>
      </c>
      <c r="AF75" t="n">
        <v>23</v>
      </c>
      <c r="AG75" t="n">
        <v>23</v>
      </c>
      <c r="AH75" t="n">
        <v>5</v>
      </c>
      <c r="AI75" t="n">
        <v>5</v>
      </c>
      <c r="AJ75" t="n">
        <v>7</v>
      </c>
      <c r="AK75" t="n">
        <v>7</v>
      </c>
      <c r="AL75" t="n">
        <v>16</v>
      </c>
      <c r="AM75" t="n">
        <v>16</v>
      </c>
      <c r="AN75" t="n">
        <v>1</v>
      </c>
      <c r="AO75" t="n">
        <v>1</v>
      </c>
      <c r="AP75" t="n">
        <v>0</v>
      </c>
      <c r="AQ75" t="n">
        <v>0</v>
      </c>
      <c r="AR75" t="inlineStr">
        <is>
          <t>No</t>
        </is>
      </c>
      <c r="AS75" t="inlineStr">
        <is>
          <t>No</t>
        </is>
      </c>
      <c r="AU75">
        <f>HYPERLINK("https://creighton-primo.hosted.exlibrisgroup.com/primo-explore/search?tab=default_tab&amp;search_scope=EVERYTHING&amp;vid=01CRU&amp;lang=en_US&amp;offset=0&amp;query=any,contains,991002971089702656","Catalog Record")</f>
        <v/>
      </c>
      <c r="AV75">
        <f>HYPERLINK("http://www.worldcat.org/oclc/549008","WorldCat Record")</f>
        <v/>
      </c>
      <c r="AW75" t="inlineStr">
        <is>
          <t>1585082:eng</t>
        </is>
      </c>
      <c r="AX75" t="inlineStr">
        <is>
          <t>549008</t>
        </is>
      </c>
      <c r="AY75" t="inlineStr">
        <is>
          <t>991002971089702656</t>
        </is>
      </c>
      <c r="AZ75" t="inlineStr">
        <is>
          <t>991002971089702656</t>
        </is>
      </c>
      <c r="BA75" t="inlineStr">
        <is>
          <t>2265789910002656</t>
        </is>
      </c>
      <c r="BB75" t="inlineStr">
        <is>
          <t>BOOK</t>
        </is>
      </c>
      <c r="BD75" t="inlineStr">
        <is>
          <t>9780888440181</t>
        </is>
      </c>
      <c r="BE75" t="inlineStr">
        <is>
          <t>32285001172021</t>
        </is>
      </c>
      <c r="BF75" t="inlineStr">
        <is>
          <t>893445478</t>
        </is>
      </c>
    </row>
    <row r="76">
      <c r="B76" t="inlineStr">
        <is>
          <t>CURAL</t>
        </is>
      </c>
      <c r="C76" t="inlineStr">
        <is>
          <t>SHELVES</t>
        </is>
      </c>
      <c r="D76" t="inlineStr">
        <is>
          <t>KBL0 .A53 1975</t>
        </is>
      </c>
      <c r="E76" t="inlineStr">
        <is>
          <t>0                      KBL0000000A  53          1975</t>
        </is>
      </c>
      <c r="F76" t="inlineStr">
        <is>
          <t>Islamic law in the modern world / J. N. D. Anderson.</t>
        </is>
      </c>
      <c r="H76" t="inlineStr">
        <is>
          <t>No</t>
        </is>
      </c>
      <c r="I76" t="inlineStr">
        <is>
          <t>1</t>
        </is>
      </c>
      <c r="J76" t="inlineStr">
        <is>
          <t>No</t>
        </is>
      </c>
      <c r="K76" t="inlineStr">
        <is>
          <t>No</t>
        </is>
      </c>
      <c r="L76" t="inlineStr">
        <is>
          <t>0</t>
        </is>
      </c>
      <c r="M76" t="inlineStr">
        <is>
          <t>Anderson, J. N. D. (James Norman Dalrymple), 1908-1994.</t>
        </is>
      </c>
      <c r="N76" t="inlineStr">
        <is>
          <t>Westport, Conn. : Greenwood Press, 1975, c1959.</t>
        </is>
      </c>
      <c r="O76" t="inlineStr">
        <is>
          <t>1975</t>
        </is>
      </c>
      <c r="Q76" t="inlineStr">
        <is>
          <t>eng</t>
        </is>
      </c>
      <c r="R76" t="inlineStr">
        <is>
          <t>ctu</t>
        </is>
      </c>
      <c r="T76" t="inlineStr">
        <is>
          <t xml:space="preserve">KB </t>
        </is>
      </c>
      <c r="U76" t="n">
        <v>6</v>
      </c>
      <c r="V76" t="n">
        <v>6</v>
      </c>
      <c r="W76" t="inlineStr">
        <is>
          <t>2005-09-06</t>
        </is>
      </c>
      <c r="X76" t="inlineStr">
        <is>
          <t>2005-09-06</t>
        </is>
      </c>
      <c r="Y76" t="inlineStr">
        <is>
          <t>1997-10-17</t>
        </is>
      </c>
      <c r="Z76" t="inlineStr">
        <is>
          <t>1997-10-17</t>
        </is>
      </c>
      <c r="AA76" t="n">
        <v>183</v>
      </c>
      <c r="AB76" t="n">
        <v>147</v>
      </c>
      <c r="AC76" t="n">
        <v>686</v>
      </c>
      <c r="AD76" t="n">
        <v>2</v>
      </c>
      <c r="AE76" t="n">
        <v>7</v>
      </c>
      <c r="AF76" t="n">
        <v>11</v>
      </c>
      <c r="AG76" t="n">
        <v>53</v>
      </c>
      <c r="AH76" t="n">
        <v>1</v>
      </c>
      <c r="AI76" t="n">
        <v>11</v>
      </c>
      <c r="AJ76" t="n">
        <v>1</v>
      </c>
      <c r="AK76" t="n">
        <v>10</v>
      </c>
      <c r="AL76" t="n">
        <v>2</v>
      </c>
      <c r="AM76" t="n">
        <v>17</v>
      </c>
      <c r="AN76" t="n">
        <v>1</v>
      </c>
      <c r="AO76" t="n">
        <v>5</v>
      </c>
      <c r="AP76" t="n">
        <v>7</v>
      </c>
      <c r="AQ76" t="n">
        <v>19</v>
      </c>
      <c r="AR76" t="inlineStr">
        <is>
          <t>No</t>
        </is>
      </c>
      <c r="AS76" t="inlineStr">
        <is>
          <t>Yes</t>
        </is>
      </c>
      <c r="AT76">
        <f>HYPERLINK("http://catalog.hathitrust.org/Record/004423043","HathiTrust Record")</f>
        <v/>
      </c>
      <c r="AU76">
        <f>HYPERLINK("https://creighton-primo.hosted.exlibrisgroup.com/primo-explore/search?tab=default_tab&amp;search_scope=EVERYTHING&amp;vid=01CRU&amp;lang=en_US&amp;offset=0&amp;query=any,contains,991003884279702656","Catalog Record")</f>
        <v/>
      </c>
      <c r="AV76">
        <f>HYPERLINK("http://www.worldcat.org/oclc/1733598","WorldCat Record")</f>
        <v/>
      </c>
      <c r="AW76" t="inlineStr">
        <is>
          <t>501469:eng</t>
        </is>
      </c>
      <c r="AX76" t="inlineStr">
        <is>
          <t>1733598</t>
        </is>
      </c>
      <c r="AY76" t="inlineStr">
        <is>
          <t>991003884279702656</t>
        </is>
      </c>
      <c r="AZ76" t="inlineStr">
        <is>
          <t>991003884279702656</t>
        </is>
      </c>
      <c r="BA76" t="inlineStr">
        <is>
          <t>2256768860002656</t>
        </is>
      </c>
      <c r="BB76" t="inlineStr">
        <is>
          <t>BOOK</t>
        </is>
      </c>
      <c r="BD76" t="inlineStr">
        <is>
          <t>9780837184517</t>
        </is>
      </c>
      <c r="BE76" t="inlineStr">
        <is>
          <t>32285003256350</t>
        </is>
      </c>
      <c r="BF76" t="inlineStr">
        <is>
          <t>893343165</t>
        </is>
      </c>
    </row>
    <row r="77">
      <c r="B77" t="inlineStr">
        <is>
          <t>CURAL</t>
        </is>
      </c>
      <c r="C77" t="inlineStr">
        <is>
          <t>SHELVES</t>
        </is>
      </c>
      <c r="D77" t="inlineStr">
        <is>
          <t>KBL0 .S34</t>
        </is>
      </c>
      <c r="E77" t="inlineStr">
        <is>
          <t>0                      KBL0000000S  34</t>
        </is>
      </c>
      <c r="F77" t="inlineStr">
        <is>
          <t>An introduction to Islamic law / by Joseph Schacht.</t>
        </is>
      </c>
      <c r="H77" t="inlineStr">
        <is>
          <t>No</t>
        </is>
      </c>
      <c r="I77" t="inlineStr">
        <is>
          <t>1</t>
        </is>
      </c>
      <c r="J77" t="inlineStr">
        <is>
          <t>No</t>
        </is>
      </c>
      <c r="K77" t="inlineStr">
        <is>
          <t>No</t>
        </is>
      </c>
      <c r="L77" t="inlineStr">
        <is>
          <t>0</t>
        </is>
      </c>
      <c r="M77" t="inlineStr">
        <is>
          <t>Schacht, Joseph, 1902-1969.</t>
        </is>
      </c>
      <c r="N77" t="inlineStr">
        <is>
          <t>Oxford : Clarendon Press, 1964.</t>
        </is>
      </c>
      <c r="O77" t="inlineStr">
        <is>
          <t>1964</t>
        </is>
      </c>
      <c r="Q77" t="inlineStr">
        <is>
          <t>eng</t>
        </is>
      </c>
      <c r="R77" t="inlineStr">
        <is>
          <t>enk</t>
        </is>
      </c>
      <c r="T77" t="inlineStr">
        <is>
          <t xml:space="preserve">KB </t>
        </is>
      </c>
      <c r="U77" t="n">
        <v>8</v>
      </c>
      <c r="V77" t="n">
        <v>8</v>
      </c>
      <c r="W77" t="inlineStr">
        <is>
          <t>2009-12-01</t>
        </is>
      </c>
      <c r="X77" t="inlineStr">
        <is>
          <t>2009-12-01</t>
        </is>
      </c>
      <c r="Y77" t="inlineStr">
        <is>
          <t>1997-04-21</t>
        </is>
      </c>
      <c r="Z77" t="inlineStr">
        <is>
          <t>1997-04-21</t>
        </is>
      </c>
      <c r="AA77" t="n">
        <v>732</v>
      </c>
      <c r="AB77" t="n">
        <v>545</v>
      </c>
      <c r="AC77" t="n">
        <v>790</v>
      </c>
      <c r="AD77" t="n">
        <v>3</v>
      </c>
      <c r="AE77" t="n">
        <v>5</v>
      </c>
      <c r="AF77" t="n">
        <v>30</v>
      </c>
      <c r="AG77" t="n">
        <v>55</v>
      </c>
      <c r="AH77" t="n">
        <v>9</v>
      </c>
      <c r="AI77" t="n">
        <v>15</v>
      </c>
      <c r="AJ77" t="n">
        <v>4</v>
      </c>
      <c r="AK77" t="n">
        <v>7</v>
      </c>
      <c r="AL77" t="n">
        <v>15</v>
      </c>
      <c r="AM77" t="n">
        <v>24</v>
      </c>
      <c r="AN77" t="n">
        <v>2</v>
      </c>
      <c r="AO77" t="n">
        <v>3</v>
      </c>
      <c r="AP77" t="n">
        <v>8</v>
      </c>
      <c r="AQ77" t="n">
        <v>18</v>
      </c>
      <c r="AR77" t="inlineStr">
        <is>
          <t>No</t>
        </is>
      </c>
      <c r="AS77" t="inlineStr">
        <is>
          <t>Yes</t>
        </is>
      </c>
      <c r="AT77">
        <f>HYPERLINK("http://catalog.hathitrust.org/Record/001958072","HathiTrust Record")</f>
        <v/>
      </c>
      <c r="AU77">
        <f>HYPERLINK("https://creighton-primo.hosted.exlibrisgroup.com/primo-explore/search?tab=default_tab&amp;search_scope=EVERYTHING&amp;vid=01CRU&amp;lang=en_US&amp;offset=0&amp;query=any,contains,991002707819702656","Catalog Record")</f>
        <v/>
      </c>
      <c r="AV77">
        <f>HYPERLINK("http://www.worldcat.org/oclc/407814","WorldCat Record")</f>
        <v/>
      </c>
      <c r="AW77" t="inlineStr">
        <is>
          <t>884639:eng</t>
        </is>
      </c>
      <c r="AX77" t="inlineStr">
        <is>
          <t>407814</t>
        </is>
      </c>
      <c r="AY77" t="inlineStr">
        <is>
          <t>991002707819702656</t>
        </is>
      </c>
      <c r="AZ77" t="inlineStr">
        <is>
          <t>991002707819702656</t>
        </is>
      </c>
      <c r="BA77" t="inlineStr">
        <is>
          <t>2261597880002656</t>
        </is>
      </c>
      <c r="BB77" t="inlineStr">
        <is>
          <t>BOOK</t>
        </is>
      </c>
      <c r="BE77" t="inlineStr">
        <is>
          <t>32285002557162</t>
        </is>
      </c>
      <c r="BF77" t="inlineStr">
        <is>
          <t>893892878</t>
        </is>
      </c>
    </row>
    <row r="78">
      <c r="B78" t="inlineStr">
        <is>
          <t>CURAL</t>
        </is>
      </c>
      <c r="C78" t="inlineStr">
        <is>
          <t>SHELVES</t>
        </is>
      </c>
      <c r="D78" t="inlineStr">
        <is>
          <t>KBM0 .A67</t>
        </is>
      </c>
      <c r="E78" t="inlineStr">
        <is>
          <t>0                      KBM0000000A  67</t>
        </is>
      </c>
      <c r="F78" t="inlineStr">
        <is>
          <t>The Jewish law of divorce : according to Bible and Talmud with some reference to its development in post-Talmudic times.</t>
        </is>
      </c>
      <c r="H78" t="inlineStr">
        <is>
          <t>No</t>
        </is>
      </c>
      <c r="I78" t="inlineStr">
        <is>
          <t>1</t>
        </is>
      </c>
      <c r="J78" t="inlineStr">
        <is>
          <t>No</t>
        </is>
      </c>
      <c r="K78" t="inlineStr">
        <is>
          <t>No</t>
        </is>
      </c>
      <c r="L78" t="inlineStr">
        <is>
          <t>0</t>
        </is>
      </c>
      <c r="M78" t="inlineStr">
        <is>
          <t>Amram, David Werner, 1866-1939.</t>
        </is>
      </c>
      <c r="N78" t="inlineStr">
        <is>
          <t>New York : Hermon Press, [1968]</t>
        </is>
      </c>
      <c r="O78" t="inlineStr">
        <is>
          <t>1968</t>
        </is>
      </c>
      <c r="Q78" t="inlineStr">
        <is>
          <t>eng</t>
        </is>
      </c>
      <c r="R78" t="inlineStr">
        <is>
          <t>nyu</t>
        </is>
      </c>
      <c r="T78" t="inlineStr">
        <is>
          <t>KBM</t>
        </is>
      </c>
      <c r="U78" t="n">
        <v>4</v>
      </c>
      <c r="V78" t="n">
        <v>4</v>
      </c>
      <c r="W78" t="inlineStr">
        <is>
          <t>2002-03-19</t>
        </is>
      </c>
      <c r="X78" t="inlineStr">
        <is>
          <t>2002-03-19</t>
        </is>
      </c>
      <c r="Y78" t="inlineStr">
        <is>
          <t>1991-07-29</t>
        </is>
      </c>
      <c r="Z78" t="inlineStr">
        <is>
          <t>1991-07-29</t>
        </is>
      </c>
      <c r="AA78" t="n">
        <v>167</v>
      </c>
      <c r="AB78" t="n">
        <v>143</v>
      </c>
      <c r="AC78" t="n">
        <v>550</v>
      </c>
      <c r="AD78" t="n">
        <v>1</v>
      </c>
      <c r="AE78" t="n">
        <v>7</v>
      </c>
      <c r="AF78" t="n">
        <v>11</v>
      </c>
      <c r="AG78" t="n">
        <v>41</v>
      </c>
      <c r="AH78" t="n">
        <v>0</v>
      </c>
      <c r="AI78" t="n">
        <v>7</v>
      </c>
      <c r="AJ78" t="n">
        <v>2</v>
      </c>
      <c r="AK78" t="n">
        <v>4</v>
      </c>
      <c r="AL78" t="n">
        <v>2</v>
      </c>
      <c r="AM78" t="n">
        <v>9</v>
      </c>
      <c r="AN78" t="n">
        <v>0</v>
      </c>
      <c r="AO78" t="n">
        <v>4</v>
      </c>
      <c r="AP78" t="n">
        <v>8</v>
      </c>
      <c r="AQ78" t="n">
        <v>21</v>
      </c>
      <c r="AR78" t="inlineStr">
        <is>
          <t>No</t>
        </is>
      </c>
      <c r="AS78" t="inlineStr">
        <is>
          <t>No</t>
        </is>
      </c>
      <c r="AU78">
        <f>HYPERLINK("https://creighton-primo.hosted.exlibrisgroup.com/primo-explore/search?tab=default_tab&amp;search_scope=EVERYTHING&amp;vid=01CRU&amp;lang=en_US&amp;offset=0&amp;query=any,contains,991002790059702656","Catalog Record")</f>
        <v/>
      </c>
      <c r="AV78">
        <f>HYPERLINK("http://www.worldcat.org/oclc/442953","WorldCat Record")</f>
        <v/>
      </c>
      <c r="AW78" t="inlineStr">
        <is>
          <t>4917811065:eng</t>
        </is>
      </c>
      <c r="AX78" t="inlineStr">
        <is>
          <t>442953</t>
        </is>
      </c>
      <c r="AY78" t="inlineStr">
        <is>
          <t>991002790059702656</t>
        </is>
      </c>
      <c r="AZ78" t="inlineStr">
        <is>
          <t>991002790059702656</t>
        </is>
      </c>
      <c r="BA78" t="inlineStr">
        <is>
          <t>2266303800002656</t>
        </is>
      </c>
      <c r="BB78" t="inlineStr">
        <is>
          <t>BOOK</t>
        </is>
      </c>
      <c r="BE78" t="inlineStr">
        <is>
          <t>32285000679513</t>
        </is>
      </c>
      <c r="BF78" t="inlineStr">
        <is>
          <t>893704524</t>
        </is>
      </c>
    </row>
    <row r="79">
      <c r="B79" t="inlineStr">
        <is>
          <t>CURAL</t>
        </is>
      </c>
      <c r="C79" t="inlineStr">
        <is>
          <t>SHELVES</t>
        </is>
      </c>
      <c r="D79" t="inlineStr">
        <is>
          <t>BT 10 G7 v.203</t>
        </is>
      </c>
      <c r="E79" t="inlineStr">
        <is>
          <t>8BT 10 G7 V.203</t>
        </is>
      </c>
      <c r="F79" t="inlineStr">
        <is>
          <t>Pope Gregory II on divorce and remarriage : a canonical-historical investigation of the letter Desiderabilem mihi, with special reference to the response Quod proposuisti / William Kelly.</t>
        </is>
      </c>
      <c r="G79" t="inlineStr">
        <is>
          <t>V.203</t>
        </is>
      </c>
      <c r="H79" t="inlineStr">
        <is>
          <t>No</t>
        </is>
      </c>
      <c r="I79" t="inlineStr">
        <is>
          <t>1</t>
        </is>
      </c>
      <c r="J79" t="inlineStr">
        <is>
          <t>No</t>
        </is>
      </c>
      <c r="K79" t="inlineStr">
        <is>
          <t>No</t>
        </is>
      </c>
      <c r="L79" t="inlineStr">
        <is>
          <t>0</t>
        </is>
      </c>
      <c r="M79" t="inlineStr">
        <is>
          <t>Kelly, William, S.J.</t>
        </is>
      </c>
      <c r="N79" t="inlineStr">
        <is>
          <t>Roma : Universitá gregoriana, 1976.</t>
        </is>
      </c>
      <c r="O79" t="inlineStr">
        <is>
          <t>1976</t>
        </is>
      </c>
      <c r="Q79" t="inlineStr">
        <is>
          <t>eng</t>
        </is>
      </c>
      <c r="R79" t="inlineStr">
        <is>
          <t xml:space="preserve">it </t>
        </is>
      </c>
      <c r="S79" t="inlineStr">
        <is>
          <t>Analecta Gregoriana ; v. 203 : Sectio Facultatis iuris canonici ; Sectio B,n. 37</t>
        </is>
      </c>
      <c r="T79" t="inlineStr">
        <is>
          <t>KBU</t>
        </is>
      </c>
      <c r="U79" t="n">
        <v>6</v>
      </c>
      <c r="V79" t="n">
        <v>6</v>
      </c>
      <c r="W79" t="inlineStr">
        <is>
          <t>2000-02-13</t>
        </is>
      </c>
      <c r="X79" t="inlineStr">
        <is>
          <t>2000-02-13</t>
        </is>
      </c>
      <c r="Y79" t="inlineStr">
        <is>
          <t>1991-11-07</t>
        </is>
      </c>
      <c r="Z79" t="inlineStr">
        <is>
          <t>1991-11-07</t>
        </is>
      </c>
      <c r="AA79" t="n">
        <v>129</v>
      </c>
      <c r="AB79" t="n">
        <v>105</v>
      </c>
      <c r="AC79" t="n">
        <v>105</v>
      </c>
      <c r="AD79" t="n">
        <v>1</v>
      </c>
      <c r="AE79" t="n">
        <v>1</v>
      </c>
      <c r="AF79" t="n">
        <v>8</v>
      </c>
      <c r="AG79" t="n">
        <v>8</v>
      </c>
      <c r="AH79" t="n">
        <v>0</v>
      </c>
      <c r="AI79" t="n">
        <v>0</v>
      </c>
      <c r="AJ79" t="n">
        <v>2</v>
      </c>
      <c r="AK79" t="n">
        <v>2</v>
      </c>
      <c r="AL79" t="n">
        <v>6</v>
      </c>
      <c r="AM79" t="n">
        <v>6</v>
      </c>
      <c r="AN79" t="n">
        <v>0</v>
      </c>
      <c r="AO79" t="n">
        <v>0</v>
      </c>
      <c r="AP79" t="n">
        <v>0</v>
      </c>
      <c r="AQ79" t="n">
        <v>0</v>
      </c>
      <c r="AR79" t="inlineStr">
        <is>
          <t>No</t>
        </is>
      </c>
      <c r="AS79" t="inlineStr">
        <is>
          <t>No</t>
        </is>
      </c>
      <c r="AU79">
        <f>HYPERLINK("https://creighton-primo.hosted.exlibrisgroup.com/primo-explore/search?tab=default_tab&amp;search_scope=EVERYTHING&amp;vid=01CRU&amp;lang=en_US&amp;offset=0&amp;query=any,contains,991004303139702656","Catalog Record")</f>
        <v/>
      </c>
      <c r="AV79">
        <f>HYPERLINK("http://www.worldcat.org/oclc/2973823","WorldCat Record")</f>
        <v/>
      </c>
      <c r="AW79" t="inlineStr">
        <is>
          <t>891263083:eng</t>
        </is>
      </c>
      <c r="AX79" t="inlineStr">
        <is>
          <t>2973823</t>
        </is>
      </c>
      <c r="AY79" t="inlineStr">
        <is>
          <t>991004303139702656</t>
        </is>
      </c>
      <c r="AZ79" t="inlineStr">
        <is>
          <t>991004303139702656</t>
        </is>
      </c>
      <c r="BA79" t="inlineStr">
        <is>
          <t>2257061770002656</t>
        </is>
      </c>
      <c r="BB79" t="inlineStr">
        <is>
          <t>BOOK</t>
        </is>
      </c>
      <c r="BE79" t="inlineStr">
        <is>
          <t>32285000685874</t>
        </is>
      </c>
      <c r="BF79" t="inlineStr">
        <is>
          <t>893331424</t>
        </is>
      </c>
    </row>
    <row r="80">
      <c r="B80" t="inlineStr">
        <is>
          <t>CURAL</t>
        </is>
      </c>
      <c r="C80" t="inlineStr">
        <is>
          <t>SHELVES</t>
        </is>
      </c>
      <c r="D80" t="inlineStr">
        <is>
          <t>KD1289 .P38</t>
        </is>
      </c>
      <c r="E80" t="inlineStr">
        <is>
          <t>0                      KD 1289000P  38</t>
        </is>
      </c>
      <c r="F80" t="inlineStr">
        <is>
          <t>Copyright in historical perspective.</t>
        </is>
      </c>
      <c r="H80" t="inlineStr">
        <is>
          <t>No</t>
        </is>
      </c>
      <c r="I80" t="inlineStr">
        <is>
          <t>1</t>
        </is>
      </c>
      <c r="J80" t="inlineStr">
        <is>
          <t>No</t>
        </is>
      </c>
      <c r="K80" t="inlineStr">
        <is>
          <t>No</t>
        </is>
      </c>
      <c r="L80" t="inlineStr">
        <is>
          <t>0</t>
        </is>
      </c>
      <c r="M80" t="inlineStr">
        <is>
          <t>Patterson, L. Ray (Lyman Ray)</t>
        </is>
      </c>
      <c r="N80" t="inlineStr">
        <is>
          <t>Nashville, Vanderbilt University Press, 1968.</t>
        </is>
      </c>
      <c r="O80" t="inlineStr">
        <is>
          <t>1968</t>
        </is>
      </c>
      <c r="Q80" t="inlineStr">
        <is>
          <t>eng</t>
        </is>
      </c>
      <c r="R80" t="inlineStr">
        <is>
          <t>tnu</t>
        </is>
      </c>
      <c r="T80" t="inlineStr">
        <is>
          <t xml:space="preserve">KD </t>
        </is>
      </c>
      <c r="U80" t="n">
        <v>8</v>
      </c>
      <c r="V80" t="n">
        <v>8</v>
      </c>
      <c r="W80" t="inlineStr">
        <is>
          <t>2008-10-21</t>
        </is>
      </c>
      <c r="X80" t="inlineStr">
        <is>
          <t>2008-10-21</t>
        </is>
      </c>
      <c r="Y80" t="inlineStr">
        <is>
          <t>1997-04-09</t>
        </is>
      </c>
      <c r="Z80" t="inlineStr">
        <is>
          <t>1997-04-09</t>
        </is>
      </c>
      <c r="AA80" t="n">
        <v>601</v>
      </c>
      <c r="AB80" t="n">
        <v>499</v>
      </c>
      <c r="AC80" t="n">
        <v>1133</v>
      </c>
      <c r="AD80" t="n">
        <v>3</v>
      </c>
      <c r="AE80" t="n">
        <v>6</v>
      </c>
      <c r="AF80" t="n">
        <v>30</v>
      </c>
      <c r="AG80" t="n">
        <v>45</v>
      </c>
      <c r="AH80" t="n">
        <v>5</v>
      </c>
      <c r="AI80" t="n">
        <v>15</v>
      </c>
      <c r="AJ80" t="n">
        <v>1</v>
      </c>
      <c r="AK80" t="n">
        <v>3</v>
      </c>
      <c r="AL80" t="n">
        <v>7</v>
      </c>
      <c r="AM80" t="n">
        <v>12</v>
      </c>
      <c r="AN80" t="n">
        <v>1</v>
      </c>
      <c r="AO80" t="n">
        <v>4</v>
      </c>
      <c r="AP80" t="n">
        <v>16</v>
      </c>
      <c r="AQ80" t="n">
        <v>16</v>
      </c>
      <c r="AR80" t="inlineStr">
        <is>
          <t>No</t>
        </is>
      </c>
      <c r="AS80" t="inlineStr">
        <is>
          <t>No</t>
        </is>
      </c>
      <c r="AU80">
        <f>HYPERLINK("https://creighton-primo.hosted.exlibrisgroup.com/primo-explore/search?tab=default_tab&amp;search_scope=EVERYTHING&amp;vid=01CRU&amp;lang=en_US&amp;offset=0&amp;query=any,contains,991002788239702656","Catalog Record")</f>
        <v/>
      </c>
      <c r="AV80">
        <f>HYPERLINK("http://www.worldcat.org/oclc/442447","WorldCat Record")</f>
        <v/>
      </c>
      <c r="AW80" t="inlineStr">
        <is>
          <t>1571794:eng</t>
        </is>
      </c>
      <c r="AX80" t="inlineStr">
        <is>
          <t>442447</t>
        </is>
      </c>
      <c r="AY80" t="inlineStr">
        <is>
          <t>991002788239702656</t>
        </is>
      </c>
      <c r="AZ80" t="inlineStr">
        <is>
          <t>991002788239702656</t>
        </is>
      </c>
      <c r="BA80" t="inlineStr">
        <is>
          <t>2256041930002656</t>
        </is>
      </c>
      <c r="BB80" t="inlineStr">
        <is>
          <t>BOOK</t>
        </is>
      </c>
      <c r="BE80" t="inlineStr">
        <is>
          <t>32285002522943</t>
        </is>
      </c>
      <c r="BF80" t="inlineStr">
        <is>
          <t>893886724</t>
        </is>
      </c>
    </row>
    <row r="81">
      <c r="B81" t="inlineStr">
        <is>
          <t>CURAL</t>
        </is>
      </c>
      <c r="C81" t="inlineStr">
        <is>
          <t>SHELVES</t>
        </is>
      </c>
      <c r="D81" t="inlineStr">
        <is>
          <t>KD1300 .C38</t>
        </is>
      </c>
      <c r="E81" t="inlineStr">
        <is>
          <t>0                      KD 1300000C  38</t>
        </is>
      </c>
      <c r="F81" t="inlineStr">
        <is>
          <t>A handbook of copyright in British publishing practice [by] J. M. Cavendish.</t>
        </is>
      </c>
      <c r="H81" t="inlineStr">
        <is>
          <t>No</t>
        </is>
      </c>
      <c r="I81" t="inlineStr">
        <is>
          <t>1</t>
        </is>
      </c>
      <c r="J81" t="inlineStr">
        <is>
          <t>No</t>
        </is>
      </c>
      <c r="K81" t="inlineStr">
        <is>
          <t>No</t>
        </is>
      </c>
      <c r="L81" t="inlineStr">
        <is>
          <t>0</t>
        </is>
      </c>
      <c r="M81" t="inlineStr">
        <is>
          <t>Cavendish, J. M.</t>
        </is>
      </c>
      <c r="N81" t="inlineStr">
        <is>
          <t>London, Cassell [1974]</t>
        </is>
      </c>
      <c r="O81" t="inlineStr">
        <is>
          <t>1974</t>
        </is>
      </c>
      <c r="Q81" t="inlineStr">
        <is>
          <t>eng</t>
        </is>
      </c>
      <c r="R81" t="inlineStr">
        <is>
          <t>enk</t>
        </is>
      </c>
      <c r="T81" t="inlineStr">
        <is>
          <t xml:space="preserve">KD </t>
        </is>
      </c>
      <c r="U81" t="n">
        <v>1</v>
      </c>
      <c r="V81" t="n">
        <v>1</v>
      </c>
      <c r="W81" t="inlineStr">
        <is>
          <t>2008-10-21</t>
        </is>
      </c>
      <c r="X81" t="inlineStr">
        <is>
          <t>2008-10-21</t>
        </is>
      </c>
      <c r="Y81" t="inlineStr">
        <is>
          <t>1997-04-09</t>
        </is>
      </c>
      <c r="Z81" t="inlineStr">
        <is>
          <t>1997-04-09</t>
        </is>
      </c>
      <c r="AA81" t="n">
        <v>208</v>
      </c>
      <c r="AB81" t="n">
        <v>89</v>
      </c>
      <c r="AC81" t="n">
        <v>140</v>
      </c>
      <c r="AD81" t="n">
        <v>3</v>
      </c>
      <c r="AE81" t="n">
        <v>3</v>
      </c>
      <c r="AF81" t="n">
        <v>5</v>
      </c>
      <c r="AG81" t="n">
        <v>8</v>
      </c>
      <c r="AH81" t="n">
        <v>0</v>
      </c>
      <c r="AI81" t="n">
        <v>0</v>
      </c>
      <c r="AJ81" t="n">
        <v>0</v>
      </c>
      <c r="AK81" t="n">
        <v>1</v>
      </c>
      <c r="AL81" t="n">
        <v>0</v>
      </c>
      <c r="AM81" t="n">
        <v>0</v>
      </c>
      <c r="AN81" t="n">
        <v>1</v>
      </c>
      <c r="AO81" t="n">
        <v>1</v>
      </c>
      <c r="AP81" t="n">
        <v>4</v>
      </c>
      <c r="AQ81" t="n">
        <v>6</v>
      </c>
      <c r="AR81" t="inlineStr">
        <is>
          <t>No</t>
        </is>
      </c>
      <c r="AS81" t="inlineStr">
        <is>
          <t>Yes</t>
        </is>
      </c>
      <c r="AT81">
        <f>HYPERLINK("http://catalog.hathitrust.org/Record/001162203","HathiTrust Record")</f>
        <v/>
      </c>
      <c r="AU81">
        <f>HYPERLINK("https://creighton-primo.hosted.exlibrisgroup.com/primo-explore/search?tab=default_tab&amp;search_scope=EVERYTHING&amp;vid=01CRU&amp;lang=en_US&amp;offset=0&amp;query=any,contains,991003445609702656","Catalog Record")</f>
        <v/>
      </c>
      <c r="AV81">
        <f>HYPERLINK("http://www.worldcat.org/oclc/980828","WorldCat Record")</f>
        <v/>
      </c>
      <c r="AW81" t="inlineStr">
        <is>
          <t>1945751:eng</t>
        </is>
      </c>
      <c r="AX81" t="inlineStr">
        <is>
          <t>980828</t>
        </is>
      </c>
      <c r="AY81" t="inlineStr">
        <is>
          <t>991003445609702656</t>
        </is>
      </c>
      <c r="AZ81" t="inlineStr">
        <is>
          <t>991003445609702656</t>
        </is>
      </c>
      <c r="BA81" t="inlineStr">
        <is>
          <t>2271115340002656</t>
        </is>
      </c>
      <c r="BB81" t="inlineStr">
        <is>
          <t>BOOK</t>
        </is>
      </c>
      <c r="BD81" t="inlineStr">
        <is>
          <t>9780304291922</t>
        </is>
      </c>
      <c r="BE81" t="inlineStr">
        <is>
          <t>32285002522950</t>
        </is>
      </c>
      <c r="BF81" t="inlineStr">
        <is>
          <t>893617336</t>
        </is>
      </c>
    </row>
    <row r="82">
      <c r="B82" t="inlineStr">
        <is>
          <t>CURAL</t>
        </is>
      </c>
      <c r="C82" t="inlineStr">
        <is>
          <t>SHELVES</t>
        </is>
      </c>
      <c r="D82" t="inlineStr">
        <is>
          <t>KD3395 .S57 1984</t>
        </is>
      </c>
      <c r="E82" t="inlineStr">
        <is>
          <t>0                      KD 3395000S  57          1984</t>
        </is>
      </c>
      <c r="F82" t="inlineStr">
        <is>
          <t>Law, ethics, and medicine : studies in medical law / by P.D.G. Skegg.</t>
        </is>
      </c>
      <c r="H82" t="inlineStr">
        <is>
          <t>No</t>
        </is>
      </c>
      <c r="I82" t="inlineStr">
        <is>
          <t>1</t>
        </is>
      </c>
      <c r="J82" t="inlineStr">
        <is>
          <t>No</t>
        </is>
      </c>
      <c r="K82" t="inlineStr">
        <is>
          <t>No</t>
        </is>
      </c>
      <c r="L82" t="inlineStr">
        <is>
          <t>0</t>
        </is>
      </c>
      <c r="M82" t="inlineStr">
        <is>
          <t>Skegg, P. D. G.</t>
        </is>
      </c>
      <c r="N82" t="inlineStr">
        <is>
          <t>Oxford : Clarendon Press ; Oxford ; New York : Oxford University Press, 1984.</t>
        </is>
      </c>
      <c r="O82" t="inlineStr">
        <is>
          <t>1984</t>
        </is>
      </c>
      <c r="Q82" t="inlineStr">
        <is>
          <t>eng</t>
        </is>
      </c>
      <c r="R82" t="inlineStr">
        <is>
          <t>enk</t>
        </is>
      </c>
      <c r="T82" t="inlineStr">
        <is>
          <t xml:space="preserve">KD </t>
        </is>
      </c>
      <c r="U82" t="n">
        <v>5</v>
      </c>
      <c r="V82" t="n">
        <v>5</v>
      </c>
      <c r="W82" t="inlineStr">
        <is>
          <t>2002-04-15</t>
        </is>
      </c>
      <c r="X82" t="inlineStr">
        <is>
          <t>2002-04-15</t>
        </is>
      </c>
      <c r="Y82" t="inlineStr">
        <is>
          <t>1991-12-10</t>
        </is>
      </c>
      <c r="Z82" t="inlineStr">
        <is>
          <t>1991-12-10</t>
        </is>
      </c>
      <c r="AA82" t="n">
        <v>458</v>
      </c>
      <c r="AB82" t="n">
        <v>288</v>
      </c>
      <c r="AC82" t="n">
        <v>300</v>
      </c>
      <c r="AD82" t="n">
        <v>4</v>
      </c>
      <c r="AE82" t="n">
        <v>4</v>
      </c>
      <c r="AF82" t="n">
        <v>22</v>
      </c>
      <c r="AG82" t="n">
        <v>22</v>
      </c>
      <c r="AH82" t="n">
        <v>0</v>
      </c>
      <c r="AI82" t="n">
        <v>0</v>
      </c>
      <c r="AJ82" t="n">
        <v>2</v>
      </c>
      <c r="AK82" t="n">
        <v>2</v>
      </c>
      <c r="AL82" t="n">
        <v>5</v>
      </c>
      <c r="AM82" t="n">
        <v>5</v>
      </c>
      <c r="AN82" t="n">
        <v>1</v>
      </c>
      <c r="AO82" t="n">
        <v>1</v>
      </c>
      <c r="AP82" t="n">
        <v>16</v>
      </c>
      <c r="AQ82" t="n">
        <v>16</v>
      </c>
      <c r="AR82" t="inlineStr">
        <is>
          <t>No</t>
        </is>
      </c>
      <c r="AS82" t="inlineStr">
        <is>
          <t>Yes</t>
        </is>
      </c>
      <c r="AT82">
        <f>HYPERLINK("http://catalog.hathitrust.org/Record/000458078","HathiTrust Record")</f>
        <v/>
      </c>
      <c r="AU82">
        <f>HYPERLINK("https://creighton-primo.hosted.exlibrisgroup.com/primo-explore/search?tab=default_tab&amp;search_scope=EVERYTHING&amp;vid=01CRU&amp;lang=en_US&amp;offset=0&amp;query=any,contains,991000456459702656","Catalog Record")</f>
        <v/>
      </c>
      <c r="AV82">
        <f>HYPERLINK("http://www.worldcat.org/oclc/10914039","WorldCat Record")</f>
        <v/>
      </c>
      <c r="AW82" t="inlineStr">
        <is>
          <t>836670308:eng</t>
        </is>
      </c>
      <c r="AX82" t="inlineStr">
        <is>
          <t>10914039</t>
        </is>
      </c>
      <c r="AY82" t="inlineStr">
        <is>
          <t>991000456459702656</t>
        </is>
      </c>
      <c r="AZ82" t="inlineStr">
        <is>
          <t>991000456459702656</t>
        </is>
      </c>
      <c r="BA82" t="inlineStr">
        <is>
          <t>2256461570002656</t>
        </is>
      </c>
      <c r="BB82" t="inlineStr">
        <is>
          <t>BOOK</t>
        </is>
      </c>
      <c r="BD82" t="inlineStr">
        <is>
          <t>9780198253655</t>
        </is>
      </c>
      <c r="BE82" t="inlineStr">
        <is>
          <t>32285000719970</t>
        </is>
      </c>
      <c r="BF82" t="inlineStr">
        <is>
          <t>893425723</t>
        </is>
      </c>
    </row>
    <row r="83">
      <c r="B83" t="inlineStr">
        <is>
          <t>CURAL</t>
        </is>
      </c>
      <c r="C83" t="inlineStr">
        <is>
          <t>SHELVES</t>
        </is>
      </c>
      <c r="D83" t="inlineStr">
        <is>
          <t>KD370 .B57</t>
        </is>
      </c>
      <c r="E83" t="inlineStr">
        <is>
          <t>0                      KD 0370000B  57</t>
        </is>
      </c>
      <c r="F83" t="inlineStr">
        <is>
          <t>Famous trials of history / the Rt. Honourable the Earl of Birkenhead.</t>
        </is>
      </c>
      <c r="H83" t="inlineStr">
        <is>
          <t>No</t>
        </is>
      </c>
      <c r="I83" t="inlineStr">
        <is>
          <t>1</t>
        </is>
      </c>
      <c r="J83" t="inlineStr">
        <is>
          <t>No</t>
        </is>
      </c>
      <c r="K83" t="inlineStr">
        <is>
          <t>Yes</t>
        </is>
      </c>
      <c r="L83" t="inlineStr">
        <is>
          <t>0</t>
        </is>
      </c>
      <c r="M83" t="inlineStr">
        <is>
          <t>Birkenhead, Frederick Edwin Smith, Earl of, 1872-1930.</t>
        </is>
      </c>
      <c r="N83" t="inlineStr">
        <is>
          <t>Garden City, N.Y. : Garden City Publishing Co., c1926.</t>
        </is>
      </c>
      <c r="O83" t="inlineStr">
        <is>
          <t>1926</t>
        </is>
      </c>
      <c r="Q83" t="inlineStr">
        <is>
          <t>eng</t>
        </is>
      </c>
      <c r="R83" t="inlineStr">
        <is>
          <t>___</t>
        </is>
      </c>
      <c r="S83" t="inlineStr">
        <is>
          <t>The star series</t>
        </is>
      </c>
      <c r="T83" t="inlineStr">
        <is>
          <t xml:space="preserve">KD </t>
        </is>
      </c>
      <c r="U83" t="n">
        <v>2</v>
      </c>
      <c r="V83" t="n">
        <v>2</v>
      </c>
      <c r="W83" t="inlineStr">
        <is>
          <t>2008-02-19</t>
        </is>
      </c>
      <c r="X83" t="inlineStr">
        <is>
          <t>2008-02-19</t>
        </is>
      </c>
      <c r="Y83" t="inlineStr">
        <is>
          <t>1992-06-15</t>
        </is>
      </c>
      <c r="Z83" t="inlineStr">
        <is>
          <t>1992-06-15</t>
        </is>
      </c>
      <c r="AA83" t="n">
        <v>512</v>
      </c>
      <c r="AB83" t="n">
        <v>468</v>
      </c>
      <c r="AC83" t="n">
        <v>744</v>
      </c>
      <c r="AD83" t="n">
        <v>2</v>
      </c>
      <c r="AE83" t="n">
        <v>7</v>
      </c>
      <c r="AF83" t="n">
        <v>29</v>
      </c>
      <c r="AG83" t="n">
        <v>45</v>
      </c>
      <c r="AH83" t="n">
        <v>7</v>
      </c>
      <c r="AI83" t="n">
        <v>8</v>
      </c>
      <c r="AJ83" t="n">
        <v>4</v>
      </c>
      <c r="AK83" t="n">
        <v>5</v>
      </c>
      <c r="AL83" t="n">
        <v>10</v>
      </c>
      <c r="AM83" t="n">
        <v>14</v>
      </c>
      <c r="AN83" t="n">
        <v>1</v>
      </c>
      <c r="AO83" t="n">
        <v>3</v>
      </c>
      <c r="AP83" t="n">
        <v>12</v>
      </c>
      <c r="AQ83" t="n">
        <v>20</v>
      </c>
      <c r="AR83" t="inlineStr">
        <is>
          <t>No</t>
        </is>
      </c>
      <c r="AS83" t="inlineStr">
        <is>
          <t>Yes</t>
        </is>
      </c>
      <c r="AT83">
        <f>HYPERLINK("http://catalog.hathitrust.org/Record/002029653","HathiTrust Record")</f>
        <v/>
      </c>
      <c r="AU83">
        <f>HYPERLINK("https://creighton-primo.hosted.exlibrisgroup.com/primo-explore/search?tab=default_tab&amp;search_scope=EVERYTHING&amp;vid=01CRU&amp;lang=en_US&amp;offset=0&amp;query=any,contains,991002869339702656","Catalog Record")</f>
        <v/>
      </c>
      <c r="AV83">
        <f>HYPERLINK("http://www.worldcat.org/oclc/407818","WorldCat Record")</f>
        <v/>
      </c>
      <c r="AW83" t="inlineStr">
        <is>
          <t>762906:eng</t>
        </is>
      </c>
      <c r="AX83" t="inlineStr">
        <is>
          <t>407818</t>
        </is>
      </c>
      <c r="AY83" t="inlineStr">
        <is>
          <t>991002869339702656</t>
        </is>
      </c>
      <c r="AZ83" t="inlineStr">
        <is>
          <t>991002869339702656</t>
        </is>
      </c>
      <c r="BA83" t="inlineStr">
        <is>
          <t>2272236480002656</t>
        </is>
      </c>
      <c r="BB83" t="inlineStr">
        <is>
          <t>BOOK</t>
        </is>
      </c>
      <c r="BE83" t="inlineStr">
        <is>
          <t>32285001172195</t>
        </is>
      </c>
      <c r="BF83" t="inlineStr">
        <is>
          <t>893257825</t>
        </is>
      </c>
    </row>
    <row r="84">
      <c r="B84" t="inlineStr">
        <is>
          <t>CURAL</t>
        </is>
      </c>
      <c r="C84" t="inlineStr">
        <is>
          <t>SHELVES</t>
        </is>
      </c>
      <c r="D84" t="inlineStr">
        <is>
          <t>KD4112 .T75 1974</t>
        </is>
      </c>
      <c r="E84" t="inlineStr">
        <is>
          <t>0                      KD 4112000T  75          1974</t>
        </is>
      </c>
      <c r="F84" t="inlineStr">
        <is>
          <t>Questions of censorship.</t>
        </is>
      </c>
      <c r="H84" t="inlineStr">
        <is>
          <t>No</t>
        </is>
      </c>
      <c r="I84" t="inlineStr">
        <is>
          <t>1</t>
        </is>
      </c>
      <c r="J84" t="inlineStr">
        <is>
          <t>No</t>
        </is>
      </c>
      <c r="K84" t="inlineStr">
        <is>
          <t>No</t>
        </is>
      </c>
      <c r="L84" t="inlineStr">
        <is>
          <t>0</t>
        </is>
      </c>
      <c r="M84" t="inlineStr">
        <is>
          <t>Tribe, David H.</t>
        </is>
      </c>
      <c r="N84" t="inlineStr">
        <is>
          <t>New York : St. Martin's Press, [1974, c1973]</t>
        </is>
      </c>
      <c r="O84" t="inlineStr">
        <is>
          <t>1974</t>
        </is>
      </c>
      <c r="Q84" t="inlineStr">
        <is>
          <t>eng</t>
        </is>
      </c>
      <c r="R84" t="inlineStr">
        <is>
          <t>nyu</t>
        </is>
      </c>
      <c r="T84" t="inlineStr">
        <is>
          <t xml:space="preserve">KD </t>
        </is>
      </c>
      <c r="U84" t="n">
        <v>7</v>
      </c>
      <c r="V84" t="n">
        <v>7</v>
      </c>
      <c r="W84" t="inlineStr">
        <is>
          <t>2005-10-09</t>
        </is>
      </c>
      <c r="X84" t="inlineStr">
        <is>
          <t>2005-10-09</t>
        </is>
      </c>
      <c r="Y84" t="inlineStr">
        <is>
          <t>1990-11-15</t>
        </is>
      </c>
      <c r="Z84" t="inlineStr">
        <is>
          <t>1990-11-15</t>
        </is>
      </c>
      <c r="AA84" t="n">
        <v>198</v>
      </c>
      <c r="AB84" t="n">
        <v>187</v>
      </c>
      <c r="AC84" t="n">
        <v>344</v>
      </c>
      <c r="AD84" t="n">
        <v>1</v>
      </c>
      <c r="AE84" t="n">
        <v>3</v>
      </c>
      <c r="AF84" t="n">
        <v>2</v>
      </c>
      <c r="AG84" t="n">
        <v>11</v>
      </c>
      <c r="AH84" t="n">
        <v>0</v>
      </c>
      <c r="AI84" t="n">
        <v>0</v>
      </c>
      <c r="AJ84" t="n">
        <v>0</v>
      </c>
      <c r="AK84" t="n">
        <v>3</v>
      </c>
      <c r="AL84" t="n">
        <v>1</v>
      </c>
      <c r="AM84" t="n">
        <v>5</v>
      </c>
      <c r="AN84" t="n">
        <v>0</v>
      </c>
      <c r="AO84" t="n">
        <v>2</v>
      </c>
      <c r="AP84" t="n">
        <v>1</v>
      </c>
      <c r="AQ84" t="n">
        <v>3</v>
      </c>
      <c r="AR84" t="inlineStr">
        <is>
          <t>No</t>
        </is>
      </c>
      <c r="AS84" t="inlineStr">
        <is>
          <t>No</t>
        </is>
      </c>
      <c r="AU84">
        <f>HYPERLINK("https://creighton-primo.hosted.exlibrisgroup.com/primo-explore/search?tab=default_tab&amp;search_scope=EVERYTHING&amp;vid=01CRU&amp;lang=en_US&amp;offset=0&amp;query=any,contains,991003751719702656","Catalog Record")</f>
        <v/>
      </c>
      <c r="AV84">
        <f>HYPERLINK("http://www.worldcat.org/oclc/1429154","WorldCat Record")</f>
        <v/>
      </c>
      <c r="AW84" t="inlineStr">
        <is>
          <t>191796896:eng</t>
        </is>
      </c>
      <c r="AX84" t="inlineStr">
        <is>
          <t>1429154</t>
        </is>
      </c>
      <c r="AY84" t="inlineStr">
        <is>
          <t>991003751719702656</t>
        </is>
      </c>
      <c r="AZ84" t="inlineStr">
        <is>
          <t>991003751719702656</t>
        </is>
      </c>
      <c r="BA84" t="inlineStr">
        <is>
          <t>2266311740002656</t>
        </is>
      </c>
      <c r="BB84" t="inlineStr">
        <is>
          <t>BOOK</t>
        </is>
      </c>
      <c r="BE84" t="inlineStr">
        <is>
          <t>32285000396332</t>
        </is>
      </c>
      <c r="BF84" t="inlineStr">
        <is>
          <t>893525174</t>
        </is>
      </c>
    </row>
    <row r="85">
      <c r="B85" t="inlineStr">
        <is>
          <t>CURAL</t>
        </is>
      </c>
      <c r="C85" t="inlineStr">
        <is>
          <t>SHELVES</t>
        </is>
      </c>
      <c r="D85" t="inlineStr">
        <is>
          <t>KD4114 .T46</t>
        </is>
      </c>
      <c r="E85" t="inlineStr">
        <is>
          <t>0                      KD 4114000T  46</t>
        </is>
      </c>
      <c r="F85" t="inlineStr">
        <is>
          <t>A long time burning; the history of literary censorship in England.</t>
        </is>
      </c>
      <c r="H85" t="inlineStr">
        <is>
          <t>No</t>
        </is>
      </c>
      <c r="I85" t="inlineStr">
        <is>
          <t>1</t>
        </is>
      </c>
      <c r="J85" t="inlineStr">
        <is>
          <t>No</t>
        </is>
      </c>
      <c r="K85" t="inlineStr">
        <is>
          <t>No</t>
        </is>
      </c>
      <c r="L85" t="inlineStr">
        <is>
          <t>0</t>
        </is>
      </c>
      <c r="M85" t="inlineStr">
        <is>
          <t>Thomas, Donald, 1926-</t>
        </is>
      </c>
      <c r="N85" t="inlineStr">
        <is>
          <t>New York, Praeger [1969]</t>
        </is>
      </c>
      <c r="O85" t="inlineStr">
        <is>
          <t>1969</t>
        </is>
      </c>
      <c r="Q85" t="inlineStr">
        <is>
          <t>eng</t>
        </is>
      </c>
      <c r="R85" t="inlineStr">
        <is>
          <t>nyu</t>
        </is>
      </c>
      <c r="T85" t="inlineStr">
        <is>
          <t xml:space="preserve">KD </t>
        </is>
      </c>
      <c r="U85" t="n">
        <v>1</v>
      </c>
      <c r="V85" t="n">
        <v>1</v>
      </c>
      <c r="W85" t="inlineStr">
        <is>
          <t>2006-10-31</t>
        </is>
      </c>
      <c r="X85" t="inlineStr">
        <is>
          <t>2006-10-31</t>
        </is>
      </c>
      <c r="Y85" t="inlineStr">
        <is>
          <t>1997-04-09</t>
        </is>
      </c>
      <c r="Z85" t="inlineStr">
        <is>
          <t>1997-04-09</t>
        </is>
      </c>
      <c r="AA85" t="n">
        <v>493</v>
      </c>
      <c r="AB85" t="n">
        <v>458</v>
      </c>
      <c r="AC85" t="n">
        <v>526</v>
      </c>
      <c r="AD85" t="n">
        <v>4</v>
      </c>
      <c r="AE85" t="n">
        <v>4</v>
      </c>
      <c r="AF85" t="n">
        <v>25</v>
      </c>
      <c r="AG85" t="n">
        <v>27</v>
      </c>
      <c r="AH85" t="n">
        <v>3</v>
      </c>
      <c r="AI85" t="n">
        <v>3</v>
      </c>
      <c r="AJ85" t="n">
        <v>2</v>
      </c>
      <c r="AK85" t="n">
        <v>3</v>
      </c>
      <c r="AL85" t="n">
        <v>11</v>
      </c>
      <c r="AM85" t="n">
        <v>12</v>
      </c>
      <c r="AN85" t="n">
        <v>2</v>
      </c>
      <c r="AO85" t="n">
        <v>2</v>
      </c>
      <c r="AP85" t="n">
        <v>11</v>
      </c>
      <c r="AQ85" t="n">
        <v>12</v>
      </c>
      <c r="AR85" t="inlineStr">
        <is>
          <t>No</t>
        </is>
      </c>
      <c r="AS85" t="inlineStr">
        <is>
          <t>No</t>
        </is>
      </c>
      <c r="AU85">
        <f>HYPERLINK("https://creighton-primo.hosted.exlibrisgroup.com/primo-explore/search?tab=default_tab&amp;search_scope=EVERYTHING&amp;vid=01CRU&amp;lang=en_US&amp;offset=0&amp;query=any,contains,991000071289702656","Catalog Record")</f>
        <v/>
      </c>
      <c r="AV85">
        <f>HYPERLINK("http://www.worldcat.org/oclc/28313","WorldCat Record")</f>
        <v/>
      </c>
      <c r="AW85" t="inlineStr">
        <is>
          <t>802711511:eng</t>
        </is>
      </c>
      <c r="AX85" t="inlineStr">
        <is>
          <t>28313</t>
        </is>
      </c>
      <c r="AY85" t="inlineStr">
        <is>
          <t>991000071289702656</t>
        </is>
      </c>
      <c r="AZ85" t="inlineStr">
        <is>
          <t>991000071289702656</t>
        </is>
      </c>
      <c r="BA85" t="inlineStr">
        <is>
          <t>2264833570002656</t>
        </is>
      </c>
      <c r="BB85" t="inlineStr">
        <is>
          <t>BOOK</t>
        </is>
      </c>
      <c r="BE85" t="inlineStr">
        <is>
          <t>32285002523149</t>
        </is>
      </c>
      <c r="BF85" t="inlineStr">
        <is>
          <t>893339240</t>
        </is>
      </c>
    </row>
    <row r="86">
      <c r="B86" t="inlineStr">
        <is>
          <t>CURAL</t>
        </is>
      </c>
      <c r="C86" t="inlineStr">
        <is>
          <t>SHELVES</t>
        </is>
      </c>
      <c r="D86" t="inlineStr">
        <is>
          <t>KD4197 .E45 1986</t>
        </is>
      </c>
      <c r="E86" t="inlineStr">
        <is>
          <t>0                      KD 4197000E  45          1986</t>
        </is>
      </c>
      <c r="F86" t="inlineStr">
        <is>
          <t>The Parliament of England, 1559-1581 / G.R. Elton.</t>
        </is>
      </c>
      <c r="H86" t="inlineStr">
        <is>
          <t>No</t>
        </is>
      </c>
      <c r="I86" t="inlineStr">
        <is>
          <t>1</t>
        </is>
      </c>
      <c r="J86" t="inlineStr">
        <is>
          <t>No</t>
        </is>
      </c>
      <c r="K86" t="inlineStr">
        <is>
          <t>No</t>
        </is>
      </c>
      <c r="L86" t="inlineStr">
        <is>
          <t>0</t>
        </is>
      </c>
      <c r="M86" t="inlineStr">
        <is>
          <t>Elton, G. R. (Geoffrey Rudolph)</t>
        </is>
      </c>
      <c r="N86" t="inlineStr">
        <is>
          <t>Cambridge [Cambridgeshire] ; New York : Cambridge University Press, 1986.</t>
        </is>
      </c>
      <c r="O86" t="inlineStr">
        <is>
          <t>1986</t>
        </is>
      </c>
      <c r="Q86" t="inlineStr">
        <is>
          <t>eng</t>
        </is>
      </c>
      <c r="R86" t="inlineStr">
        <is>
          <t>enk</t>
        </is>
      </c>
      <c r="T86" t="inlineStr">
        <is>
          <t xml:space="preserve">KD </t>
        </is>
      </c>
      <c r="U86" t="n">
        <v>1</v>
      </c>
      <c r="V86" t="n">
        <v>1</v>
      </c>
      <c r="W86" t="inlineStr">
        <is>
          <t>2005-11-18</t>
        </is>
      </c>
      <c r="X86" t="inlineStr">
        <is>
          <t>2005-11-18</t>
        </is>
      </c>
      <c r="Y86" t="inlineStr">
        <is>
          <t>1990-04-06</t>
        </is>
      </c>
      <c r="Z86" t="inlineStr">
        <is>
          <t>1990-04-06</t>
        </is>
      </c>
      <c r="AA86" t="n">
        <v>670</v>
      </c>
      <c r="AB86" t="n">
        <v>498</v>
      </c>
      <c r="AC86" t="n">
        <v>529</v>
      </c>
      <c r="AD86" t="n">
        <v>4</v>
      </c>
      <c r="AE86" t="n">
        <v>4</v>
      </c>
      <c r="AF86" t="n">
        <v>31</v>
      </c>
      <c r="AG86" t="n">
        <v>33</v>
      </c>
      <c r="AH86" t="n">
        <v>9</v>
      </c>
      <c r="AI86" t="n">
        <v>9</v>
      </c>
      <c r="AJ86" t="n">
        <v>7</v>
      </c>
      <c r="AK86" t="n">
        <v>7</v>
      </c>
      <c r="AL86" t="n">
        <v>17</v>
      </c>
      <c r="AM86" t="n">
        <v>19</v>
      </c>
      <c r="AN86" t="n">
        <v>3</v>
      </c>
      <c r="AO86" t="n">
        <v>3</v>
      </c>
      <c r="AP86" t="n">
        <v>5</v>
      </c>
      <c r="AQ86" t="n">
        <v>5</v>
      </c>
      <c r="AR86" t="inlineStr">
        <is>
          <t>No</t>
        </is>
      </c>
      <c r="AS86" t="inlineStr">
        <is>
          <t>No</t>
        </is>
      </c>
      <c r="AU86">
        <f>HYPERLINK("https://creighton-primo.hosted.exlibrisgroup.com/primo-explore/search?tab=default_tab&amp;search_scope=EVERYTHING&amp;vid=01CRU&amp;lang=en_US&amp;offset=0&amp;query=any,contains,991000849689702656","Catalog Record")</f>
        <v/>
      </c>
      <c r="AV86">
        <f>HYPERLINK("http://www.worldcat.org/oclc/13581597","WorldCat Record")</f>
        <v/>
      </c>
      <c r="AW86" t="inlineStr">
        <is>
          <t>7514891:eng</t>
        </is>
      </c>
      <c r="AX86" t="inlineStr">
        <is>
          <t>13581597</t>
        </is>
      </c>
      <c r="AY86" t="inlineStr">
        <is>
          <t>991000849689702656</t>
        </is>
      </c>
      <c r="AZ86" t="inlineStr">
        <is>
          <t>991000849689702656</t>
        </is>
      </c>
      <c r="BA86" t="inlineStr">
        <is>
          <t>2257264780002656</t>
        </is>
      </c>
      <c r="BB86" t="inlineStr">
        <is>
          <t>BOOK</t>
        </is>
      </c>
      <c r="BD86" t="inlineStr">
        <is>
          <t>9780521328357</t>
        </is>
      </c>
      <c r="BE86" t="inlineStr">
        <is>
          <t>32285000111806</t>
        </is>
      </c>
      <c r="BF86" t="inlineStr">
        <is>
          <t>893261635</t>
        </is>
      </c>
    </row>
    <row r="87">
      <c r="B87" t="inlineStr">
        <is>
          <t>CURAL</t>
        </is>
      </c>
      <c r="C87" t="inlineStr">
        <is>
          <t>SHELVES</t>
        </is>
      </c>
      <c r="D87" t="inlineStr">
        <is>
          <t>KD532 .M33 1978</t>
        </is>
      </c>
      <c r="E87" t="inlineStr">
        <is>
          <t>0                      KD 0532000M  33          1978</t>
        </is>
      </c>
      <c r="F87" t="inlineStr">
        <is>
          <t>A sketch of English legal history / by Frederic W. Maitland and Francis C. Montague ; edited with notes and appendices by James F. Colby.</t>
        </is>
      </c>
      <c r="H87" t="inlineStr">
        <is>
          <t>No</t>
        </is>
      </c>
      <c r="I87" t="inlineStr">
        <is>
          <t>1</t>
        </is>
      </c>
      <c r="J87" t="inlineStr">
        <is>
          <t>Yes</t>
        </is>
      </c>
      <c r="K87" t="inlineStr">
        <is>
          <t>Yes</t>
        </is>
      </c>
      <c r="L87" t="inlineStr">
        <is>
          <t>0</t>
        </is>
      </c>
      <c r="M87" t="inlineStr">
        <is>
          <t>Maitland, Frederic William, 1850-1906.</t>
        </is>
      </c>
      <c r="N87" t="inlineStr">
        <is>
          <t>New York : AMS Press, 1978.</t>
        </is>
      </c>
      <c r="O87" t="inlineStr">
        <is>
          <t>1978</t>
        </is>
      </c>
      <c r="Q87" t="inlineStr">
        <is>
          <t>eng</t>
        </is>
      </c>
      <c r="R87" t="inlineStr">
        <is>
          <t>nyu</t>
        </is>
      </c>
      <c r="T87" t="inlineStr">
        <is>
          <t xml:space="preserve">KD </t>
        </is>
      </c>
      <c r="U87" t="n">
        <v>1</v>
      </c>
      <c r="V87" t="n">
        <v>2</v>
      </c>
      <c r="W87" t="inlineStr">
        <is>
          <t>2005-11-14</t>
        </is>
      </c>
      <c r="X87" t="inlineStr">
        <is>
          <t>2005-11-14</t>
        </is>
      </c>
      <c r="Y87" t="inlineStr">
        <is>
          <t>1997-04-09</t>
        </is>
      </c>
      <c r="Z87" t="inlineStr">
        <is>
          <t>1997-04-09</t>
        </is>
      </c>
      <c r="AA87" t="n">
        <v>132</v>
      </c>
      <c r="AB87" t="n">
        <v>110</v>
      </c>
      <c r="AC87" t="n">
        <v>651</v>
      </c>
      <c r="AD87" t="n">
        <v>2</v>
      </c>
      <c r="AE87" t="n">
        <v>5</v>
      </c>
      <c r="AF87" t="n">
        <v>5</v>
      </c>
      <c r="AG87" t="n">
        <v>48</v>
      </c>
      <c r="AH87" t="n">
        <v>2</v>
      </c>
      <c r="AI87" t="n">
        <v>9</v>
      </c>
      <c r="AJ87" t="n">
        <v>0</v>
      </c>
      <c r="AK87" t="n">
        <v>7</v>
      </c>
      <c r="AL87" t="n">
        <v>2</v>
      </c>
      <c r="AM87" t="n">
        <v>11</v>
      </c>
      <c r="AN87" t="n">
        <v>0</v>
      </c>
      <c r="AO87" t="n">
        <v>2</v>
      </c>
      <c r="AP87" t="n">
        <v>1</v>
      </c>
      <c r="AQ87" t="n">
        <v>24</v>
      </c>
      <c r="AR87" t="inlineStr">
        <is>
          <t>No</t>
        </is>
      </c>
      <c r="AS87" t="inlineStr">
        <is>
          <t>No</t>
        </is>
      </c>
      <c r="AU87">
        <f>HYPERLINK("https://creighton-primo.hosted.exlibrisgroup.com/primo-explore/search?tab=default_tab&amp;search_scope=EVERYTHING&amp;vid=01CRU&amp;lang=en_US&amp;offset=0&amp;query=any,contains,991001779299702656","Catalog Record")</f>
        <v/>
      </c>
      <c r="AV87">
        <f>HYPERLINK("http://www.worldcat.org/oclc/3120526","WorldCat Record")</f>
        <v/>
      </c>
      <c r="AW87" t="inlineStr">
        <is>
          <t>8118948:eng</t>
        </is>
      </c>
      <c r="AX87" t="inlineStr">
        <is>
          <t>3120526</t>
        </is>
      </c>
      <c r="AY87" t="inlineStr">
        <is>
          <t>991001779299702656</t>
        </is>
      </c>
      <c r="AZ87" t="inlineStr">
        <is>
          <t>991001779299702656</t>
        </is>
      </c>
      <c r="BA87" t="inlineStr">
        <is>
          <t>2263802700002656</t>
        </is>
      </c>
      <c r="BB87" t="inlineStr">
        <is>
          <t>BOOK</t>
        </is>
      </c>
      <c r="BD87" t="inlineStr">
        <is>
          <t>9780404146849</t>
        </is>
      </c>
      <c r="BE87" t="inlineStr">
        <is>
          <t>32285002522729</t>
        </is>
      </c>
      <c r="BF87" t="inlineStr">
        <is>
          <t>893328370</t>
        </is>
      </c>
    </row>
    <row r="88">
      <c r="B88" t="inlineStr">
        <is>
          <t>CURAL</t>
        </is>
      </c>
      <c r="C88" t="inlineStr">
        <is>
          <t>SHELVES</t>
        </is>
      </c>
      <c r="D88" t="inlineStr">
        <is>
          <t>KD600 .S26 1970</t>
        </is>
      </c>
      <c r="E88" t="inlineStr">
        <is>
          <t>0                      KD 0600000S  26          1970</t>
        </is>
      </c>
      <c r="F88" t="inlineStr">
        <is>
          <t>Doctor and student, 1531, [by] Christopher St. Germain.</t>
        </is>
      </c>
      <c r="H88" t="inlineStr">
        <is>
          <t>No</t>
        </is>
      </c>
      <c r="I88" t="inlineStr">
        <is>
          <t>1</t>
        </is>
      </c>
      <c r="J88" t="inlineStr">
        <is>
          <t>No</t>
        </is>
      </c>
      <c r="K88" t="inlineStr">
        <is>
          <t>No</t>
        </is>
      </c>
      <c r="L88" t="inlineStr">
        <is>
          <t>0</t>
        </is>
      </c>
      <c r="M88" t="inlineStr">
        <is>
          <t>Saint German, Christopher, 1460?-1540.</t>
        </is>
      </c>
      <c r="N88" t="inlineStr">
        <is>
          <t>Menston, Scolar Press, 1970.</t>
        </is>
      </c>
      <c r="O88" t="inlineStr">
        <is>
          <t>1970</t>
        </is>
      </c>
      <c r="Q88" t="inlineStr">
        <is>
          <t>eng</t>
        </is>
      </c>
      <c r="R88" t="inlineStr">
        <is>
          <t>enk</t>
        </is>
      </c>
      <c r="T88" t="inlineStr">
        <is>
          <t xml:space="preserve">KD </t>
        </is>
      </c>
      <c r="U88" t="n">
        <v>0</v>
      </c>
      <c r="V88" t="n">
        <v>0</v>
      </c>
      <c r="W88" t="inlineStr">
        <is>
          <t>2009-11-17</t>
        </is>
      </c>
      <c r="X88" t="inlineStr">
        <is>
          <t>2009-11-17</t>
        </is>
      </c>
      <c r="Y88" t="inlineStr">
        <is>
          <t>1997-04-09</t>
        </is>
      </c>
      <c r="Z88" t="inlineStr">
        <is>
          <t>1997-04-09</t>
        </is>
      </c>
      <c r="AA88" t="n">
        <v>87</v>
      </c>
      <c r="AB88" t="n">
        <v>47</v>
      </c>
      <c r="AC88" t="n">
        <v>237</v>
      </c>
      <c r="AD88" t="n">
        <v>1</v>
      </c>
      <c r="AE88" t="n">
        <v>3</v>
      </c>
      <c r="AF88" t="n">
        <v>3</v>
      </c>
      <c r="AG88" t="n">
        <v>17</v>
      </c>
      <c r="AH88" t="n">
        <v>0</v>
      </c>
      <c r="AI88" t="n">
        <v>4</v>
      </c>
      <c r="AJ88" t="n">
        <v>2</v>
      </c>
      <c r="AK88" t="n">
        <v>4</v>
      </c>
      <c r="AL88" t="n">
        <v>2</v>
      </c>
      <c r="AM88" t="n">
        <v>2</v>
      </c>
      <c r="AN88" t="n">
        <v>0</v>
      </c>
      <c r="AO88" t="n">
        <v>1</v>
      </c>
      <c r="AP88" t="n">
        <v>1</v>
      </c>
      <c r="AQ88" t="n">
        <v>9</v>
      </c>
      <c r="AR88" t="inlineStr">
        <is>
          <t>No</t>
        </is>
      </c>
      <c r="AS88" t="inlineStr">
        <is>
          <t>Yes</t>
        </is>
      </c>
      <c r="AT88">
        <f>HYPERLINK("http://catalog.hathitrust.org/Record/100001365","HathiTrust Record")</f>
        <v/>
      </c>
      <c r="AU88">
        <f>HYPERLINK("https://creighton-primo.hosted.exlibrisgroup.com/primo-explore/search?tab=default_tab&amp;search_scope=EVERYTHING&amp;vid=01CRU&amp;lang=en_US&amp;offset=0&amp;query=any,contains,991003267939702656","Catalog Record")</f>
        <v/>
      </c>
      <c r="AV88">
        <f>HYPERLINK("http://www.worldcat.org/oclc/793938","WorldCat Record")</f>
        <v/>
      </c>
      <c r="AW88" t="inlineStr">
        <is>
          <t>2999548174:eng</t>
        </is>
      </c>
      <c r="AX88" t="inlineStr">
        <is>
          <t>793938</t>
        </is>
      </c>
      <c r="AY88" t="inlineStr">
        <is>
          <t>991003267939702656</t>
        </is>
      </c>
      <c r="AZ88" t="inlineStr">
        <is>
          <t>991003267939702656</t>
        </is>
      </c>
      <c r="BA88" t="inlineStr">
        <is>
          <t>2263293470002656</t>
        </is>
      </c>
      <c r="BB88" t="inlineStr">
        <is>
          <t>BOOK</t>
        </is>
      </c>
      <c r="BD88" t="inlineStr">
        <is>
          <t>9780854174867</t>
        </is>
      </c>
      <c r="BE88" t="inlineStr">
        <is>
          <t>32285002522745</t>
        </is>
      </c>
      <c r="BF88" t="inlineStr">
        <is>
          <t>893604602</t>
        </is>
      </c>
    </row>
    <row r="89">
      <c r="B89" t="inlineStr">
        <is>
          <t>CURAL</t>
        </is>
      </c>
      <c r="C89" t="inlineStr">
        <is>
          <t>SHELVES</t>
        </is>
      </c>
      <c r="D89" t="inlineStr">
        <is>
          <t>KD7486 .F67</t>
        </is>
      </c>
      <c r="E89" t="inlineStr">
        <is>
          <t>0                      KD 7486000F  67</t>
        </is>
      </c>
      <c r="F89" t="inlineStr">
        <is>
          <t>Notable cross-examinations, chosen and annotated by Edward Wilfrid Fordham. With a foreword on "The art of cross-examination" by Sir Travers Humphreys and a note by Sir Edward Clarke on "three famous cross-examiners."</t>
        </is>
      </c>
      <c r="H89" t="inlineStr">
        <is>
          <t>No</t>
        </is>
      </c>
      <c r="I89" t="inlineStr">
        <is>
          <t>1</t>
        </is>
      </c>
      <c r="J89" t="inlineStr">
        <is>
          <t>Yes</t>
        </is>
      </c>
      <c r="K89" t="inlineStr">
        <is>
          <t>No</t>
        </is>
      </c>
      <c r="L89" t="inlineStr">
        <is>
          <t>0</t>
        </is>
      </c>
      <c r="M89" t="inlineStr">
        <is>
          <t>Fordham, Edward Wilfrid.</t>
        </is>
      </c>
      <c r="N89" t="inlineStr">
        <is>
          <t>Westport, Conn., Greenwood Press [1970]</t>
        </is>
      </c>
      <c r="O89" t="inlineStr">
        <is>
          <t>1970</t>
        </is>
      </c>
      <c r="Q89" t="inlineStr">
        <is>
          <t>eng</t>
        </is>
      </c>
      <c r="R89" t="inlineStr">
        <is>
          <t>ctu</t>
        </is>
      </c>
      <c r="T89" t="inlineStr">
        <is>
          <t xml:space="preserve">KD </t>
        </is>
      </c>
      <c r="U89" t="n">
        <v>1</v>
      </c>
      <c r="V89" t="n">
        <v>2</v>
      </c>
      <c r="W89" t="inlineStr">
        <is>
          <t>2008-12-05</t>
        </is>
      </c>
      <c r="X89" t="inlineStr">
        <is>
          <t>2008-12-05</t>
        </is>
      </c>
      <c r="Y89" t="inlineStr">
        <is>
          <t>1992-06-12</t>
        </is>
      </c>
      <c r="Z89" t="inlineStr">
        <is>
          <t>1993-01-11</t>
        </is>
      </c>
      <c r="AA89" t="n">
        <v>153</v>
      </c>
      <c r="AB89" t="n">
        <v>134</v>
      </c>
      <c r="AC89" t="n">
        <v>278</v>
      </c>
      <c r="AD89" t="n">
        <v>2</v>
      </c>
      <c r="AE89" t="n">
        <v>3</v>
      </c>
      <c r="AF89" t="n">
        <v>11</v>
      </c>
      <c r="AG89" t="n">
        <v>19</v>
      </c>
      <c r="AH89" t="n">
        <v>0</v>
      </c>
      <c r="AI89" t="n">
        <v>1</v>
      </c>
      <c r="AJ89" t="n">
        <v>2</v>
      </c>
      <c r="AK89" t="n">
        <v>2</v>
      </c>
      <c r="AL89" t="n">
        <v>2</v>
      </c>
      <c r="AM89" t="n">
        <v>3</v>
      </c>
      <c r="AN89" t="n">
        <v>0</v>
      </c>
      <c r="AO89" t="n">
        <v>1</v>
      </c>
      <c r="AP89" t="n">
        <v>8</v>
      </c>
      <c r="AQ89" t="n">
        <v>14</v>
      </c>
      <c r="AR89" t="inlineStr">
        <is>
          <t>No</t>
        </is>
      </c>
      <c r="AS89" t="inlineStr">
        <is>
          <t>No</t>
        </is>
      </c>
      <c r="AU89">
        <f>HYPERLINK("https://creighton-primo.hosted.exlibrisgroup.com/primo-explore/search?tab=default_tab&amp;search_scope=EVERYTHING&amp;vid=01CRU&amp;lang=en_US&amp;offset=0&amp;query=any,contains,991001687949702656","Catalog Record")</f>
        <v/>
      </c>
      <c r="AV89">
        <f>HYPERLINK("http://www.worldcat.org/oclc/79251","WorldCat Record")</f>
        <v/>
      </c>
      <c r="AW89" t="inlineStr">
        <is>
          <t>1257407:eng</t>
        </is>
      </c>
      <c r="AX89" t="inlineStr">
        <is>
          <t>79251</t>
        </is>
      </c>
      <c r="AY89" t="inlineStr">
        <is>
          <t>991001687949702656</t>
        </is>
      </c>
      <c r="AZ89" t="inlineStr">
        <is>
          <t>991001687949702656</t>
        </is>
      </c>
      <c r="BA89" t="inlineStr">
        <is>
          <t>2254923390002656</t>
        </is>
      </c>
      <c r="BB89" t="inlineStr">
        <is>
          <t>BOOK</t>
        </is>
      </c>
      <c r="BD89" t="inlineStr">
        <is>
          <t>9780837130996</t>
        </is>
      </c>
      <c r="BE89" t="inlineStr">
        <is>
          <t>32285001174662</t>
        </is>
      </c>
      <c r="BF89" t="inlineStr">
        <is>
          <t>893602812</t>
        </is>
      </c>
    </row>
    <row r="90">
      <c r="B90" t="inlineStr">
        <is>
          <t>CURAL</t>
        </is>
      </c>
      <c r="C90" t="inlineStr">
        <is>
          <t>SHELVES</t>
        </is>
      </c>
      <c r="D90" t="inlineStr">
        <is>
          <t>KD7876 .B43 1986</t>
        </is>
      </c>
      <c r="E90" t="inlineStr">
        <is>
          <t>0                      KD 7876000B  43          1986</t>
        </is>
      </c>
      <c r="F90" t="inlineStr">
        <is>
          <t>Crime and the courts in England, 1660-1800 / J.M. Beattie.</t>
        </is>
      </c>
      <c r="H90" t="inlineStr">
        <is>
          <t>No</t>
        </is>
      </c>
      <c r="I90" t="inlineStr">
        <is>
          <t>1</t>
        </is>
      </c>
      <c r="J90" t="inlineStr">
        <is>
          <t>No</t>
        </is>
      </c>
      <c r="K90" t="inlineStr">
        <is>
          <t>No</t>
        </is>
      </c>
      <c r="L90" t="inlineStr">
        <is>
          <t>0</t>
        </is>
      </c>
      <c r="M90" t="inlineStr">
        <is>
          <t>Beattie, J. M.</t>
        </is>
      </c>
      <c r="N90" t="inlineStr">
        <is>
          <t>Princeton, N.J. : Princeton University Press, c1986.</t>
        </is>
      </c>
      <c r="O90" t="inlineStr">
        <is>
          <t>1986</t>
        </is>
      </c>
      <c r="Q90" t="inlineStr">
        <is>
          <t>eng</t>
        </is>
      </c>
      <c r="R90" t="inlineStr">
        <is>
          <t>nju</t>
        </is>
      </c>
      <c r="T90" t="inlineStr">
        <is>
          <t xml:space="preserve">KD </t>
        </is>
      </c>
      <c r="U90" t="n">
        <v>3</v>
      </c>
      <c r="V90" t="n">
        <v>3</v>
      </c>
      <c r="W90" t="inlineStr">
        <is>
          <t>2008-04-21</t>
        </is>
      </c>
      <c r="X90" t="inlineStr">
        <is>
          <t>2008-04-21</t>
        </is>
      </c>
      <c r="Y90" t="inlineStr">
        <is>
          <t>2006-09-26</t>
        </is>
      </c>
      <c r="Z90" t="inlineStr">
        <is>
          <t>2006-09-26</t>
        </is>
      </c>
      <c r="AA90" t="n">
        <v>522</v>
      </c>
      <c r="AB90" t="n">
        <v>422</v>
      </c>
      <c r="AC90" t="n">
        <v>634</v>
      </c>
      <c r="AD90" t="n">
        <v>2</v>
      </c>
      <c r="AE90" t="n">
        <v>4</v>
      </c>
      <c r="AF90" t="n">
        <v>27</v>
      </c>
      <c r="AG90" t="n">
        <v>42</v>
      </c>
      <c r="AH90" t="n">
        <v>6</v>
      </c>
      <c r="AI90" t="n">
        <v>11</v>
      </c>
      <c r="AJ90" t="n">
        <v>5</v>
      </c>
      <c r="AK90" t="n">
        <v>10</v>
      </c>
      <c r="AL90" t="n">
        <v>8</v>
      </c>
      <c r="AM90" t="n">
        <v>16</v>
      </c>
      <c r="AN90" t="n">
        <v>1</v>
      </c>
      <c r="AO90" t="n">
        <v>3</v>
      </c>
      <c r="AP90" t="n">
        <v>12</v>
      </c>
      <c r="AQ90" t="n">
        <v>12</v>
      </c>
      <c r="AR90" t="inlineStr">
        <is>
          <t>No</t>
        </is>
      </c>
      <c r="AS90" t="inlineStr">
        <is>
          <t>No</t>
        </is>
      </c>
      <c r="AU90">
        <f>HYPERLINK("https://creighton-primo.hosted.exlibrisgroup.com/primo-explore/search?tab=default_tab&amp;search_scope=EVERYTHING&amp;vid=01CRU&amp;lang=en_US&amp;offset=0&amp;query=any,contains,991004930149702656","Catalog Record")</f>
        <v/>
      </c>
      <c r="AV90">
        <f>HYPERLINK("http://www.worldcat.org/oclc/12133492","WorldCat Record")</f>
        <v/>
      </c>
      <c r="AW90" t="inlineStr">
        <is>
          <t>5056425:eng</t>
        </is>
      </c>
      <c r="AX90" t="inlineStr">
        <is>
          <t>12133492</t>
        </is>
      </c>
      <c r="AY90" t="inlineStr">
        <is>
          <t>991004930149702656</t>
        </is>
      </c>
      <c r="AZ90" t="inlineStr">
        <is>
          <t>991004930149702656</t>
        </is>
      </c>
      <c r="BA90" t="inlineStr">
        <is>
          <t>2263208660002656</t>
        </is>
      </c>
      <c r="BB90" t="inlineStr">
        <is>
          <t>BOOK</t>
        </is>
      </c>
      <c r="BD90" t="inlineStr">
        <is>
          <t>9780691054377</t>
        </is>
      </c>
      <c r="BE90" t="inlineStr">
        <is>
          <t>32285005224984</t>
        </is>
      </c>
      <c r="BF90" t="inlineStr">
        <is>
          <t>893600374</t>
        </is>
      </c>
    </row>
    <row r="91">
      <c r="B91" t="inlineStr">
        <is>
          <t>CURAL</t>
        </is>
      </c>
      <c r="C91" t="inlineStr">
        <is>
          <t>SHELVES</t>
        </is>
      </c>
      <c r="D91" t="inlineStr">
        <is>
          <t>KD8075 .S33</t>
        </is>
      </c>
      <c r="E91" t="inlineStr">
        <is>
          <t>0                      KD 8075000S  33</t>
        </is>
      </c>
      <c r="F91" t="inlineStr">
        <is>
          <t>Obscenity and the law / by Norman St. John-Stevas ; with an introduction by Sir Alan P. Herbert.</t>
        </is>
      </c>
      <c r="H91" t="inlineStr">
        <is>
          <t>No</t>
        </is>
      </c>
      <c r="I91" t="inlineStr">
        <is>
          <t>1</t>
        </is>
      </c>
      <c r="J91" t="inlineStr">
        <is>
          <t>No</t>
        </is>
      </c>
      <c r="K91" t="inlineStr">
        <is>
          <t>Yes</t>
        </is>
      </c>
      <c r="L91" t="inlineStr">
        <is>
          <t>0</t>
        </is>
      </c>
      <c r="M91" t="inlineStr">
        <is>
          <t>St. John-Stevas, Norman.</t>
        </is>
      </c>
      <c r="N91" t="inlineStr">
        <is>
          <t>London : Secker &amp; Warburg, 1956.</t>
        </is>
      </c>
      <c r="O91" t="inlineStr">
        <is>
          <t>1956</t>
        </is>
      </c>
      <c r="Q91" t="inlineStr">
        <is>
          <t>eng</t>
        </is>
      </c>
      <c r="R91" t="inlineStr">
        <is>
          <t>enk</t>
        </is>
      </c>
      <c r="T91" t="inlineStr">
        <is>
          <t xml:space="preserve">KD </t>
        </is>
      </c>
      <c r="U91" t="n">
        <v>2</v>
      </c>
      <c r="V91" t="n">
        <v>2</v>
      </c>
      <c r="W91" t="inlineStr">
        <is>
          <t>2006-05-01</t>
        </is>
      </c>
      <c r="X91" t="inlineStr">
        <is>
          <t>2006-05-01</t>
        </is>
      </c>
      <c r="Y91" t="inlineStr">
        <is>
          <t>1997-04-21</t>
        </is>
      </c>
      <c r="Z91" t="inlineStr">
        <is>
          <t>1997-04-21</t>
        </is>
      </c>
      <c r="AA91" t="n">
        <v>369</v>
      </c>
      <c r="AB91" t="n">
        <v>260</v>
      </c>
      <c r="AC91" t="n">
        <v>402</v>
      </c>
      <c r="AD91" t="n">
        <v>4</v>
      </c>
      <c r="AE91" t="n">
        <v>5</v>
      </c>
      <c r="AF91" t="n">
        <v>25</v>
      </c>
      <c r="AG91" t="n">
        <v>39</v>
      </c>
      <c r="AH91" t="n">
        <v>3</v>
      </c>
      <c r="AI91" t="n">
        <v>6</v>
      </c>
      <c r="AJ91" t="n">
        <v>4</v>
      </c>
      <c r="AK91" t="n">
        <v>5</v>
      </c>
      <c r="AL91" t="n">
        <v>11</v>
      </c>
      <c r="AM91" t="n">
        <v>15</v>
      </c>
      <c r="AN91" t="n">
        <v>2</v>
      </c>
      <c r="AO91" t="n">
        <v>2</v>
      </c>
      <c r="AP91" t="n">
        <v>9</v>
      </c>
      <c r="AQ91" t="n">
        <v>17</v>
      </c>
      <c r="AR91" t="inlineStr">
        <is>
          <t>No</t>
        </is>
      </c>
      <c r="AS91" t="inlineStr">
        <is>
          <t>No</t>
        </is>
      </c>
      <c r="AU91">
        <f>HYPERLINK("https://creighton-primo.hosted.exlibrisgroup.com/primo-explore/search?tab=default_tab&amp;search_scope=EVERYTHING&amp;vid=01CRU&amp;lang=en_US&amp;offset=0&amp;query=any,contains,991003664409702656","Catalog Record")</f>
        <v/>
      </c>
      <c r="AV91">
        <f>HYPERLINK("http://www.worldcat.org/oclc/1277082","WorldCat Record")</f>
        <v/>
      </c>
      <c r="AW91" t="inlineStr">
        <is>
          <t>330073:eng</t>
        </is>
      </c>
      <c r="AX91" t="inlineStr">
        <is>
          <t>1277082</t>
        </is>
      </c>
      <c r="AY91" t="inlineStr">
        <is>
          <t>991003664409702656</t>
        </is>
      </c>
      <c r="AZ91" t="inlineStr">
        <is>
          <t>991003664409702656</t>
        </is>
      </c>
      <c r="BA91" t="inlineStr">
        <is>
          <t>2259971300002656</t>
        </is>
      </c>
      <c r="BB91" t="inlineStr">
        <is>
          <t>BOOK</t>
        </is>
      </c>
      <c r="BE91" t="inlineStr">
        <is>
          <t>32285002557279</t>
        </is>
      </c>
      <c r="BF91" t="inlineStr">
        <is>
          <t>893775021</t>
        </is>
      </c>
    </row>
    <row r="92">
      <c r="B92" t="inlineStr">
        <is>
          <t>CURAL</t>
        </is>
      </c>
      <c r="C92" t="inlineStr">
        <is>
          <t>SHELVES</t>
        </is>
      </c>
      <c r="D92" t="inlineStr">
        <is>
          <t>KD8225.T6 H4 1982</t>
        </is>
      </c>
      <c r="E92" t="inlineStr">
        <is>
          <t>0                      KD 8225000T  6                  H  4           1982</t>
        </is>
      </c>
      <c r="F92" t="inlineStr">
        <is>
          <t>Torture and English law : an administrative and legal history from the Plantagenets to the Stuarts / James Heath.</t>
        </is>
      </c>
      <c r="H92" t="inlineStr">
        <is>
          <t>No</t>
        </is>
      </c>
      <c r="I92" t="inlineStr">
        <is>
          <t>1</t>
        </is>
      </c>
      <c r="J92" t="inlineStr">
        <is>
          <t>No</t>
        </is>
      </c>
      <c r="K92" t="inlineStr">
        <is>
          <t>No</t>
        </is>
      </c>
      <c r="L92" t="inlineStr">
        <is>
          <t>0</t>
        </is>
      </c>
      <c r="M92" t="inlineStr">
        <is>
          <t>Heath, James, 1920-</t>
        </is>
      </c>
      <c r="N92" t="inlineStr">
        <is>
          <t>Westport, Conn. : Greenwood Press, 1982.</t>
        </is>
      </c>
      <c r="O92" t="inlineStr">
        <is>
          <t>1982</t>
        </is>
      </c>
      <c r="Q92" t="inlineStr">
        <is>
          <t>eng</t>
        </is>
      </c>
      <c r="R92" t="inlineStr">
        <is>
          <t>ctu</t>
        </is>
      </c>
      <c r="S92" t="inlineStr">
        <is>
          <t>Contributions in legal studies, 0147-1074 ; no. 18</t>
        </is>
      </c>
      <c r="T92" t="inlineStr">
        <is>
          <t xml:space="preserve">KD </t>
        </is>
      </c>
      <c r="U92" t="n">
        <v>3</v>
      </c>
      <c r="V92" t="n">
        <v>3</v>
      </c>
      <c r="W92" t="inlineStr">
        <is>
          <t>2010-02-09</t>
        </is>
      </c>
      <c r="X92" t="inlineStr">
        <is>
          <t>2010-02-09</t>
        </is>
      </c>
      <c r="Y92" t="inlineStr">
        <is>
          <t>1992-06-15</t>
        </is>
      </c>
      <c r="Z92" t="inlineStr">
        <is>
          <t>1992-06-15</t>
        </is>
      </c>
      <c r="AA92" t="n">
        <v>552</v>
      </c>
      <c r="AB92" t="n">
        <v>462</v>
      </c>
      <c r="AC92" t="n">
        <v>467</v>
      </c>
      <c r="AD92" t="n">
        <v>1</v>
      </c>
      <c r="AE92" t="n">
        <v>1</v>
      </c>
      <c r="AF92" t="n">
        <v>30</v>
      </c>
      <c r="AG92" t="n">
        <v>30</v>
      </c>
      <c r="AH92" t="n">
        <v>9</v>
      </c>
      <c r="AI92" t="n">
        <v>9</v>
      </c>
      <c r="AJ92" t="n">
        <v>5</v>
      </c>
      <c r="AK92" t="n">
        <v>5</v>
      </c>
      <c r="AL92" t="n">
        <v>8</v>
      </c>
      <c r="AM92" t="n">
        <v>8</v>
      </c>
      <c r="AN92" t="n">
        <v>0</v>
      </c>
      <c r="AO92" t="n">
        <v>0</v>
      </c>
      <c r="AP92" t="n">
        <v>15</v>
      </c>
      <c r="AQ92" t="n">
        <v>15</v>
      </c>
      <c r="AR92" t="inlineStr">
        <is>
          <t>No</t>
        </is>
      </c>
      <c r="AS92" t="inlineStr">
        <is>
          <t>Yes</t>
        </is>
      </c>
      <c r="AT92">
        <f>HYPERLINK("http://catalog.hathitrust.org/Record/000106716","HathiTrust Record")</f>
        <v/>
      </c>
      <c r="AU92">
        <f>HYPERLINK("https://creighton-primo.hosted.exlibrisgroup.com/primo-explore/search?tab=default_tab&amp;search_scope=EVERYTHING&amp;vid=01CRU&amp;lang=en_US&amp;offset=0&amp;query=any,contains,991005043189702656","Catalog Record")</f>
        <v/>
      </c>
      <c r="AV92">
        <f>HYPERLINK("http://www.worldcat.org/oclc/6813384","WorldCat Record")</f>
        <v/>
      </c>
      <c r="AW92" t="inlineStr">
        <is>
          <t>287845717:eng</t>
        </is>
      </c>
      <c r="AX92" t="inlineStr">
        <is>
          <t>6813384</t>
        </is>
      </c>
      <c r="AY92" t="inlineStr">
        <is>
          <t>991005043189702656</t>
        </is>
      </c>
      <c r="AZ92" t="inlineStr">
        <is>
          <t>991005043189702656</t>
        </is>
      </c>
      <c r="BA92" t="inlineStr">
        <is>
          <t>2268494780002656</t>
        </is>
      </c>
      <c r="BB92" t="inlineStr">
        <is>
          <t>BOOK</t>
        </is>
      </c>
      <c r="BD92" t="inlineStr">
        <is>
          <t>9780313225987</t>
        </is>
      </c>
      <c r="BE92" t="inlineStr">
        <is>
          <t>32285001172476</t>
        </is>
      </c>
      <c r="BF92" t="inlineStr">
        <is>
          <t>893801630</t>
        </is>
      </c>
    </row>
    <row r="93">
      <c r="B93" t="inlineStr">
        <is>
          <t>CURAL</t>
        </is>
      </c>
      <c r="C93" t="inlineStr">
        <is>
          <t>SHELVES</t>
        </is>
      </c>
      <c r="D93" t="inlineStr">
        <is>
          <t>KDK145 .B79</t>
        </is>
      </c>
      <c r="E93" t="inlineStr">
        <is>
          <t>0                      KDK0145000B  79</t>
        </is>
      </c>
      <c r="F93" t="inlineStr">
        <is>
          <t>Liberty, order, &amp; law under native Irish rule; a study in the book of the Ancient laws of Ireland.</t>
        </is>
      </c>
      <c r="H93" t="inlineStr">
        <is>
          <t>No</t>
        </is>
      </c>
      <c r="I93" t="inlineStr">
        <is>
          <t>1</t>
        </is>
      </c>
      <c r="J93" t="inlineStr">
        <is>
          <t>No</t>
        </is>
      </c>
      <c r="K93" t="inlineStr">
        <is>
          <t>No</t>
        </is>
      </c>
      <c r="L93" t="inlineStr">
        <is>
          <t>0</t>
        </is>
      </c>
      <c r="M93" t="inlineStr">
        <is>
          <t>Bryant, Sophie (Sophie Willock), 1850-1922.</t>
        </is>
      </c>
      <c r="N93" t="inlineStr">
        <is>
          <t>Port Washington, N.Y., Kennikat Press [1970]</t>
        </is>
      </c>
      <c r="O93" t="inlineStr">
        <is>
          <t>1970</t>
        </is>
      </c>
      <c r="Q93" t="inlineStr">
        <is>
          <t>eng</t>
        </is>
      </c>
      <c r="R93" t="inlineStr">
        <is>
          <t>nyu</t>
        </is>
      </c>
      <c r="S93" t="inlineStr">
        <is>
          <t>Series in Irish history and culture</t>
        </is>
      </c>
      <c r="T93" t="inlineStr">
        <is>
          <t>KDK</t>
        </is>
      </c>
      <c r="U93" t="n">
        <v>0</v>
      </c>
      <c r="V93" t="n">
        <v>0</v>
      </c>
      <c r="W93" t="inlineStr">
        <is>
          <t>2005-05-19</t>
        </is>
      </c>
      <c r="X93" t="inlineStr">
        <is>
          <t>2005-05-19</t>
        </is>
      </c>
      <c r="Y93" t="inlineStr">
        <is>
          <t>1997-04-10</t>
        </is>
      </c>
      <c r="Z93" t="inlineStr">
        <is>
          <t>1997-04-10</t>
        </is>
      </c>
      <c r="AA93" t="n">
        <v>166</v>
      </c>
      <c r="AB93" t="n">
        <v>146</v>
      </c>
      <c r="AC93" t="n">
        <v>335</v>
      </c>
      <c r="AD93" t="n">
        <v>1</v>
      </c>
      <c r="AE93" t="n">
        <v>2</v>
      </c>
      <c r="AF93" t="n">
        <v>14</v>
      </c>
      <c r="AG93" t="n">
        <v>32</v>
      </c>
      <c r="AH93" t="n">
        <v>2</v>
      </c>
      <c r="AI93" t="n">
        <v>6</v>
      </c>
      <c r="AJ93" t="n">
        <v>3</v>
      </c>
      <c r="AK93" t="n">
        <v>5</v>
      </c>
      <c r="AL93" t="n">
        <v>3</v>
      </c>
      <c r="AM93" t="n">
        <v>14</v>
      </c>
      <c r="AN93" t="n">
        <v>0</v>
      </c>
      <c r="AO93" t="n">
        <v>0</v>
      </c>
      <c r="AP93" t="n">
        <v>9</v>
      </c>
      <c r="AQ93" t="n">
        <v>14</v>
      </c>
      <c r="AR93" t="inlineStr">
        <is>
          <t>No</t>
        </is>
      </c>
      <c r="AS93" t="inlineStr">
        <is>
          <t>No</t>
        </is>
      </c>
      <c r="AU93">
        <f>HYPERLINK("https://creighton-primo.hosted.exlibrisgroup.com/primo-explore/search?tab=default_tab&amp;search_scope=EVERYTHING&amp;vid=01CRU&amp;lang=en_US&amp;offset=0&amp;query=any,contains,991000120199702656","Catalog Record")</f>
        <v/>
      </c>
      <c r="AV93">
        <f>HYPERLINK("http://www.worldcat.org/oclc/49959","WorldCat Record")</f>
        <v/>
      </c>
      <c r="AW93" t="inlineStr">
        <is>
          <t>1219565:eng</t>
        </is>
      </c>
      <c r="AX93" t="inlineStr">
        <is>
          <t>49959</t>
        </is>
      </c>
      <c r="AY93" t="inlineStr">
        <is>
          <t>991000120199702656</t>
        </is>
      </c>
      <c r="AZ93" t="inlineStr">
        <is>
          <t>991000120199702656</t>
        </is>
      </c>
      <c r="BA93" t="inlineStr">
        <is>
          <t>2263694600002656</t>
        </is>
      </c>
      <c r="BB93" t="inlineStr">
        <is>
          <t>BOOK</t>
        </is>
      </c>
      <c r="BD93" t="inlineStr">
        <is>
          <t>9780804607704</t>
        </is>
      </c>
      <c r="BE93" t="inlineStr">
        <is>
          <t>32285002523487</t>
        </is>
      </c>
      <c r="BF93" t="inlineStr">
        <is>
          <t>893320820</t>
        </is>
      </c>
    </row>
    <row r="94">
      <c r="B94" t="inlineStr">
        <is>
          <t>CURAL</t>
        </is>
      </c>
      <c r="C94" t="inlineStr">
        <is>
          <t>SHELVES</t>
        </is>
      </c>
      <c r="D94" t="inlineStr">
        <is>
          <t>KDZ675 .R54 1989</t>
        </is>
      </c>
      <c r="E94" t="inlineStr">
        <is>
          <t>0                      KDZ0675000R  54          1989</t>
        </is>
      </c>
      <c r="F94" t="inlineStr">
        <is>
          <t>The Right to health in the Americas : a comparative constitutional study / editors, Hernán L. Fuenzalida-Puelma/Susan Scholle Connor.</t>
        </is>
      </c>
      <c r="H94" t="inlineStr">
        <is>
          <t>No</t>
        </is>
      </c>
      <c r="I94" t="inlineStr">
        <is>
          <t>1</t>
        </is>
      </c>
      <c r="J94" t="inlineStr">
        <is>
          <t>No</t>
        </is>
      </c>
      <c r="K94" t="inlineStr">
        <is>
          <t>No</t>
        </is>
      </c>
      <c r="L94" t="inlineStr">
        <is>
          <t>0</t>
        </is>
      </c>
      <c r="N94" t="inlineStr">
        <is>
          <t>Washington, D.C., U.S.A. : Pan American Health Organization, c1989.</t>
        </is>
      </c>
      <c r="O94" t="inlineStr">
        <is>
          <t>1989</t>
        </is>
      </c>
      <c r="Q94" t="inlineStr">
        <is>
          <t>eng</t>
        </is>
      </c>
      <c r="R94" t="inlineStr">
        <is>
          <t>dcu</t>
        </is>
      </c>
      <c r="S94" t="inlineStr">
        <is>
          <t>Scientific publication ; no. 509</t>
        </is>
      </c>
      <c r="T94" t="inlineStr">
        <is>
          <t>KDZ</t>
        </is>
      </c>
      <c r="U94" t="n">
        <v>4</v>
      </c>
      <c r="V94" t="n">
        <v>4</v>
      </c>
      <c r="W94" t="inlineStr">
        <is>
          <t>2007-04-21</t>
        </is>
      </c>
      <c r="X94" t="inlineStr">
        <is>
          <t>2007-04-21</t>
        </is>
      </c>
      <c r="Y94" t="inlineStr">
        <is>
          <t>1998-08-27</t>
        </is>
      </c>
      <c r="Z94" t="inlineStr">
        <is>
          <t>1998-08-27</t>
        </is>
      </c>
      <c r="AA94" t="n">
        <v>230</v>
      </c>
      <c r="AB94" t="n">
        <v>182</v>
      </c>
      <c r="AC94" t="n">
        <v>182</v>
      </c>
      <c r="AD94" t="n">
        <v>2</v>
      </c>
      <c r="AE94" t="n">
        <v>2</v>
      </c>
      <c r="AF94" t="n">
        <v>12</v>
      </c>
      <c r="AG94" t="n">
        <v>12</v>
      </c>
      <c r="AH94" t="n">
        <v>0</v>
      </c>
      <c r="AI94" t="n">
        <v>0</v>
      </c>
      <c r="AJ94" t="n">
        <v>2</v>
      </c>
      <c r="AK94" t="n">
        <v>2</v>
      </c>
      <c r="AL94" t="n">
        <v>1</v>
      </c>
      <c r="AM94" t="n">
        <v>1</v>
      </c>
      <c r="AN94" t="n">
        <v>1</v>
      </c>
      <c r="AO94" t="n">
        <v>1</v>
      </c>
      <c r="AP94" t="n">
        <v>8</v>
      </c>
      <c r="AQ94" t="n">
        <v>8</v>
      </c>
      <c r="AR94" t="inlineStr">
        <is>
          <t>No</t>
        </is>
      </c>
      <c r="AS94" t="inlineStr">
        <is>
          <t>No</t>
        </is>
      </c>
      <c r="AU94">
        <f>HYPERLINK("https://creighton-primo.hosted.exlibrisgroup.com/primo-explore/search?tab=default_tab&amp;search_scope=EVERYTHING&amp;vid=01CRU&amp;lang=en_US&amp;offset=0&amp;query=any,contains,991001615909702656","Catalog Record")</f>
        <v/>
      </c>
      <c r="AV94">
        <f>HYPERLINK("http://www.worldcat.org/oclc/20771510","WorldCat Record")</f>
        <v/>
      </c>
      <c r="AW94" t="inlineStr">
        <is>
          <t>793978966:eng</t>
        </is>
      </c>
      <c r="AX94" t="inlineStr">
        <is>
          <t>20771510</t>
        </is>
      </c>
      <c r="AY94" t="inlineStr">
        <is>
          <t>991001615909702656</t>
        </is>
      </c>
      <c r="AZ94" t="inlineStr">
        <is>
          <t>991001615909702656</t>
        </is>
      </c>
      <c r="BA94" t="inlineStr">
        <is>
          <t>2261370100002656</t>
        </is>
      </c>
      <c r="BB94" t="inlineStr">
        <is>
          <t>BOOK</t>
        </is>
      </c>
      <c r="BD94" t="inlineStr">
        <is>
          <t>9789275115091</t>
        </is>
      </c>
      <c r="BE94" t="inlineStr">
        <is>
          <t>32285003463352</t>
        </is>
      </c>
      <c r="BF94" t="inlineStr">
        <is>
          <t>893340544</t>
        </is>
      </c>
    </row>
    <row r="95">
      <c r="B95" t="inlineStr">
        <is>
          <t>CURAL</t>
        </is>
      </c>
      <c r="C95" t="inlineStr">
        <is>
          <t>SHELVES</t>
        </is>
      </c>
      <c r="D95" t="inlineStr">
        <is>
          <t>KE229.S56 M69</t>
        </is>
      </c>
      <c r="E95" t="inlineStr">
        <is>
          <t>0                      KE 0229000S  56                 M  69</t>
        </is>
      </c>
      <c r="F95" t="inlineStr">
        <is>
          <t>British law and Arctic men : the celebrated 1917 murder trials of Sinnisiak and Uluksuk, first Inuit tried under white man's law / R.G. Moyles.</t>
        </is>
      </c>
      <c r="H95" t="inlineStr">
        <is>
          <t>No</t>
        </is>
      </c>
      <c r="I95" t="inlineStr">
        <is>
          <t>1</t>
        </is>
      </c>
      <c r="J95" t="inlineStr">
        <is>
          <t>No</t>
        </is>
      </c>
      <c r="K95" t="inlineStr">
        <is>
          <t>No</t>
        </is>
      </c>
      <c r="L95" t="inlineStr">
        <is>
          <t>0</t>
        </is>
      </c>
      <c r="M95" t="inlineStr">
        <is>
          <t>Moyles, R. G.</t>
        </is>
      </c>
      <c r="N95" t="inlineStr">
        <is>
          <t>Saskatoon, Sask. : Western Producer Prairie Books, 1979.</t>
        </is>
      </c>
      <c r="O95" t="inlineStr">
        <is>
          <t>1979</t>
        </is>
      </c>
      <c r="Q95" t="inlineStr">
        <is>
          <t>eng</t>
        </is>
      </c>
      <c r="R95" t="inlineStr">
        <is>
          <t>snc</t>
        </is>
      </c>
      <c r="T95" t="inlineStr">
        <is>
          <t xml:space="preserve">KE </t>
        </is>
      </c>
      <c r="U95" t="n">
        <v>2</v>
      </c>
      <c r="V95" t="n">
        <v>2</v>
      </c>
      <c r="W95" t="inlineStr">
        <is>
          <t>2005-05-19</t>
        </is>
      </c>
      <c r="X95" t="inlineStr">
        <is>
          <t>2005-05-19</t>
        </is>
      </c>
      <c r="Y95" t="inlineStr">
        <is>
          <t>2005-05-19</t>
        </is>
      </c>
      <c r="Z95" t="inlineStr">
        <is>
          <t>2005-05-19</t>
        </is>
      </c>
      <c r="AA95" t="n">
        <v>135</v>
      </c>
      <c r="AB95" t="n">
        <v>64</v>
      </c>
      <c r="AC95" t="n">
        <v>75</v>
      </c>
      <c r="AD95" t="n">
        <v>2</v>
      </c>
      <c r="AE95" t="n">
        <v>2</v>
      </c>
      <c r="AF95" t="n">
        <v>3</v>
      </c>
      <c r="AG95" t="n">
        <v>4</v>
      </c>
      <c r="AH95" t="n">
        <v>0</v>
      </c>
      <c r="AI95" t="n">
        <v>0</v>
      </c>
      <c r="AJ95" t="n">
        <v>0</v>
      </c>
      <c r="AK95" t="n">
        <v>0</v>
      </c>
      <c r="AL95" t="n">
        <v>0</v>
      </c>
      <c r="AM95" t="n">
        <v>0</v>
      </c>
      <c r="AN95" t="n">
        <v>0</v>
      </c>
      <c r="AO95" t="n">
        <v>0</v>
      </c>
      <c r="AP95" t="n">
        <v>3</v>
      </c>
      <c r="AQ95" t="n">
        <v>4</v>
      </c>
      <c r="AR95" t="inlineStr">
        <is>
          <t>No</t>
        </is>
      </c>
      <c r="AS95" t="inlineStr">
        <is>
          <t>No</t>
        </is>
      </c>
      <c r="AU95">
        <f>HYPERLINK("https://creighton-primo.hosted.exlibrisgroup.com/primo-explore/search?tab=default_tab&amp;search_scope=EVERYTHING&amp;vid=01CRU&amp;lang=en_US&amp;offset=0&amp;query=any,contains,991004556109702656","Catalog Record")</f>
        <v/>
      </c>
      <c r="AV95">
        <f>HYPERLINK("http://www.worldcat.org/oclc/5976384","WorldCat Record")</f>
        <v/>
      </c>
      <c r="AW95" t="inlineStr">
        <is>
          <t>20806844:eng</t>
        </is>
      </c>
      <c r="AX95" t="inlineStr">
        <is>
          <t>5976384</t>
        </is>
      </c>
      <c r="AY95" t="inlineStr">
        <is>
          <t>991004556109702656</t>
        </is>
      </c>
      <c r="AZ95" t="inlineStr">
        <is>
          <t>991004556109702656</t>
        </is>
      </c>
      <c r="BA95" t="inlineStr">
        <is>
          <t>2265315860002656</t>
        </is>
      </c>
      <c r="BB95" t="inlineStr">
        <is>
          <t>BOOK</t>
        </is>
      </c>
      <c r="BD95" t="inlineStr">
        <is>
          <t>9780888330215</t>
        </is>
      </c>
      <c r="BE95" t="inlineStr">
        <is>
          <t>32285005039424</t>
        </is>
      </c>
      <c r="BF95" t="inlineStr">
        <is>
          <t>893436422</t>
        </is>
      </c>
    </row>
    <row r="96">
      <c r="B96" t="inlineStr">
        <is>
          <t>CURAL</t>
        </is>
      </c>
      <c r="C96" t="inlineStr">
        <is>
          <t>SHELVES</t>
        </is>
      </c>
      <c r="D96" t="inlineStr">
        <is>
          <t>KE4199 .H43 1991</t>
        </is>
      </c>
      <c r="E96" t="inlineStr">
        <is>
          <t>0                      KE 4199000H  43          1991</t>
        </is>
      </c>
      <c r="F96" t="inlineStr">
        <is>
          <t>Canadian constitutional conventions : the marriage of law and politics / Andrew Heard.</t>
        </is>
      </c>
      <c r="H96" t="inlineStr">
        <is>
          <t>No</t>
        </is>
      </c>
      <c r="I96" t="inlineStr">
        <is>
          <t>1</t>
        </is>
      </c>
      <c r="J96" t="inlineStr">
        <is>
          <t>No</t>
        </is>
      </c>
      <c r="K96" t="inlineStr">
        <is>
          <t>No</t>
        </is>
      </c>
      <c r="L96" t="inlineStr">
        <is>
          <t>0</t>
        </is>
      </c>
      <c r="M96" t="inlineStr">
        <is>
          <t>Heard, Andrew David, 1957-</t>
        </is>
      </c>
      <c r="N96" t="inlineStr">
        <is>
          <t>Toronto ; Oxford : Oxford University Press, 1991.</t>
        </is>
      </c>
      <c r="O96" t="inlineStr">
        <is>
          <t>1991</t>
        </is>
      </c>
      <c r="Q96" t="inlineStr">
        <is>
          <t>eng</t>
        </is>
      </c>
      <c r="R96" t="inlineStr">
        <is>
          <t>enk</t>
        </is>
      </c>
      <c r="T96" t="inlineStr">
        <is>
          <t xml:space="preserve">KE </t>
        </is>
      </c>
      <c r="U96" t="n">
        <v>2</v>
      </c>
      <c r="V96" t="n">
        <v>2</v>
      </c>
      <c r="W96" t="inlineStr">
        <is>
          <t>2010-11-01</t>
        </is>
      </c>
      <c r="X96" t="inlineStr">
        <is>
          <t>2010-11-01</t>
        </is>
      </c>
      <c r="Y96" t="inlineStr">
        <is>
          <t>1992-09-05</t>
        </is>
      </c>
      <c r="Z96" t="inlineStr">
        <is>
          <t>1992-09-05</t>
        </is>
      </c>
      <c r="AA96" t="n">
        <v>313</v>
      </c>
      <c r="AB96" t="n">
        <v>164</v>
      </c>
      <c r="AC96" t="n">
        <v>169</v>
      </c>
      <c r="AD96" t="n">
        <v>1</v>
      </c>
      <c r="AE96" t="n">
        <v>1</v>
      </c>
      <c r="AF96" t="n">
        <v>14</v>
      </c>
      <c r="AG96" t="n">
        <v>14</v>
      </c>
      <c r="AH96" t="n">
        <v>2</v>
      </c>
      <c r="AI96" t="n">
        <v>2</v>
      </c>
      <c r="AJ96" t="n">
        <v>4</v>
      </c>
      <c r="AK96" t="n">
        <v>4</v>
      </c>
      <c r="AL96" t="n">
        <v>3</v>
      </c>
      <c r="AM96" t="n">
        <v>3</v>
      </c>
      <c r="AN96" t="n">
        <v>0</v>
      </c>
      <c r="AO96" t="n">
        <v>0</v>
      </c>
      <c r="AP96" t="n">
        <v>8</v>
      </c>
      <c r="AQ96" t="n">
        <v>8</v>
      </c>
      <c r="AR96" t="inlineStr">
        <is>
          <t>No</t>
        </is>
      </c>
      <c r="AS96" t="inlineStr">
        <is>
          <t>Yes</t>
        </is>
      </c>
      <c r="AT96">
        <f>HYPERLINK("http://catalog.hathitrust.org/Record/002471544","HathiTrust Record")</f>
        <v/>
      </c>
      <c r="AU96">
        <f>HYPERLINK("https://creighton-primo.hosted.exlibrisgroup.com/primo-explore/search?tab=default_tab&amp;search_scope=EVERYTHING&amp;vid=01CRU&amp;lang=en_US&amp;offset=0&amp;query=any,contains,991001957609702656","Catalog Record")</f>
        <v/>
      </c>
      <c r="AV96">
        <f>HYPERLINK("http://www.worldcat.org/oclc/24794332","WorldCat Record")</f>
        <v/>
      </c>
      <c r="AW96" t="inlineStr">
        <is>
          <t>836806271:eng</t>
        </is>
      </c>
      <c r="AX96" t="inlineStr">
        <is>
          <t>24794332</t>
        </is>
      </c>
      <c r="AY96" t="inlineStr">
        <is>
          <t>991001957609702656</t>
        </is>
      </c>
      <c r="AZ96" t="inlineStr">
        <is>
          <t>991001957609702656</t>
        </is>
      </c>
      <c r="BA96" t="inlineStr">
        <is>
          <t>2260286190002656</t>
        </is>
      </c>
      <c r="BB96" t="inlineStr">
        <is>
          <t>BOOK</t>
        </is>
      </c>
      <c r="BD96" t="inlineStr">
        <is>
          <t>9780195407198</t>
        </is>
      </c>
      <c r="BE96" t="inlineStr">
        <is>
          <t>32285001285898</t>
        </is>
      </c>
      <c r="BF96" t="inlineStr">
        <is>
          <t>893691065</t>
        </is>
      </c>
    </row>
    <row r="97">
      <c r="B97" t="inlineStr">
        <is>
          <t>CURAL</t>
        </is>
      </c>
      <c r="C97" t="inlineStr">
        <is>
          <t>SHELVES</t>
        </is>
      </c>
      <c r="D97" t="inlineStr">
        <is>
          <t>KE452.C6 C93 1997</t>
        </is>
      </c>
      <c r="E97" t="inlineStr">
        <is>
          <t>0                      KE 0452000C  6                  C  93          1997</t>
        </is>
      </c>
      <c r="F97" t="inlineStr">
        <is>
          <t>Cyberlaw : what you need to know about doing business online / David Johnston, Sunny Handa, Charles Morgan.</t>
        </is>
      </c>
      <c r="H97" t="inlineStr">
        <is>
          <t>No</t>
        </is>
      </c>
      <c r="I97" t="inlineStr">
        <is>
          <t>1</t>
        </is>
      </c>
      <c r="J97" t="inlineStr">
        <is>
          <t>No</t>
        </is>
      </c>
      <c r="K97" t="inlineStr">
        <is>
          <t>No</t>
        </is>
      </c>
      <c r="L97" t="inlineStr">
        <is>
          <t>0</t>
        </is>
      </c>
      <c r="M97" t="inlineStr">
        <is>
          <t>Johnston, David L.</t>
        </is>
      </c>
      <c r="N97" t="inlineStr">
        <is>
          <t>Toronto, Canada : Stoddart, c1997.</t>
        </is>
      </c>
      <c r="O97" t="inlineStr">
        <is>
          <t>1997</t>
        </is>
      </c>
      <c r="Q97" t="inlineStr">
        <is>
          <t>eng</t>
        </is>
      </c>
      <c r="R97" t="inlineStr">
        <is>
          <t>xxc</t>
        </is>
      </c>
      <c r="T97" t="inlineStr">
        <is>
          <t xml:space="preserve">KE </t>
        </is>
      </c>
      <c r="U97" t="n">
        <v>11</v>
      </c>
      <c r="V97" t="n">
        <v>11</v>
      </c>
      <c r="W97" t="inlineStr">
        <is>
          <t>2010-11-07</t>
        </is>
      </c>
      <c r="X97" t="inlineStr">
        <is>
          <t>2010-11-07</t>
        </is>
      </c>
      <c r="Y97" t="inlineStr">
        <is>
          <t>1998-10-20</t>
        </is>
      </c>
      <c r="Z97" t="inlineStr">
        <is>
          <t>1998-10-20</t>
        </is>
      </c>
      <c r="AA97" t="n">
        <v>182</v>
      </c>
      <c r="AB97" t="n">
        <v>164</v>
      </c>
      <c r="AC97" t="n">
        <v>223</v>
      </c>
      <c r="AD97" t="n">
        <v>1</v>
      </c>
      <c r="AE97" t="n">
        <v>1</v>
      </c>
      <c r="AF97" t="n">
        <v>6</v>
      </c>
      <c r="AG97" t="n">
        <v>7</v>
      </c>
      <c r="AH97" t="n">
        <v>3</v>
      </c>
      <c r="AI97" t="n">
        <v>3</v>
      </c>
      <c r="AJ97" t="n">
        <v>1</v>
      </c>
      <c r="AK97" t="n">
        <v>1</v>
      </c>
      <c r="AL97" t="n">
        <v>2</v>
      </c>
      <c r="AM97" t="n">
        <v>2</v>
      </c>
      <c r="AN97" t="n">
        <v>0</v>
      </c>
      <c r="AO97" t="n">
        <v>0</v>
      </c>
      <c r="AP97" t="n">
        <v>1</v>
      </c>
      <c r="AQ97" t="n">
        <v>2</v>
      </c>
      <c r="AR97" t="inlineStr">
        <is>
          <t>No</t>
        </is>
      </c>
      <c r="AS97" t="inlineStr">
        <is>
          <t>No</t>
        </is>
      </c>
      <c r="AU97">
        <f>HYPERLINK("https://creighton-primo.hosted.exlibrisgroup.com/primo-explore/search?tab=default_tab&amp;search_scope=EVERYTHING&amp;vid=01CRU&amp;lang=en_US&amp;offset=0&amp;query=any,contains,991002871779702656","Catalog Record")</f>
        <v/>
      </c>
      <c r="AV97">
        <f>HYPERLINK("http://www.worldcat.org/oclc/37861796","WorldCat Record")</f>
        <v/>
      </c>
      <c r="AW97" t="inlineStr">
        <is>
          <t>597019:eng</t>
        </is>
      </c>
      <c r="AX97" t="inlineStr">
        <is>
          <t>37861796</t>
        </is>
      </c>
      <c r="AY97" t="inlineStr">
        <is>
          <t>991002871779702656</t>
        </is>
      </c>
      <c r="AZ97" t="inlineStr">
        <is>
          <t>991002871779702656</t>
        </is>
      </c>
      <c r="BA97" t="inlineStr">
        <is>
          <t>2266560880002656</t>
        </is>
      </c>
      <c r="BB97" t="inlineStr">
        <is>
          <t>BOOK</t>
        </is>
      </c>
      <c r="BD97" t="inlineStr">
        <is>
          <t>9780773758735</t>
        </is>
      </c>
      <c r="BE97" t="inlineStr">
        <is>
          <t>32285003475174</t>
        </is>
      </c>
      <c r="BF97" t="inlineStr">
        <is>
          <t>893597997</t>
        </is>
      </c>
    </row>
    <row r="98">
      <c r="B98" t="inlineStr">
        <is>
          <t>CURAL</t>
        </is>
      </c>
      <c r="C98" t="inlineStr">
        <is>
          <t>SHELVES</t>
        </is>
      </c>
      <c r="D98" t="inlineStr">
        <is>
          <t>KF 3030.4 M648u 1988</t>
        </is>
      </c>
      <c r="E98" t="inlineStr">
        <is>
          <t>0                      KF 3030400M  648u        1988</t>
        </is>
      </c>
      <c r="F98" t="inlineStr">
        <is>
          <t>Using copyrighted videocassettes in classrooms, libraries, and training centers / by Jerome K. Miller.</t>
        </is>
      </c>
      <c r="H98" t="inlineStr">
        <is>
          <t>No</t>
        </is>
      </c>
      <c r="I98" t="inlineStr">
        <is>
          <t>1</t>
        </is>
      </c>
      <c r="J98" t="inlineStr">
        <is>
          <t>No</t>
        </is>
      </c>
      <c r="K98" t="inlineStr">
        <is>
          <t>No</t>
        </is>
      </c>
      <c r="L98" t="inlineStr">
        <is>
          <t>0</t>
        </is>
      </c>
      <c r="M98" t="inlineStr">
        <is>
          <t>Miller, Jerome K.</t>
        </is>
      </c>
      <c r="N98" t="inlineStr">
        <is>
          <t>Friday Harbor, WA : Copyright Information Services, c1988.</t>
        </is>
      </c>
      <c r="O98" t="inlineStr">
        <is>
          <t>1988</t>
        </is>
      </c>
      <c r="P98" t="inlineStr">
        <is>
          <t>2nd ed.</t>
        </is>
      </c>
      <c r="Q98" t="inlineStr">
        <is>
          <t>eng</t>
        </is>
      </c>
      <c r="R98" t="inlineStr">
        <is>
          <t>wau</t>
        </is>
      </c>
      <c r="S98" t="inlineStr">
        <is>
          <t>Copyright information bulletin ; no. 3</t>
        </is>
      </c>
      <c r="T98" t="inlineStr">
        <is>
          <t xml:space="preserve">KF </t>
        </is>
      </c>
      <c r="U98" t="n">
        <v>2</v>
      </c>
      <c r="V98" t="n">
        <v>2</v>
      </c>
      <c r="W98" t="inlineStr">
        <is>
          <t>2003-08-29</t>
        </is>
      </c>
      <c r="X98" t="inlineStr">
        <is>
          <t>2003-08-29</t>
        </is>
      </c>
      <c r="Y98" t="inlineStr">
        <is>
          <t>1992-07-21</t>
        </is>
      </c>
      <c r="Z98" t="inlineStr">
        <is>
          <t>1992-07-21</t>
        </is>
      </c>
      <c r="AA98" t="n">
        <v>586</v>
      </c>
      <c r="AB98" t="n">
        <v>564</v>
      </c>
      <c r="AC98" t="n">
        <v>574</v>
      </c>
      <c r="AD98" t="n">
        <v>5</v>
      </c>
      <c r="AE98" t="n">
        <v>5</v>
      </c>
      <c r="AF98" t="n">
        <v>18</v>
      </c>
      <c r="AG98" t="n">
        <v>18</v>
      </c>
      <c r="AH98" t="n">
        <v>5</v>
      </c>
      <c r="AI98" t="n">
        <v>5</v>
      </c>
      <c r="AJ98" t="n">
        <v>0</v>
      </c>
      <c r="AK98" t="n">
        <v>0</v>
      </c>
      <c r="AL98" t="n">
        <v>6</v>
      </c>
      <c r="AM98" t="n">
        <v>6</v>
      </c>
      <c r="AN98" t="n">
        <v>2</v>
      </c>
      <c r="AO98" t="n">
        <v>2</v>
      </c>
      <c r="AP98" t="n">
        <v>7</v>
      </c>
      <c r="AQ98" t="n">
        <v>7</v>
      </c>
      <c r="AR98" t="inlineStr">
        <is>
          <t>No</t>
        </is>
      </c>
      <c r="AS98" t="inlineStr">
        <is>
          <t>Yes</t>
        </is>
      </c>
      <c r="AT98">
        <f>HYPERLINK("http://catalog.hathitrust.org/Record/001303736","HathiTrust Record")</f>
        <v/>
      </c>
      <c r="AU98">
        <f>HYPERLINK("https://creighton-primo.hosted.exlibrisgroup.com/primo-explore/search?tab=default_tab&amp;search_scope=EVERYTHING&amp;vid=01CRU&amp;lang=en_US&amp;offset=0&amp;query=any,contains,991005309189702656","Catalog Record")</f>
        <v/>
      </c>
      <c r="AV98">
        <f>HYPERLINK("http://www.worldcat.org/oclc/16716819","WorldCat Record")</f>
        <v/>
      </c>
      <c r="AW98" t="inlineStr">
        <is>
          <t>13479064:eng</t>
        </is>
      </c>
      <c r="AX98" t="inlineStr">
        <is>
          <t>16716819</t>
        </is>
      </c>
      <c r="AY98" t="inlineStr">
        <is>
          <t>991005309189702656</t>
        </is>
      </c>
      <c r="AZ98" t="inlineStr">
        <is>
          <t>991005309189702656</t>
        </is>
      </c>
      <c r="BA98" t="inlineStr">
        <is>
          <t>2263052540002656</t>
        </is>
      </c>
      <c r="BB98" t="inlineStr">
        <is>
          <t>BOOK</t>
        </is>
      </c>
      <c r="BD98" t="inlineStr">
        <is>
          <t>9780914143147</t>
        </is>
      </c>
      <c r="BE98" t="inlineStr">
        <is>
          <t>32285001215077</t>
        </is>
      </c>
      <c r="BF98" t="inlineStr">
        <is>
          <t>893594827</t>
        </is>
      </c>
    </row>
    <row r="99">
      <c r="B99" t="inlineStr">
        <is>
          <t>CURAL</t>
        </is>
      </c>
      <c r="C99" t="inlineStr">
        <is>
          <t>SHELVES</t>
        </is>
      </c>
      <c r="D99" t="inlineStr">
        <is>
          <t>KF1024.Z9 D68 1994</t>
        </is>
      </c>
      <c r="E99" t="inlineStr">
        <is>
          <t>0                      KF 1024000Z  9                  D  68          1994</t>
        </is>
      </c>
      <c r="F99" t="inlineStr">
        <is>
          <t>Back off! : the definitive guide to stopping collection agency harassment / Benjamin F. Dover</t>
        </is>
      </c>
      <c r="H99" t="inlineStr">
        <is>
          <t>No</t>
        </is>
      </c>
      <c r="I99" t="inlineStr">
        <is>
          <t>1</t>
        </is>
      </c>
      <c r="J99" t="inlineStr">
        <is>
          <t>No</t>
        </is>
      </c>
      <c r="K99" t="inlineStr">
        <is>
          <t>No</t>
        </is>
      </c>
      <c r="L99" t="inlineStr">
        <is>
          <t>0</t>
        </is>
      </c>
      <c r="M99" t="inlineStr">
        <is>
          <t>Dover, Benjamin.</t>
        </is>
      </c>
      <c r="N99" t="inlineStr">
        <is>
          <t>Fort Worth, Tex. : Equitable Media Services, c1994.</t>
        </is>
      </c>
      <c r="O99" t="inlineStr">
        <is>
          <t>1994</t>
        </is>
      </c>
      <c r="Q99" t="inlineStr">
        <is>
          <t>eng</t>
        </is>
      </c>
      <c r="R99" t="inlineStr">
        <is>
          <t>txu</t>
        </is>
      </c>
      <c r="T99" t="inlineStr">
        <is>
          <t xml:space="preserve">KF </t>
        </is>
      </c>
      <c r="U99" t="n">
        <v>1</v>
      </c>
      <c r="V99" t="n">
        <v>1</v>
      </c>
      <c r="W99" t="inlineStr">
        <is>
          <t>2008-12-11</t>
        </is>
      </c>
      <c r="X99" t="inlineStr">
        <is>
          <t>2008-12-11</t>
        </is>
      </c>
      <c r="Y99" t="inlineStr">
        <is>
          <t>2008-12-11</t>
        </is>
      </c>
      <c r="Z99" t="inlineStr">
        <is>
          <t>2008-12-11</t>
        </is>
      </c>
      <c r="AA99" t="n">
        <v>78</v>
      </c>
      <c r="AB99" t="n">
        <v>78</v>
      </c>
      <c r="AC99" t="n">
        <v>94</v>
      </c>
      <c r="AD99" t="n">
        <v>1</v>
      </c>
      <c r="AE99" t="n">
        <v>1</v>
      </c>
      <c r="AF99" t="n">
        <v>1</v>
      </c>
      <c r="AG99" t="n">
        <v>1</v>
      </c>
      <c r="AH99" t="n">
        <v>0</v>
      </c>
      <c r="AI99" t="n">
        <v>0</v>
      </c>
      <c r="AJ99" t="n">
        <v>0</v>
      </c>
      <c r="AK99" t="n">
        <v>0</v>
      </c>
      <c r="AL99" t="n">
        <v>0</v>
      </c>
      <c r="AM99" t="n">
        <v>0</v>
      </c>
      <c r="AN99" t="n">
        <v>0</v>
      </c>
      <c r="AO99" t="n">
        <v>0</v>
      </c>
      <c r="AP99" t="n">
        <v>1</v>
      </c>
      <c r="AQ99" t="n">
        <v>1</v>
      </c>
      <c r="AR99" t="inlineStr">
        <is>
          <t>No</t>
        </is>
      </c>
      <c r="AS99" t="inlineStr">
        <is>
          <t>No</t>
        </is>
      </c>
      <c r="AU99">
        <f>HYPERLINK("https://creighton-primo.hosted.exlibrisgroup.com/primo-explore/search?tab=default_tab&amp;search_scope=EVERYTHING&amp;vid=01CRU&amp;lang=en_US&amp;offset=0&amp;query=any,contains,991005280019702656","Catalog Record")</f>
        <v/>
      </c>
      <c r="AV99">
        <f>HYPERLINK("http://www.worldcat.org/oclc/31495986","WorldCat Record")</f>
        <v/>
      </c>
      <c r="AW99" t="inlineStr">
        <is>
          <t>4161630266:eng</t>
        </is>
      </c>
      <c r="AX99" t="inlineStr">
        <is>
          <t>31495986</t>
        </is>
      </c>
      <c r="AY99" t="inlineStr">
        <is>
          <t>991005280019702656</t>
        </is>
      </c>
      <c r="AZ99" t="inlineStr">
        <is>
          <t>991005280019702656</t>
        </is>
      </c>
      <c r="BA99" t="inlineStr">
        <is>
          <t>2255439760002656</t>
        </is>
      </c>
      <c r="BB99" t="inlineStr">
        <is>
          <t>BOOK</t>
        </is>
      </c>
      <c r="BD99" t="inlineStr">
        <is>
          <t>9781880925041</t>
        </is>
      </c>
      <c r="BE99" t="inlineStr">
        <is>
          <t>32285005472740</t>
        </is>
      </c>
      <c r="BF99" t="inlineStr">
        <is>
          <t>893802053</t>
        </is>
      </c>
    </row>
    <row r="100">
      <c r="B100" t="inlineStr">
        <is>
          <t>CURAL</t>
        </is>
      </c>
      <c r="C100" t="inlineStr">
        <is>
          <t>SHELVES</t>
        </is>
      </c>
      <c r="D100" t="inlineStr">
        <is>
          <t>KF1030.E4 V37 1998</t>
        </is>
      </c>
      <c r="E100" t="inlineStr">
        <is>
          <t>0                      KF 1030000E  4                  V  37          1998</t>
        </is>
      </c>
      <c r="F100" t="inlineStr">
        <is>
          <t>21st century money, banking &amp; commerce / Thomas P. Vartanian, Robert H. Ledig, Lynn Bruneau.</t>
        </is>
      </c>
      <c r="H100" t="inlineStr">
        <is>
          <t>No</t>
        </is>
      </c>
      <c r="I100" t="inlineStr">
        <is>
          <t>1</t>
        </is>
      </c>
      <c r="J100" t="inlineStr">
        <is>
          <t>Yes</t>
        </is>
      </c>
      <c r="K100" t="inlineStr">
        <is>
          <t>No</t>
        </is>
      </c>
      <c r="L100" t="inlineStr">
        <is>
          <t>0</t>
        </is>
      </c>
      <c r="M100" t="inlineStr">
        <is>
          <t>Vartanian, Thomas P.</t>
        </is>
      </c>
      <c r="N100" t="inlineStr">
        <is>
          <t>Washington, D.C. : Fried, Frank, Harris, Shriver &amp; Jacobson, c1998.</t>
        </is>
      </c>
      <c r="O100" t="inlineStr">
        <is>
          <t>1998</t>
        </is>
      </c>
      <c r="Q100" t="inlineStr">
        <is>
          <t>eng</t>
        </is>
      </c>
      <c r="R100" t="inlineStr">
        <is>
          <t>dcu</t>
        </is>
      </c>
      <c r="T100" t="inlineStr">
        <is>
          <t xml:space="preserve">KF </t>
        </is>
      </c>
      <c r="U100" t="n">
        <v>2</v>
      </c>
      <c r="V100" t="n">
        <v>4</v>
      </c>
      <c r="W100" t="inlineStr">
        <is>
          <t>2002-04-24</t>
        </is>
      </c>
      <c r="X100" t="inlineStr">
        <is>
          <t>2002-04-24</t>
        </is>
      </c>
      <c r="Y100" t="inlineStr">
        <is>
          <t>2000-03-29</t>
        </is>
      </c>
      <c r="Z100" t="inlineStr">
        <is>
          <t>2000-06-26</t>
        </is>
      </c>
      <c r="AA100" t="n">
        <v>137</v>
      </c>
      <c r="AB100" t="n">
        <v>112</v>
      </c>
      <c r="AC100" t="n">
        <v>114</v>
      </c>
      <c r="AD100" t="n">
        <v>2</v>
      </c>
      <c r="AE100" t="n">
        <v>2</v>
      </c>
      <c r="AF100" t="n">
        <v>5</v>
      </c>
      <c r="AG100" t="n">
        <v>5</v>
      </c>
      <c r="AH100" t="n">
        <v>0</v>
      </c>
      <c r="AI100" t="n">
        <v>0</v>
      </c>
      <c r="AJ100" t="n">
        <v>0</v>
      </c>
      <c r="AK100" t="n">
        <v>0</v>
      </c>
      <c r="AL100" t="n">
        <v>0</v>
      </c>
      <c r="AM100" t="n">
        <v>0</v>
      </c>
      <c r="AN100" t="n">
        <v>0</v>
      </c>
      <c r="AO100" t="n">
        <v>0</v>
      </c>
      <c r="AP100" t="n">
        <v>5</v>
      </c>
      <c r="AQ100" t="n">
        <v>5</v>
      </c>
      <c r="AR100" t="inlineStr">
        <is>
          <t>No</t>
        </is>
      </c>
      <c r="AS100" t="inlineStr">
        <is>
          <t>No</t>
        </is>
      </c>
      <c r="AU100">
        <f>HYPERLINK("https://creighton-primo.hosted.exlibrisgroup.com/primo-explore/search?tab=default_tab&amp;search_scope=EVERYTHING&amp;vid=01CRU&amp;lang=en_US&amp;offset=0&amp;query=any,contains,991001693439702656","Catalog Record")</f>
        <v/>
      </c>
      <c r="AV100">
        <f>HYPERLINK("http://www.worldcat.org/oclc/39287751","WorldCat Record")</f>
        <v/>
      </c>
      <c r="AW100" t="inlineStr">
        <is>
          <t>42452689:eng</t>
        </is>
      </c>
      <c r="AX100" t="inlineStr">
        <is>
          <t>39287751</t>
        </is>
      </c>
      <c r="AY100" t="inlineStr">
        <is>
          <t>991001693439702656</t>
        </is>
      </c>
      <c r="AZ100" t="inlineStr">
        <is>
          <t>991001693439702656</t>
        </is>
      </c>
      <c r="BA100" t="inlineStr">
        <is>
          <t>2270895450002656</t>
        </is>
      </c>
      <c r="BB100" t="inlineStr">
        <is>
          <t>BOOK</t>
        </is>
      </c>
      <c r="BD100" t="inlineStr">
        <is>
          <t>9780966331738</t>
        </is>
      </c>
      <c r="BE100" t="inlineStr">
        <is>
          <t>32285003674842</t>
        </is>
      </c>
      <c r="BF100" t="inlineStr">
        <is>
          <t>893690820</t>
        </is>
      </c>
    </row>
    <row r="101">
      <c r="B101" t="inlineStr">
        <is>
          <t>CURAL</t>
        </is>
      </c>
      <c r="C101" t="inlineStr">
        <is>
          <t>SHELVES</t>
        </is>
      </c>
      <c r="D101" t="inlineStr">
        <is>
          <t>KF1085 .F88 1985</t>
        </is>
      </c>
      <c r="E101" t="inlineStr">
        <is>
          <t>0                      KF 1085000F  88          1985</t>
        </is>
      </c>
      <c r="F101" t="inlineStr">
        <is>
          <t>Futures markets : regulatory issues / Anne E. Peck, editor ; Dennis W. Draper ... [et al.].</t>
        </is>
      </c>
      <c r="H101" t="inlineStr">
        <is>
          <t>No</t>
        </is>
      </c>
      <c r="I101" t="inlineStr">
        <is>
          <t>1</t>
        </is>
      </c>
      <c r="J101" t="inlineStr">
        <is>
          <t>No</t>
        </is>
      </c>
      <c r="K101" t="inlineStr">
        <is>
          <t>No</t>
        </is>
      </c>
      <c r="L101" t="inlineStr">
        <is>
          <t>0</t>
        </is>
      </c>
      <c r="N101" t="inlineStr">
        <is>
          <t>Washington, D.C. : American Enterprise Institute for Public Policy Research, c1985.</t>
        </is>
      </c>
      <c r="O101" t="inlineStr">
        <is>
          <t>1985</t>
        </is>
      </c>
      <c r="Q101" t="inlineStr">
        <is>
          <t>eng</t>
        </is>
      </c>
      <c r="R101" t="inlineStr">
        <is>
          <t>dcu</t>
        </is>
      </c>
      <c r="S101" t="inlineStr">
        <is>
          <t>AEI studies ; 435</t>
        </is>
      </c>
      <c r="T101" t="inlineStr">
        <is>
          <t xml:space="preserve">KF </t>
        </is>
      </c>
      <c r="U101" t="n">
        <v>1</v>
      </c>
      <c r="V101" t="n">
        <v>1</v>
      </c>
      <c r="W101" t="inlineStr">
        <is>
          <t>2008-06-09</t>
        </is>
      </c>
      <c r="X101" t="inlineStr">
        <is>
          <t>2008-06-09</t>
        </is>
      </c>
      <c r="Y101" t="inlineStr">
        <is>
          <t>2008-06-09</t>
        </is>
      </c>
      <c r="Z101" t="inlineStr">
        <is>
          <t>2008-06-09</t>
        </is>
      </c>
      <c r="AA101" t="n">
        <v>191</v>
      </c>
      <c r="AB101" t="n">
        <v>156</v>
      </c>
      <c r="AC101" t="n">
        <v>156</v>
      </c>
      <c r="AD101" t="n">
        <v>2</v>
      </c>
      <c r="AE101" t="n">
        <v>2</v>
      </c>
      <c r="AF101" t="n">
        <v>6</v>
      </c>
      <c r="AG101" t="n">
        <v>6</v>
      </c>
      <c r="AH101" t="n">
        <v>0</v>
      </c>
      <c r="AI101" t="n">
        <v>0</v>
      </c>
      <c r="AJ101" t="n">
        <v>1</v>
      </c>
      <c r="AK101" t="n">
        <v>1</v>
      </c>
      <c r="AL101" t="n">
        <v>3</v>
      </c>
      <c r="AM101" t="n">
        <v>3</v>
      </c>
      <c r="AN101" t="n">
        <v>1</v>
      </c>
      <c r="AO101" t="n">
        <v>1</v>
      </c>
      <c r="AP101" t="n">
        <v>1</v>
      </c>
      <c r="AQ101" t="n">
        <v>1</v>
      </c>
      <c r="AR101" t="inlineStr">
        <is>
          <t>No</t>
        </is>
      </c>
      <c r="AS101" t="inlineStr">
        <is>
          <t>No</t>
        </is>
      </c>
      <c r="AU101">
        <f>HYPERLINK("https://creighton-primo.hosted.exlibrisgroup.com/primo-explore/search?tab=default_tab&amp;search_scope=EVERYTHING&amp;vid=01CRU&amp;lang=en_US&amp;offset=0&amp;query=any,contains,991005232239702656","Catalog Record")</f>
        <v/>
      </c>
      <c r="AV101">
        <f>HYPERLINK("http://www.worldcat.org/oclc/13500652","WorldCat Record")</f>
        <v/>
      </c>
      <c r="AW101" t="inlineStr">
        <is>
          <t>889678857:eng</t>
        </is>
      </c>
      <c r="AX101" t="inlineStr">
        <is>
          <t>13500652</t>
        </is>
      </c>
      <c r="AY101" t="inlineStr">
        <is>
          <t>991005232239702656</t>
        </is>
      </c>
      <c r="AZ101" t="inlineStr">
        <is>
          <t>991005232239702656</t>
        </is>
      </c>
      <c r="BA101" t="inlineStr">
        <is>
          <t>2264228010002656</t>
        </is>
      </c>
      <c r="BB101" t="inlineStr">
        <is>
          <t>BOOK</t>
        </is>
      </c>
      <c r="BD101" t="inlineStr">
        <is>
          <t>9780844735931</t>
        </is>
      </c>
      <c r="BE101" t="inlineStr">
        <is>
          <t>32285005443824</t>
        </is>
      </c>
      <c r="BF101" t="inlineStr">
        <is>
          <t>893896109</t>
        </is>
      </c>
    </row>
    <row r="102">
      <c r="B102" t="inlineStr">
        <is>
          <t>CURAL</t>
        </is>
      </c>
      <c r="C102" t="inlineStr">
        <is>
          <t>SHELVES</t>
        </is>
      </c>
      <c r="D102" t="inlineStr">
        <is>
          <t>KF1250 .H8 1988</t>
        </is>
      </c>
      <c r="E102" t="inlineStr">
        <is>
          <t>0                      KF 1250000H  8           1988</t>
        </is>
      </c>
      <c r="F102" t="inlineStr">
        <is>
          <t>Liability : the legal revolution and its consequences / Peter W. Huber.</t>
        </is>
      </c>
      <c r="H102" t="inlineStr">
        <is>
          <t>No</t>
        </is>
      </c>
      <c r="I102" t="inlineStr">
        <is>
          <t>1</t>
        </is>
      </c>
      <c r="J102" t="inlineStr">
        <is>
          <t>No</t>
        </is>
      </c>
      <c r="K102" t="inlineStr">
        <is>
          <t>Yes</t>
        </is>
      </c>
      <c r="L102" t="inlineStr">
        <is>
          <t>0</t>
        </is>
      </c>
      <c r="M102" t="inlineStr">
        <is>
          <t>Huber, Peter W. (Peter William), 1952-</t>
        </is>
      </c>
      <c r="N102" t="inlineStr">
        <is>
          <t>New York : Basic Books, c1988.</t>
        </is>
      </c>
      <c r="O102" t="inlineStr">
        <is>
          <t>1988</t>
        </is>
      </c>
      <c r="Q102" t="inlineStr">
        <is>
          <t>eng</t>
        </is>
      </c>
      <c r="R102" t="inlineStr">
        <is>
          <t>nyu</t>
        </is>
      </c>
      <c r="T102" t="inlineStr">
        <is>
          <t xml:space="preserve">KF </t>
        </is>
      </c>
      <c r="U102" t="n">
        <v>11</v>
      </c>
      <c r="V102" t="n">
        <v>11</v>
      </c>
      <c r="W102" t="inlineStr">
        <is>
          <t>2004-04-27</t>
        </is>
      </c>
      <c r="X102" t="inlineStr">
        <is>
          <t>2004-04-27</t>
        </is>
      </c>
      <c r="Y102" t="inlineStr">
        <is>
          <t>1992-02-06</t>
        </is>
      </c>
      <c r="Z102" t="inlineStr">
        <is>
          <t>1992-02-06</t>
        </is>
      </c>
      <c r="AA102" t="n">
        <v>877</v>
      </c>
      <c r="AB102" t="n">
        <v>796</v>
      </c>
      <c r="AC102" t="n">
        <v>834</v>
      </c>
      <c r="AD102" t="n">
        <v>3</v>
      </c>
      <c r="AE102" t="n">
        <v>4</v>
      </c>
      <c r="AF102" t="n">
        <v>38</v>
      </c>
      <c r="AG102" t="n">
        <v>40</v>
      </c>
      <c r="AH102" t="n">
        <v>5</v>
      </c>
      <c r="AI102" t="n">
        <v>5</v>
      </c>
      <c r="AJ102" t="n">
        <v>5</v>
      </c>
      <c r="AK102" t="n">
        <v>5</v>
      </c>
      <c r="AL102" t="n">
        <v>9</v>
      </c>
      <c r="AM102" t="n">
        <v>9</v>
      </c>
      <c r="AN102" t="n">
        <v>1</v>
      </c>
      <c r="AO102" t="n">
        <v>1</v>
      </c>
      <c r="AP102" t="n">
        <v>20</v>
      </c>
      <c r="AQ102" t="n">
        <v>22</v>
      </c>
      <c r="AR102" t="inlineStr">
        <is>
          <t>No</t>
        </is>
      </c>
      <c r="AS102" t="inlineStr">
        <is>
          <t>Yes</t>
        </is>
      </c>
      <c r="AT102">
        <f>HYPERLINK("http://catalog.hathitrust.org/Record/001527943","HathiTrust Record")</f>
        <v/>
      </c>
      <c r="AU102">
        <f>HYPERLINK("https://creighton-primo.hosted.exlibrisgroup.com/primo-explore/search?tab=default_tab&amp;search_scope=EVERYTHING&amp;vid=01CRU&amp;lang=en_US&amp;offset=0&amp;query=any,contains,991001297289702656","Catalog Record")</f>
        <v/>
      </c>
      <c r="AV102">
        <f>HYPERLINK("http://www.worldcat.org/oclc/18049940","WorldCat Record")</f>
        <v/>
      </c>
      <c r="AW102" t="inlineStr">
        <is>
          <t>1017787:eng</t>
        </is>
      </c>
      <c r="AX102" t="inlineStr">
        <is>
          <t>18049940</t>
        </is>
      </c>
      <c r="AY102" t="inlineStr">
        <is>
          <t>991001297289702656</t>
        </is>
      </c>
      <c r="AZ102" t="inlineStr">
        <is>
          <t>991001297289702656</t>
        </is>
      </c>
      <c r="BA102" t="inlineStr">
        <is>
          <t>2260594640002656</t>
        </is>
      </c>
      <c r="BB102" t="inlineStr">
        <is>
          <t>BOOK</t>
        </is>
      </c>
      <c r="BD102" t="inlineStr">
        <is>
          <t>9780465039203</t>
        </is>
      </c>
      <c r="BE102" t="inlineStr">
        <is>
          <t>32285000943539</t>
        </is>
      </c>
      <c r="BF102" t="inlineStr">
        <is>
          <t>893778707</t>
        </is>
      </c>
    </row>
    <row r="103">
      <c r="B103" t="inlineStr">
        <is>
          <t>CURAL</t>
        </is>
      </c>
      <c r="C103" t="inlineStr">
        <is>
          <t>SHELVES</t>
        </is>
      </c>
      <c r="D103" t="inlineStr">
        <is>
          <t>KF1262 .O25 1979</t>
        </is>
      </c>
      <c r="E103" t="inlineStr">
        <is>
          <t>0                      KF 1262000O  25          1979</t>
        </is>
      </c>
      <c r="F103" t="inlineStr">
        <is>
          <t>Privacy, law, and public policy / David M. O'Brien ; foreword by C. Herman Pritchett.</t>
        </is>
      </c>
      <c r="H103" t="inlineStr">
        <is>
          <t>No</t>
        </is>
      </c>
      <c r="I103" t="inlineStr">
        <is>
          <t>1</t>
        </is>
      </c>
      <c r="J103" t="inlineStr">
        <is>
          <t>No</t>
        </is>
      </c>
      <c r="K103" t="inlineStr">
        <is>
          <t>No</t>
        </is>
      </c>
      <c r="L103" t="inlineStr">
        <is>
          <t>0</t>
        </is>
      </c>
      <c r="M103" t="inlineStr">
        <is>
          <t>O'Brien, David M.</t>
        </is>
      </c>
      <c r="N103" t="inlineStr">
        <is>
          <t>New York, N.Y. : Praeger, 1979.</t>
        </is>
      </c>
      <c r="O103" t="inlineStr">
        <is>
          <t>1979</t>
        </is>
      </c>
      <c r="Q103" t="inlineStr">
        <is>
          <t>eng</t>
        </is>
      </c>
      <c r="R103" t="inlineStr">
        <is>
          <t>nyu</t>
        </is>
      </c>
      <c r="T103" t="inlineStr">
        <is>
          <t xml:space="preserve">KF </t>
        </is>
      </c>
      <c r="U103" t="n">
        <v>6</v>
      </c>
      <c r="V103" t="n">
        <v>6</v>
      </c>
      <c r="W103" t="inlineStr">
        <is>
          <t>2006-03-12</t>
        </is>
      </c>
      <c r="X103" t="inlineStr">
        <is>
          <t>2006-03-12</t>
        </is>
      </c>
      <c r="Y103" t="inlineStr">
        <is>
          <t>1992-05-01</t>
        </is>
      </c>
      <c r="Z103" t="inlineStr">
        <is>
          <t>1992-05-01</t>
        </is>
      </c>
      <c r="AA103" t="n">
        <v>702</v>
      </c>
      <c r="AB103" t="n">
        <v>646</v>
      </c>
      <c r="AC103" t="n">
        <v>651</v>
      </c>
      <c r="AD103" t="n">
        <v>4</v>
      </c>
      <c r="AE103" t="n">
        <v>4</v>
      </c>
      <c r="AF103" t="n">
        <v>42</v>
      </c>
      <c r="AG103" t="n">
        <v>42</v>
      </c>
      <c r="AH103" t="n">
        <v>10</v>
      </c>
      <c r="AI103" t="n">
        <v>10</v>
      </c>
      <c r="AJ103" t="n">
        <v>6</v>
      </c>
      <c r="AK103" t="n">
        <v>6</v>
      </c>
      <c r="AL103" t="n">
        <v>14</v>
      </c>
      <c r="AM103" t="n">
        <v>14</v>
      </c>
      <c r="AN103" t="n">
        <v>3</v>
      </c>
      <c r="AO103" t="n">
        <v>3</v>
      </c>
      <c r="AP103" t="n">
        <v>16</v>
      </c>
      <c r="AQ103" t="n">
        <v>16</v>
      </c>
      <c r="AR103" t="inlineStr">
        <is>
          <t>No</t>
        </is>
      </c>
      <c r="AS103" t="inlineStr">
        <is>
          <t>Yes</t>
        </is>
      </c>
      <c r="AT103">
        <f>HYPERLINK("http://catalog.hathitrust.org/Record/000300390","HathiTrust Record")</f>
        <v/>
      </c>
      <c r="AU103">
        <f>HYPERLINK("https://creighton-primo.hosted.exlibrisgroup.com/primo-explore/search?tab=default_tab&amp;search_scope=EVERYTHING&amp;vid=01CRU&amp;lang=en_US&amp;offset=0&amp;query=any,contains,991004745649702656","Catalog Record")</f>
        <v/>
      </c>
      <c r="AV103">
        <f>HYPERLINK("http://www.worldcat.org/oclc/4907939","WorldCat Record")</f>
        <v/>
      </c>
      <c r="AW103" t="inlineStr">
        <is>
          <t>431475:eng</t>
        </is>
      </c>
      <c r="AX103" t="inlineStr">
        <is>
          <t>4907939</t>
        </is>
      </c>
      <c r="AY103" t="inlineStr">
        <is>
          <t>991004745649702656</t>
        </is>
      </c>
      <c r="AZ103" t="inlineStr">
        <is>
          <t>991004745649702656</t>
        </is>
      </c>
      <c r="BA103" t="inlineStr">
        <is>
          <t>2258788770002656</t>
        </is>
      </c>
      <c r="BB103" t="inlineStr">
        <is>
          <t>BOOK</t>
        </is>
      </c>
      <c r="BD103" t="inlineStr">
        <is>
          <t>9780030504068</t>
        </is>
      </c>
      <c r="BE103" t="inlineStr">
        <is>
          <t>32285001091155</t>
        </is>
      </c>
      <c r="BF103" t="inlineStr">
        <is>
          <t>893338086</t>
        </is>
      </c>
    </row>
    <row r="104">
      <c r="B104" t="inlineStr">
        <is>
          <t>CURAL</t>
        </is>
      </c>
      <c r="C104" t="inlineStr">
        <is>
          <t>SHELVES</t>
        </is>
      </c>
      <c r="D104" t="inlineStr">
        <is>
          <t>KF1262 .P4</t>
        </is>
      </c>
      <c r="E104" t="inlineStr">
        <is>
          <t>0                      KF 1262000P  4</t>
        </is>
      </c>
      <c r="F104" t="inlineStr">
        <is>
          <t>Privacy and the press : the law, the mass media, and the First amendment / by Don R. Pember.</t>
        </is>
      </c>
      <c r="H104" t="inlineStr">
        <is>
          <t>No</t>
        </is>
      </c>
      <c r="I104" t="inlineStr">
        <is>
          <t>1</t>
        </is>
      </c>
      <c r="J104" t="inlineStr">
        <is>
          <t>Yes</t>
        </is>
      </c>
      <c r="K104" t="inlineStr">
        <is>
          <t>No</t>
        </is>
      </c>
      <c r="L104" t="inlineStr">
        <is>
          <t>0</t>
        </is>
      </c>
      <c r="M104" t="inlineStr">
        <is>
          <t>Pember, Don R., 1939-</t>
        </is>
      </c>
      <c r="N104" t="inlineStr">
        <is>
          <t>Seattle : University of Washington Press, [1972]</t>
        </is>
      </c>
      <c r="O104" t="inlineStr">
        <is>
          <t>1972</t>
        </is>
      </c>
      <c r="Q104" t="inlineStr">
        <is>
          <t>eng</t>
        </is>
      </c>
      <c r="R104" t="inlineStr">
        <is>
          <t>wau</t>
        </is>
      </c>
      <c r="T104" t="inlineStr">
        <is>
          <t xml:space="preserve">KF </t>
        </is>
      </c>
      <c r="U104" t="n">
        <v>11</v>
      </c>
      <c r="V104" t="n">
        <v>12</v>
      </c>
      <c r="W104" t="inlineStr">
        <is>
          <t>2001-04-27</t>
        </is>
      </c>
      <c r="X104" t="inlineStr">
        <is>
          <t>2008-03-30</t>
        </is>
      </c>
      <c r="Y104" t="inlineStr">
        <is>
          <t>1990-10-23</t>
        </is>
      </c>
      <c r="Z104" t="inlineStr">
        <is>
          <t>1991-07-11</t>
        </is>
      </c>
      <c r="AA104" t="n">
        <v>992</v>
      </c>
      <c r="AB104" t="n">
        <v>882</v>
      </c>
      <c r="AC104" t="n">
        <v>898</v>
      </c>
      <c r="AD104" t="n">
        <v>5</v>
      </c>
      <c r="AE104" t="n">
        <v>6</v>
      </c>
      <c r="AF104" t="n">
        <v>49</v>
      </c>
      <c r="AG104" t="n">
        <v>52</v>
      </c>
      <c r="AH104" t="n">
        <v>15</v>
      </c>
      <c r="AI104" t="n">
        <v>15</v>
      </c>
      <c r="AJ104" t="n">
        <v>6</v>
      </c>
      <c r="AK104" t="n">
        <v>6</v>
      </c>
      <c r="AL104" t="n">
        <v>16</v>
      </c>
      <c r="AM104" t="n">
        <v>17</v>
      </c>
      <c r="AN104" t="n">
        <v>3</v>
      </c>
      <c r="AO104" t="n">
        <v>4</v>
      </c>
      <c r="AP104" t="n">
        <v>18</v>
      </c>
      <c r="AQ104" t="n">
        <v>19</v>
      </c>
      <c r="AR104" t="inlineStr">
        <is>
          <t>No</t>
        </is>
      </c>
      <c r="AS104" t="inlineStr">
        <is>
          <t>No</t>
        </is>
      </c>
      <c r="AU104">
        <f>HYPERLINK("https://creighton-primo.hosted.exlibrisgroup.com/primo-explore/search?tab=default_tab&amp;search_scope=EVERYTHING&amp;vid=01CRU&amp;lang=en_US&amp;offset=0&amp;query=any,contains,991001784369702656","Catalog Record")</f>
        <v/>
      </c>
      <c r="AV104">
        <f>HYPERLINK("http://www.worldcat.org/oclc/195546","WorldCat Record")</f>
        <v/>
      </c>
      <c r="AW104" t="inlineStr">
        <is>
          <t>363747406:eng</t>
        </is>
      </c>
      <c r="AX104" t="inlineStr">
        <is>
          <t>195546</t>
        </is>
      </c>
      <c r="AY104" t="inlineStr">
        <is>
          <t>991001784369702656</t>
        </is>
      </c>
      <c r="AZ104" t="inlineStr">
        <is>
          <t>991001784369702656</t>
        </is>
      </c>
      <c r="BA104" t="inlineStr">
        <is>
          <t>2267174480002656</t>
        </is>
      </c>
      <c r="BB104" t="inlineStr">
        <is>
          <t>BOOK</t>
        </is>
      </c>
      <c r="BD104" t="inlineStr">
        <is>
          <t>9780295951522</t>
        </is>
      </c>
      <c r="BE104" t="inlineStr">
        <is>
          <t>32285000352681</t>
        </is>
      </c>
      <c r="BF104" t="inlineStr">
        <is>
          <t>893340696</t>
        </is>
      </c>
    </row>
    <row r="105">
      <c r="B105" t="inlineStr">
        <is>
          <t>CURAL</t>
        </is>
      </c>
      <c r="C105" t="inlineStr">
        <is>
          <t>SHELVES</t>
        </is>
      </c>
      <c r="D105" t="inlineStr">
        <is>
          <t>KF1262 .W4 1967</t>
        </is>
      </c>
      <c r="E105" t="inlineStr">
        <is>
          <t>0                      KF 1262000W  4           1967</t>
        </is>
      </c>
      <c r="F105" t="inlineStr">
        <is>
          <t>Privacy and freedom / Alan F. Westin ; foreword by Oscar M. Ruebhausen.</t>
        </is>
      </c>
      <c r="H105" t="inlineStr">
        <is>
          <t>No</t>
        </is>
      </c>
      <c r="I105" t="inlineStr">
        <is>
          <t>1</t>
        </is>
      </c>
      <c r="J105" t="inlineStr">
        <is>
          <t>Yes</t>
        </is>
      </c>
      <c r="K105" t="inlineStr">
        <is>
          <t>No</t>
        </is>
      </c>
      <c r="L105" t="inlineStr">
        <is>
          <t>0</t>
        </is>
      </c>
      <c r="M105" t="inlineStr">
        <is>
          <t>Westin, Alan F.</t>
        </is>
      </c>
      <c r="N105" t="inlineStr">
        <is>
          <t>New York : Atheneum, 1967.</t>
        </is>
      </c>
      <c r="O105" t="inlineStr">
        <is>
          <t>1967</t>
        </is>
      </c>
      <c r="P105" t="inlineStr">
        <is>
          <t>1st ed.</t>
        </is>
      </c>
      <c r="Q105" t="inlineStr">
        <is>
          <t>eng</t>
        </is>
      </c>
      <c r="R105" t="inlineStr">
        <is>
          <t>nyu</t>
        </is>
      </c>
      <c r="T105" t="inlineStr">
        <is>
          <t xml:space="preserve">KF </t>
        </is>
      </c>
      <c r="U105" t="n">
        <v>2</v>
      </c>
      <c r="V105" t="n">
        <v>2</v>
      </c>
      <c r="W105" t="inlineStr">
        <is>
          <t>2009-08-17</t>
        </is>
      </c>
      <c r="X105" t="inlineStr">
        <is>
          <t>2009-08-17</t>
        </is>
      </c>
      <c r="Y105" t="inlineStr">
        <is>
          <t>1995-01-03</t>
        </is>
      </c>
      <c r="Z105" t="inlineStr">
        <is>
          <t>1999-10-08</t>
        </is>
      </c>
      <c r="AA105" t="n">
        <v>1295</v>
      </c>
      <c r="AB105" t="n">
        <v>1173</v>
      </c>
      <c r="AC105" t="n">
        <v>1253</v>
      </c>
      <c r="AD105" t="n">
        <v>9</v>
      </c>
      <c r="AE105" t="n">
        <v>10</v>
      </c>
      <c r="AF105" t="n">
        <v>60</v>
      </c>
      <c r="AG105" t="n">
        <v>66</v>
      </c>
      <c r="AH105" t="n">
        <v>16</v>
      </c>
      <c r="AI105" t="n">
        <v>18</v>
      </c>
      <c r="AJ105" t="n">
        <v>8</v>
      </c>
      <c r="AK105" t="n">
        <v>9</v>
      </c>
      <c r="AL105" t="n">
        <v>19</v>
      </c>
      <c r="AM105" t="n">
        <v>22</v>
      </c>
      <c r="AN105" t="n">
        <v>6</v>
      </c>
      <c r="AO105" t="n">
        <v>7</v>
      </c>
      <c r="AP105" t="n">
        <v>21</v>
      </c>
      <c r="AQ105" t="n">
        <v>22</v>
      </c>
      <c r="AR105" t="inlineStr">
        <is>
          <t>No</t>
        </is>
      </c>
      <c r="AS105" t="inlineStr">
        <is>
          <t>No</t>
        </is>
      </c>
      <c r="AU105">
        <f>HYPERLINK("https://creighton-primo.hosted.exlibrisgroup.com/primo-explore/search?tab=default_tab&amp;search_scope=EVERYTHING&amp;vid=01CRU&amp;lang=en_US&amp;offset=0&amp;query=any,contains,991001631609702656","Catalog Record")</f>
        <v/>
      </c>
      <c r="AV105">
        <f>HYPERLINK("http://www.worldcat.org/oclc/359695","WorldCat Record")</f>
        <v/>
      </c>
      <c r="AW105" t="inlineStr">
        <is>
          <t>1188090:eng</t>
        </is>
      </c>
      <c r="AX105" t="inlineStr">
        <is>
          <t>359695</t>
        </is>
      </c>
      <c r="AY105" t="inlineStr">
        <is>
          <t>991001631609702656</t>
        </is>
      </c>
      <c r="AZ105" t="inlineStr">
        <is>
          <t>991001631609702656</t>
        </is>
      </c>
      <c r="BA105" t="inlineStr">
        <is>
          <t>2272324140002656</t>
        </is>
      </c>
      <c r="BB105" t="inlineStr">
        <is>
          <t>BOOK</t>
        </is>
      </c>
      <c r="BE105" t="inlineStr">
        <is>
          <t>32285001985927</t>
        </is>
      </c>
      <c r="BF105" t="inlineStr">
        <is>
          <t>893797687</t>
        </is>
      </c>
    </row>
    <row r="106">
      <c r="B106" t="inlineStr">
        <is>
          <t>CURAL</t>
        </is>
      </c>
      <c r="C106" t="inlineStr">
        <is>
          <t>SHELVES</t>
        </is>
      </c>
      <c r="D106" t="inlineStr">
        <is>
          <t>KF1262.A7 R53</t>
        </is>
      </c>
      <c r="E106" t="inlineStr">
        <is>
          <t>0                      KF 1262000A  7                  R  53</t>
        </is>
      </c>
      <c r="F106" t="inlineStr">
        <is>
          <t>The Right to privacy : essays and cases / [compiled] by P. Allan Dionisopoulos and Craig R. Ducat.</t>
        </is>
      </c>
      <c r="H106" t="inlineStr">
        <is>
          <t>No</t>
        </is>
      </c>
      <c r="I106" t="inlineStr">
        <is>
          <t>1</t>
        </is>
      </c>
      <c r="J106" t="inlineStr">
        <is>
          <t>No</t>
        </is>
      </c>
      <c r="K106" t="inlineStr">
        <is>
          <t>No</t>
        </is>
      </c>
      <c r="L106" t="inlineStr">
        <is>
          <t>0</t>
        </is>
      </c>
      <c r="N106" t="inlineStr">
        <is>
          <t>St. Paul, Minn. : West Pub. Co., 1976.</t>
        </is>
      </c>
      <c r="O106" t="inlineStr">
        <is>
          <t>1976</t>
        </is>
      </c>
      <c r="Q106" t="inlineStr">
        <is>
          <t>eng</t>
        </is>
      </c>
      <c r="R106" t="inlineStr">
        <is>
          <t>mnu</t>
        </is>
      </c>
      <c r="T106" t="inlineStr">
        <is>
          <t xml:space="preserve">KF </t>
        </is>
      </c>
      <c r="U106" t="n">
        <v>4</v>
      </c>
      <c r="V106" t="n">
        <v>4</v>
      </c>
      <c r="W106" t="inlineStr">
        <is>
          <t>1999-02-26</t>
        </is>
      </c>
      <c r="X106" t="inlineStr">
        <is>
          <t>1999-02-26</t>
        </is>
      </c>
      <c r="Y106" t="inlineStr">
        <is>
          <t>1993-02-24</t>
        </is>
      </c>
      <c r="Z106" t="inlineStr">
        <is>
          <t>1993-02-24</t>
        </is>
      </c>
      <c r="AA106" t="n">
        <v>251</v>
      </c>
      <c r="AB106" t="n">
        <v>230</v>
      </c>
      <c r="AC106" t="n">
        <v>232</v>
      </c>
      <c r="AD106" t="n">
        <v>4</v>
      </c>
      <c r="AE106" t="n">
        <v>4</v>
      </c>
      <c r="AF106" t="n">
        <v>16</v>
      </c>
      <c r="AG106" t="n">
        <v>16</v>
      </c>
      <c r="AH106" t="n">
        <v>1</v>
      </c>
      <c r="AI106" t="n">
        <v>1</v>
      </c>
      <c r="AJ106" t="n">
        <v>1</v>
      </c>
      <c r="AK106" t="n">
        <v>1</v>
      </c>
      <c r="AL106" t="n">
        <v>2</v>
      </c>
      <c r="AM106" t="n">
        <v>2</v>
      </c>
      <c r="AN106" t="n">
        <v>3</v>
      </c>
      <c r="AO106" t="n">
        <v>3</v>
      </c>
      <c r="AP106" t="n">
        <v>10</v>
      </c>
      <c r="AQ106" t="n">
        <v>10</v>
      </c>
      <c r="AR106" t="inlineStr">
        <is>
          <t>No</t>
        </is>
      </c>
      <c r="AS106" t="inlineStr">
        <is>
          <t>Yes</t>
        </is>
      </c>
      <c r="AT106">
        <f>HYPERLINK("http://catalog.hathitrust.org/Record/000084187","HathiTrust Record")</f>
        <v/>
      </c>
      <c r="AU106">
        <f>HYPERLINK("https://creighton-primo.hosted.exlibrisgroup.com/primo-explore/search?tab=default_tab&amp;search_scope=EVERYTHING&amp;vid=01CRU&amp;lang=en_US&amp;offset=0&amp;query=any,contains,991004149889702656","Catalog Record")</f>
        <v/>
      </c>
      <c r="AV106">
        <f>HYPERLINK("http://www.worldcat.org/oclc/2523286","WorldCat Record")</f>
        <v/>
      </c>
      <c r="AW106" t="inlineStr">
        <is>
          <t>5381141:eng</t>
        </is>
      </c>
      <c r="AX106" t="inlineStr">
        <is>
          <t>2523286</t>
        </is>
      </c>
      <c r="AY106" t="inlineStr">
        <is>
          <t>991004149889702656</t>
        </is>
      </c>
      <c r="AZ106" t="inlineStr">
        <is>
          <t>991004149889702656</t>
        </is>
      </c>
      <c r="BA106" t="inlineStr">
        <is>
          <t>2269995170002656</t>
        </is>
      </c>
      <c r="BB106" t="inlineStr">
        <is>
          <t>BOOK</t>
        </is>
      </c>
      <c r="BE106" t="inlineStr">
        <is>
          <t>32285001497220</t>
        </is>
      </c>
      <c r="BF106" t="inlineStr">
        <is>
          <t>893800649</t>
        </is>
      </c>
    </row>
    <row r="107">
      <c r="B107" t="inlineStr">
        <is>
          <t>CURAL</t>
        </is>
      </c>
      <c r="C107" t="inlineStr">
        <is>
          <t>SHELVES</t>
        </is>
      </c>
      <c r="D107" t="inlineStr">
        <is>
          <t>KF1262.A75 R52</t>
        </is>
      </c>
      <c r="E107" t="inlineStr">
        <is>
          <t>0                      KF 1262000A  75                 R  52</t>
        </is>
      </c>
      <c r="F107" t="inlineStr">
        <is>
          <t>The Right to privacy / edited by Grant S. McClellan.</t>
        </is>
      </c>
      <c r="H107" t="inlineStr">
        <is>
          <t>No</t>
        </is>
      </c>
      <c r="I107" t="inlineStr">
        <is>
          <t>1</t>
        </is>
      </c>
      <c r="J107" t="inlineStr">
        <is>
          <t>Yes</t>
        </is>
      </c>
      <c r="K107" t="inlineStr">
        <is>
          <t>No</t>
        </is>
      </c>
      <c r="L107" t="inlineStr">
        <is>
          <t>0</t>
        </is>
      </c>
      <c r="N107" t="inlineStr">
        <is>
          <t>New York : H. W. Wilson Co., 1976.</t>
        </is>
      </c>
      <c r="O107" t="inlineStr">
        <is>
          <t>1976</t>
        </is>
      </c>
      <c r="Q107" t="inlineStr">
        <is>
          <t>eng</t>
        </is>
      </c>
      <c r="R107" t="inlineStr">
        <is>
          <t>nyu</t>
        </is>
      </c>
      <c r="S107" t="inlineStr">
        <is>
          <t>The Reference shelf ; v. 48, no. 1</t>
        </is>
      </c>
      <c r="T107" t="inlineStr">
        <is>
          <t xml:space="preserve">KF </t>
        </is>
      </c>
      <c r="U107" t="n">
        <v>4</v>
      </c>
      <c r="V107" t="n">
        <v>4</v>
      </c>
      <c r="W107" t="inlineStr">
        <is>
          <t>1998-12-01</t>
        </is>
      </c>
      <c r="X107" t="inlineStr">
        <is>
          <t>1998-12-01</t>
        </is>
      </c>
      <c r="Y107" t="inlineStr">
        <is>
          <t>1991-12-13</t>
        </is>
      </c>
      <c r="Z107" t="inlineStr">
        <is>
          <t>1991-12-13</t>
        </is>
      </c>
      <c r="AA107" t="n">
        <v>1290</v>
      </c>
      <c r="AB107" t="n">
        <v>1233</v>
      </c>
      <c r="AC107" t="n">
        <v>1245</v>
      </c>
      <c r="AD107" t="n">
        <v>16</v>
      </c>
      <c r="AE107" t="n">
        <v>16</v>
      </c>
      <c r="AF107" t="n">
        <v>47</v>
      </c>
      <c r="AG107" t="n">
        <v>47</v>
      </c>
      <c r="AH107" t="n">
        <v>16</v>
      </c>
      <c r="AI107" t="n">
        <v>16</v>
      </c>
      <c r="AJ107" t="n">
        <v>7</v>
      </c>
      <c r="AK107" t="n">
        <v>7</v>
      </c>
      <c r="AL107" t="n">
        <v>18</v>
      </c>
      <c r="AM107" t="n">
        <v>18</v>
      </c>
      <c r="AN107" t="n">
        <v>11</v>
      </c>
      <c r="AO107" t="n">
        <v>11</v>
      </c>
      <c r="AP107" t="n">
        <v>4</v>
      </c>
      <c r="AQ107" t="n">
        <v>4</v>
      </c>
      <c r="AR107" t="inlineStr">
        <is>
          <t>No</t>
        </is>
      </c>
      <c r="AS107" t="inlineStr">
        <is>
          <t>Yes</t>
        </is>
      </c>
      <c r="AT107">
        <f>HYPERLINK("http://catalog.hathitrust.org/Record/003557638","HathiTrust Record")</f>
        <v/>
      </c>
      <c r="AU107">
        <f>HYPERLINK("https://creighton-primo.hosted.exlibrisgroup.com/primo-explore/search?tab=default_tab&amp;search_scope=EVERYTHING&amp;vid=01CRU&amp;lang=en_US&amp;offset=0&amp;query=any,contains,991001740549702656","Catalog Record")</f>
        <v/>
      </c>
      <c r="AV107">
        <f>HYPERLINK("http://www.worldcat.org/oclc/1992111","WorldCat Record")</f>
        <v/>
      </c>
      <c r="AW107" t="inlineStr">
        <is>
          <t>54097012:eng</t>
        </is>
      </c>
      <c r="AX107" t="inlineStr">
        <is>
          <t>1992111</t>
        </is>
      </c>
      <c r="AY107" t="inlineStr">
        <is>
          <t>991001740549702656</t>
        </is>
      </c>
      <c r="AZ107" t="inlineStr">
        <is>
          <t>991001740549702656</t>
        </is>
      </c>
      <c r="BA107" t="inlineStr">
        <is>
          <t>2262209040002656</t>
        </is>
      </c>
      <c r="BB107" t="inlineStr">
        <is>
          <t>BOOK</t>
        </is>
      </c>
      <c r="BD107" t="inlineStr">
        <is>
          <t>9780824205959</t>
        </is>
      </c>
      <c r="BE107" t="inlineStr">
        <is>
          <t>32285000876358</t>
        </is>
      </c>
      <c r="BF107" t="inlineStr">
        <is>
          <t>893439371</t>
        </is>
      </c>
    </row>
    <row r="108">
      <c r="B108" t="inlineStr">
        <is>
          <t>CURAL</t>
        </is>
      </c>
      <c r="C108" t="inlineStr">
        <is>
          <t>SHELVES</t>
        </is>
      </c>
      <c r="D108" t="inlineStr">
        <is>
          <t>KF1262.Z9 B7</t>
        </is>
      </c>
      <c r="E108" t="inlineStr">
        <is>
          <t>0                      KF 1262000Z  9                  B  7</t>
        </is>
      </c>
      <c r="F108" t="inlineStr">
        <is>
          <t>The right to privacy.</t>
        </is>
      </c>
      <c r="H108" t="inlineStr">
        <is>
          <t>No</t>
        </is>
      </c>
      <c r="I108" t="inlineStr">
        <is>
          <t>1</t>
        </is>
      </c>
      <c r="J108" t="inlineStr">
        <is>
          <t>No</t>
        </is>
      </c>
      <c r="K108" t="inlineStr">
        <is>
          <t>No</t>
        </is>
      </c>
      <c r="L108" t="inlineStr">
        <is>
          <t>0</t>
        </is>
      </c>
      <c r="M108" t="inlineStr">
        <is>
          <t>Breckenridge, Adam Carlyle, 1916-2001.</t>
        </is>
      </c>
      <c r="N108" t="inlineStr">
        <is>
          <t>Lincoln : University of Nebraska Press, [1970]</t>
        </is>
      </c>
      <c r="O108" t="inlineStr">
        <is>
          <t>1970</t>
        </is>
      </c>
      <c r="Q108" t="inlineStr">
        <is>
          <t>eng</t>
        </is>
      </c>
      <c r="R108" t="inlineStr">
        <is>
          <t>nbu</t>
        </is>
      </c>
      <c r="T108" t="inlineStr">
        <is>
          <t xml:space="preserve">KF </t>
        </is>
      </c>
      <c r="U108" t="n">
        <v>6</v>
      </c>
      <c r="V108" t="n">
        <v>6</v>
      </c>
      <c r="W108" t="inlineStr">
        <is>
          <t>2006-03-12</t>
        </is>
      </c>
      <c r="X108" t="inlineStr">
        <is>
          <t>2006-03-12</t>
        </is>
      </c>
      <c r="Y108" t="inlineStr">
        <is>
          <t>1990-10-23</t>
        </is>
      </c>
      <c r="Z108" t="inlineStr">
        <is>
          <t>1990-10-23</t>
        </is>
      </c>
      <c r="AA108" t="n">
        <v>819</v>
      </c>
      <c r="AB108" t="n">
        <v>750</v>
      </c>
      <c r="AC108" t="n">
        <v>756</v>
      </c>
      <c r="AD108" t="n">
        <v>9</v>
      </c>
      <c r="AE108" t="n">
        <v>9</v>
      </c>
      <c r="AF108" t="n">
        <v>41</v>
      </c>
      <c r="AG108" t="n">
        <v>41</v>
      </c>
      <c r="AH108" t="n">
        <v>10</v>
      </c>
      <c r="AI108" t="n">
        <v>10</v>
      </c>
      <c r="AJ108" t="n">
        <v>5</v>
      </c>
      <c r="AK108" t="n">
        <v>5</v>
      </c>
      <c r="AL108" t="n">
        <v>15</v>
      </c>
      <c r="AM108" t="n">
        <v>15</v>
      </c>
      <c r="AN108" t="n">
        <v>5</v>
      </c>
      <c r="AO108" t="n">
        <v>5</v>
      </c>
      <c r="AP108" t="n">
        <v>14</v>
      </c>
      <c r="AQ108" t="n">
        <v>14</v>
      </c>
      <c r="AR108" t="inlineStr">
        <is>
          <t>No</t>
        </is>
      </c>
      <c r="AS108" t="inlineStr">
        <is>
          <t>Yes</t>
        </is>
      </c>
      <c r="AT108">
        <f>HYPERLINK("http://catalog.hathitrust.org/Record/001897701","HathiTrust Record")</f>
        <v/>
      </c>
      <c r="AU108">
        <f>HYPERLINK("https://creighton-primo.hosted.exlibrisgroup.com/primo-explore/search?tab=default_tab&amp;search_scope=EVERYTHING&amp;vid=01CRU&amp;lang=en_US&amp;offset=0&amp;query=any,contains,991000389029702656","Catalog Record")</f>
        <v/>
      </c>
      <c r="AV108">
        <f>HYPERLINK("http://www.worldcat.org/oclc/72754","WorldCat Record")</f>
        <v/>
      </c>
      <c r="AW108" t="inlineStr">
        <is>
          <t>3943591838:eng</t>
        </is>
      </c>
      <c r="AX108" t="inlineStr">
        <is>
          <t>72754</t>
        </is>
      </c>
      <c r="AY108" t="inlineStr">
        <is>
          <t>991000389029702656</t>
        </is>
      </c>
      <c r="AZ108" t="inlineStr">
        <is>
          <t>991000389029702656</t>
        </is>
      </c>
      <c r="BA108" t="inlineStr">
        <is>
          <t>2271641850002656</t>
        </is>
      </c>
      <c r="BB108" t="inlineStr">
        <is>
          <t>BOOK</t>
        </is>
      </c>
      <c r="BD108" t="inlineStr">
        <is>
          <t>9780803207028</t>
        </is>
      </c>
      <c r="BE108" t="inlineStr">
        <is>
          <t>32285000352699</t>
        </is>
      </c>
      <c r="BF108" t="inlineStr">
        <is>
          <t>893333420</t>
        </is>
      </c>
    </row>
    <row r="109">
      <c r="B109" t="inlineStr">
        <is>
          <t>CURAL</t>
        </is>
      </c>
      <c r="C109" t="inlineStr">
        <is>
          <t>SHELVES</t>
        </is>
      </c>
      <c r="D109" t="inlineStr">
        <is>
          <t>KF1266 .B49 1987</t>
        </is>
      </c>
      <c r="E109" t="inlineStr">
        <is>
          <t>0                      KF 1266000B  49          1987</t>
        </is>
      </c>
      <c r="F109" t="inlineStr">
        <is>
          <t>Libel law and the press : myth and reality / Randall P. Bezanson, Gilbert Cranberg, John Soloski.</t>
        </is>
      </c>
      <c r="H109" t="inlineStr">
        <is>
          <t>No</t>
        </is>
      </c>
      <c r="I109" t="inlineStr">
        <is>
          <t>1</t>
        </is>
      </c>
      <c r="J109" t="inlineStr">
        <is>
          <t>No</t>
        </is>
      </c>
      <c r="K109" t="inlineStr">
        <is>
          <t>No</t>
        </is>
      </c>
      <c r="L109" t="inlineStr">
        <is>
          <t>0</t>
        </is>
      </c>
      <c r="M109" t="inlineStr">
        <is>
          <t>Bezanson, Randall P.</t>
        </is>
      </c>
      <c r="N109" t="inlineStr">
        <is>
          <t>New York : Free Press ; London : Collier Macmillan, c1987.</t>
        </is>
      </c>
      <c r="O109" t="inlineStr">
        <is>
          <t>1987</t>
        </is>
      </c>
      <c r="Q109" t="inlineStr">
        <is>
          <t>eng</t>
        </is>
      </c>
      <c r="R109" t="inlineStr">
        <is>
          <t>nyu</t>
        </is>
      </c>
      <c r="T109" t="inlineStr">
        <is>
          <t xml:space="preserve">KF </t>
        </is>
      </c>
      <c r="U109" t="n">
        <v>5</v>
      </c>
      <c r="V109" t="n">
        <v>5</v>
      </c>
      <c r="W109" t="inlineStr">
        <is>
          <t>2001-04-27</t>
        </is>
      </c>
      <c r="X109" t="inlineStr">
        <is>
          <t>2001-04-27</t>
        </is>
      </c>
      <c r="Y109" t="inlineStr">
        <is>
          <t>1992-06-12</t>
        </is>
      </c>
      <c r="Z109" t="inlineStr">
        <is>
          <t>1992-06-12</t>
        </is>
      </c>
      <c r="AA109" t="n">
        <v>492</v>
      </c>
      <c r="AB109" t="n">
        <v>453</v>
      </c>
      <c r="AC109" t="n">
        <v>460</v>
      </c>
      <c r="AD109" t="n">
        <v>5</v>
      </c>
      <c r="AE109" t="n">
        <v>5</v>
      </c>
      <c r="AF109" t="n">
        <v>43</v>
      </c>
      <c r="AG109" t="n">
        <v>43</v>
      </c>
      <c r="AH109" t="n">
        <v>11</v>
      </c>
      <c r="AI109" t="n">
        <v>11</v>
      </c>
      <c r="AJ109" t="n">
        <v>5</v>
      </c>
      <c r="AK109" t="n">
        <v>5</v>
      </c>
      <c r="AL109" t="n">
        <v>13</v>
      </c>
      <c r="AM109" t="n">
        <v>13</v>
      </c>
      <c r="AN109" t="n">
        <v>3</v>
      </c>
      <c r="AO109" t="n">
        <v>3</v>
      </c>
      <c r="AP109" t="n">
        <v>16</v>
      </c>
      <c r="AQ109" t="n">
        <v>16</v>
      </c>
      <c r="AR109" t="inlineStr">
        <is>
          <t>No</t>
        </is>
      </c>
      <c r="AS109" t="inlineStr">
        <is>
          <t>Yes</t>
        </is>
      </c>
      <c r="AT109">
        <f>HYPERLINK("http://catalog.hathitrust.org/Record/000831019","HathiTrust Record")</f>
        <v/>
      </c>
      <c r="AU109">
        <f>HYPERLINK("https://creighton-primo.hosted.exlibrisgroup.com/primo-explore/search?tab=default_tab&amp;search_scope=EVERYTHING&amp;vid=01CRU&amp;lang=en_US&amp;offset=0&amp;query=any,contains,991000988069702656","Catalog Record")</f>
        <v/>
      </c>
      <c r="AV109">
        <f>HYPERLINK("http://www.worldcat.org/oclc/15084073","WorldCat Record")</f>
        <v/>
      </c>
      <c r="AW109" t="inlineStr">
        <is>
          <t>233825519:eng</t>
        </is>
      </c>
      <c r="AX109" t="inlineStr">
        <is>
          <t>15084073</t>
        </is>
      </c>
      <c r="AY109" t="inlineStr">
        <is>
          <t>991000988069702656</t>
        </is>
      </c>
      <c r="AZ109" t="inlineStr">
        <is>
          <t>991000988069702656</t>
        </is>
      </c>
      <c r="BA109" t="inlineStr">
        <is>
          <t>2254737220002656</t>
        </is>
      </c>
      <c r="BB109" t="inlineStr">
        <is>
          <t>BOOK</t>
        </is>
      </c>
      <c r="BD109" t="inlineStr">
        <is>
          <t>9780029058701</t>
        </is>
      </c>
      <c r="BE109" t="inlineStr">
        <is>
          <t>32285001174217</t>
        </is>
      </c>
      <c r="BF109" t="inlineStr">
        <is>
          <t>893327769</t>
        </is>
      </c>
    </row>
    <row r="110">
      <c r="B110" t="inlineStr">
        <is>
          <t>CURAL</t>
        </is>
      </c>
      <c r="C110" t="inlineStr">
        <is>
          <t>SHELVES</t>
        </is>
      </c>
      <c r="D110" t="inlineStr">
        <is>
          <t>KF1266 .D55 1986</t>
        </is>
      </c>
      <c r="E110" t="inlineStr">
        <is>
          <t>0                      KF 1266000D  55          1986</t>
        </is>
      </c>
      <c r="F110" t="inlineStr">
        <is>
          <t>The journalist's handbook on libel and privacy / Barbara Dill.</t>
        </is>
      </c>
      <c r="H110" t="inlineStr">
        <is>
          <t>No</t>
        </is>
      </c>
      <c r="I110" t="inlineStr">
        <is>
          <t>1</t>
        </is>
      </c>
      <c r="J110" t="inlineStr">
        <is>
          <t>No</t>
        </is>
      </c>
      <c r="K110" t="inlineStr">
        <is>
          <t>No</t>
        </is>
      </c>
      <c r="L110" t="inlineStr">
        <is>
          <t>0</t>
        </is>
      </c>
      <c r="M110" t="inlineStr">
        <is>
          <t>Dill, Barbara.</t>
        </is>
      </c>
      <c r="N110" t="inlineStr">
        <is>
          <t>New York : Free Press ; London : Collier Macmillan, c1986.</t>
        </is>
      </c>
      <c r="O110" t="inlineStr">
        <is>
          <t>1986</t>
        </is>
      </c>
      <c r="Q110" t="inlineStr">
        <is>
          <t>eng</t>
        </is>
      </c>
      <c r="R110" t="inlineStr">
        <is>
          <t>nyu</t>
        </is>
      </c>
      <c r="T110" t="inlineStr">
        <is>
          <t xml:space="preserve">KF </t>
        </is>
      </c>
      <c r="U110" t="n">
        <v>12</v>
      </c>
      <c r="V110" t="n">
        <v>12</v>
      </c>
      <c r="W110" t="inlineStr">
        <is>
          <t>2003-04-23</t>
        </is>
      </c>
      <c r="X110" t="inlineStr">
        <is>
          <t>2003-04-23</t>
        </is>
      </c>
      <c r="Y110" t="inlineStr">
        <is>
          <t>1990-02-09</t>
        </is>
      </c>
      <c r="Z110" t="inlineStr">
        <is>
          <t>1990-02-09</t>
        </is>
      </c>
      <c r="AA110" t="n">
        <v>611</v>
      </c>
      <c r="AB110" t="n">
        <v>584</v>
      </c>
      <c r="AC110" t="n">
        <v>586</v>
      </c>
      <c r="AD110" t="n">
        <v>4</v>
      </c>
      <c r="AE110" t="n">
        <v>4</v>
      </c>
      <c r="AF110" t="n">
        <v>30</v>
      </c>
      <c r="AG110" t="n">
        <v>30</v>
      </c>
      <c r="AH110" t="n">
        <v>13</v>
      </c>
      <c r="AI110" t="n">
        <v>13</v>
      </c>
      <c r="AJ110" t="n">
        <v>3</v>
      </c>
      <c r="AK110" t="n">
        <v>3</v>
      </c>
      <c r="AL110" t="n">
        <v>12</v>
      </c>
      <c r="AM110" t="n">
        <v>12</v>
      </c>
      <c r="AN110" t="n">
        <v>3</v>
      </c>
      <c r="AO110" t="n">
        <v>3</v>
      </c>
      <c r="AP110" t="n">
        <v>7</v>
      </c>
      <c r="AQ110" t="n">
        <v>7</v>
      </c>
      <c r="AR110" t="inlineStr">
        <is>
          <t>No</t>
        </is>
      </c>
      <c r="AS110" t="inlineStr">
        <is>
          <t>Yes</t>
        </is>
      </c>
      <c r="AT110">
        <f>HYPERLINK("http://catalog.hathitrust.org/Record/000436254","HathiTrust Record")</f>
        <v/>
      </c>
      <c r="AU110">
        <f>HYPERLINK("https://creighton-primo.hosted.exlibrisgroup.com/primo-explore/search?tab=default_tab&amp;search_scope=EVERYTHING&amp;vid=01CRU&amp;lang=en_US&amp;offset=0&amp;query=any,contains,991000778249702656","Catalog Record")</f>
        <v/>
      </c>
      <c r="AV110">
        <f>HYPERLINK("http://www.worldcat.org/oclc/13093005","WorldCat Record")</f>
        <v/>
      </c>
      <c r="AW110" t="inlineStr">
        <is>
          <t>5827866:eng</t>
        </is>
      </c>
      <c r="AX110" t="inlineStr">
        <is>
          <t>13093005</t>
        </is>
      </c>
      <c r="AY110" t="inlineStr">
        <is>
          <t>991000778249702656</t>
        </is>
      </c>
      <c r="AZ110" t="inlineStr">
        <is>
          <t>991000778249702656</t>
        </is>
      </c>
      <c r="BA110" t="inlineStr">
        <is>
          <t>2269662510002656</t>
        </is>
      </c>
      <c r="BB110" t="inlineStr">
        <is>
          <t>BOOK</t>
        </is>
      </c>
      <c r="BD110" t="inlineStr">
        <is>
          <t>9780029080702</t>
        </is>
      </c>
      <c r="BE110" t="inlineStr">
        <is>
          <t>32285000034552</t>
        </is>
      </c>
      <c r="BF110" t="inlineStr">
        <is>
          <t>893528382</t>
        </is>
      </c>
    </row>
    <row r="111">
      <c r="B111" t="inlineStr">
        <is>
          <t>CURAL</t>
        </is>
      </c>
      <c r="C111" t="inlineStr">
        <is>
          <t>SHELVES</t>
        </is>
      </c>
      <c r="D111" t="inlineStr">
        <is>
          <t>KF1266 .L3 1987</t>
        </is>
      </c>
      <c r="E111" t="inlineStr">
        <is>
          <t>0                      KF 1266000L  3           1987</t>
        </is>
      </c>
      <c r="F111" t="inlineStr">
        <is>
          <t>Libel and the First Amendment : legal history and practice in print and broadcasting / Richard Labunski.</t>
        </is>
      </c>
      <c r="H111" t="inlineStr">
        <is>
          <t>No</t>
        </is>
      </c>
      <c r="I111" t="inlineStr">
        <is>
          <t>1</t>
        </is>
      </c>
      <c r="J111" t="inlineStr">
        <is>
          <t>No</t>
        </is>
      </c>
      <c r="K111" t="inlineStr">
        <is>
          <t>No</t>
        </is>
      </c>
      <c r="L111" t="inlineStr">
        <is>
          <t>0</t>
        </is>
      </c>
      <c r="M111" t="inlineStr">
        <is>
          <t>Labunski, Richard E.</t>
        </is>
      </c>
      <c r="N111" t="inlineStr">
        <is>
          <t>New Brunswick, N.J., U.S.A. : Transaction Books, c1987.</t>
        </is>
      </c>
      <c r="O111" t="inlineStr">
        <is>
          <t>1986</t>
        </is>
      </c>
      <c r="Q111" t="inlineStr">
        <is>
          <t>eng</t>
        </is>
      </c>
      <c r="R111" t="inlineStr">
        <is>
          <t>nju</t>
        </is>
      </c>
      <c r="T111" t="inlineStr">
        <is>
          <t xml:space="preserve">KF </t>
        </is>
      </c>
      <c r="U111" t="n">
        <v>10</v>
      </c>
      <c r="V111" t="n">
        <v>10</v>
      </c>
      <c r="W111" t="inlineStr">
        <is>
          <t>2008-04-26</t>
        </is>
      </c>
      <c r="X111" t="inlineStr">
        <is>
          <t>2008-04-26</t>
        </is>
      </c>
      <c r="Y111" t="inlineStr">
        <is>
          <t>1992-06-12</t>
        </is>
      </c>
      <c r="Z111" t="inlineStr">
        <is>
          <t>1992-06-12</t>
        </is>
      </c>
      <c r="AA111" t="n">
        <v>497</v>
      </c>
      <c r="AB111" t="n">
        <v>485</v>
      </c>
      <c r="AC111" t="n">
        <v>624</v>
      </c>
      <c r="AD111" t="n">
        <v>3</v>
      </c>
      <c r="AE111" t="n">
        <v>3</v>
      </c>
      <c r="AF111" t="n">
        <v>35</v>
      </c>
      <c r="AG111" t="n">
        <v>38</v>
      </c>
      <c r="AH111" t="n">
        <v>7</v>
      </c>
      <c r="AI111" t="n">
        <v>9</v>
      </c>
      <c r="AJ111" t="n">
        <v>5</v>
      </c>
      <c r="AK111" t="n">
        <v>6</v>
      </c>
      <c r="AL111" t="n">
        <v>11</v>
      </c>
      <c r="AM111" t="n">
        <v>14</v>
      </c>
      <c r="AN111" t="n">
        <v>2</v>
      </c>
      <c r="AO111" t="n">
        <v>2</v>
      </c>
      <c r="AP111" t="n">
        <v>15</v>
      </c>
      <c r="AQ111" t="n">
        <v>15</v>
      </c>
      <c r="AR111" t="inlineStr">
        <is>
          <t>No</t>
        </is>
      </c>
      <c r="AS111" t="inlineStr">
        <is>
          <t>No</t>
        </is>
      </c>
      <c r="AU111">
        <f>HYPERLINK("https://creighton-primo.hosted.exlibrisgroup.com/primo-explore/search?tab=default_tab&amp;search_scope=EVERYTHING&amp;vid=01CRU&amp;lang=en_US&amp;offset=0&amp;query=any,contains,991000741749702656","Catalog Record")</f>
        <v/>
      </c>
      <c r="AV111">
        <f>HYPERLINK("http://www.worldcat.org/oclc/12808883","WorldCat Record")</f>
        <v/>
      </c>
      <c r="AW111" t="inlineStr">
        <is>
          <t>288045136:eng</t>
        </is>
      </c>
      <c r="AX111" t="inlineStr">
        <is>
          <t>12808883</t>
        </is>
      </c>
      <c r="AY111" t="inlineStr">
        <is>
          <t>991000741749702656</t>
        </is>
      </c>
      <c r="AZ111" t="inlineStr">
        <is>
          <t>991000741749702656</t>
        </is>
      </c>
      <c r="BA111" t="inlineStr">
        <is>
          <t>2259351580002656</t>
        </is>
      </c>
      <c r="BB111" t="inlineStr">
        <is>
          <t>BOOK</t>
        </is>
      </c>
      <c r="BD111" t="inlineStr">
        <is>
          <t>9780887380822</t>
        </is>
      </c>
      <c r="BE111" t="inlineStr">
        <is>
          <t>32285001174233</t>
        </is>
      </c>
      <c r="BF111" t="inlineStr">
        <is>
          <t>893689988</t>
        </is>
      </c>
    </row>
    <row r="112">
      <c r="B112" t="inlineStr">
        <is>
          <t>CURAL</t>
        </is>
      </c>
      <c r="C112" t="inlineStr">
        <is>
          <t>SHELVES</t>
        </is>
      </c>
      <c r="D112" t="inlineStr">
        <is>
          <t>KF1266.A7 S46 1986</t>
        </is>
      </c>
      <c r="E112" t="inlineStr">
        <is>
          <t>0                      KF 1266000A  7                  S  46          1986</t>
        </is>
      </c>
      <c r="F112" t="inlineStr">
        <is>
          <t>Suing the press / Rodney A. Smolla.</t>
        </is>
      </c>
      <c r="H112" t="inlineStr">
        <is>
          <t>No</t>
        </is>
      </c>
      <c r="I112" t="inlineStr">
        <is>
          <t>1</t>
        </is>
      </c>
      <c r="J112" t="inlineStr">
        <is>
          <t>Yes</t>
        </is>
      </c>
      <c r="K112" t="inlineStr">
        <is>
          <t>No</t>
        </is>
      </c>
      <c r="L112" t="inlineStr">
        <is>
          <t>0</t>
        </is>
      </c>
      <c r="M112" t="inlineStr">
        <is>
          <t>Smolla, Rodney A.</t>
        </is>
      </c>
      <c r="N112" t="inlineStr">
        <is>
          <t>New York : Oxford University Press, 1986.</t>
        </is>
      </c>
      <c r="O112" t="inlineStr">
        <is>
          <t>1986</t>
        </is>
      </c>
      <c r="Q112" t="inlineStr">
        <is>
          <t>eng</t>
        </is>
      </c>
      <c r="R112" t="inlineStr">
        <is>
          <t>nyu</t>
        </is>
      </c>
      <c r="T112" t="inlineStr">
        <is>
          <t xml:space="preserve">KF </t>
        </is>
      </c>
      <c r="U112" t="n">
        <v>7</v>
      </c>
      <c r="V112" t="n">
        <v>8</v>
      </c>
      <c r="W112" t="inlineStr">
        <is>
          <t>2008-04-05</t>
        </is>
      </c>
      <c r="X112" t="inlineStr">
        <is>
          <t>2008-04-05</t>
        </is>
      </c>
      <c r="Y112" t="inlineStr">
        <is>
          <t>1992-06-12</t>
        </is>
      </c>
      <c r="Z112" t="inlineStr">
        <is>
          <t>1992-11-14</t>
        </is>
      </c>
      <c r="AA112" t="n">
        <v>1035</v>
      </c>
      <c r="AB112" t="n">
        <v>944</v>
      </c>
      <c r="AC112" t="n">
        <v>968</v>
      </c>
      <c r="AD112" t="n">
        <v>6</v>
      </c>
      <c r="AE112" t="n">
        <v>6</v>
      </c>
      <c r="AF112" t="n">
        <v>60</v>
      </c>
      <c r="AG112" t="n">
        <v>60</v>
      </c>
      <c r="AH112" t="n">
        <v>15</v>
      </c>
      <c r="AI112" t="n">
        <v>15</v>
      </c>
      <c r="AJ112" t="n">
        <v>8</v>
      </c>
      <c r="AK112" t="n">
        <v>8</v>
      </c>
      <c r="AL112" t="n">
        <v>20</v>
      </c>
      <c r="AM112" t="n">
        <v>20</v>
      </c>
      <c r="AN112" t="n">
        <v>4</v>
      </c>
      <c r="AO112" t="n">
        <v>4</v>
      </c>
      <c r="AP112" t="n">
        <v>22</v>
      </c>
      <c r="AQ112" t="n">
        <v>22</v>
      </c>
      <c r="AR112" t="inlineStr">
        <is>
          <t>No</t>
        </is>
      </c>
      <c r="AS112" t="inlineStr">
        <is>
          <t>Yes</t>
        </is>
      </c>
      <c r="AT112">
        <f>HYPERLINK("http://catalog.hathitrust.org/Record/000583035","HathiTrust Record")</f>
        <v/>
      </c>
      <c r="AU112">
        <f>HYPERLINK("https://creighton-primo.hosted.exlibrisgroup.com/primo-explore/search?tab=default_tab&amp;search_scope=EVERYTHING&amp;vid=01CRU&amp;lang=en_US&amp;offset=0&amp;query=any,contains,991001632479702656","Catalog Record")</f>
        <v/>
      </c>
      <c r="AV112">
        <f>HYPERLINK("http://www.worldcat.org/oclc/13124631","WorldCat Record")</f>
        <v/>
      </c>
      <c r="AW112" t="inlineStr">
        <is>
          <t>976175:eng</t>
        </is>
      </c>
      <c r="AX112" t="inlineStr">
        <is>
          <t>13124631</t>
        </is>
      </c>
      <c r="AY112" t="inlineStr">
        <is>
          <t>991001632479702656</t>
        </is>
      </c>
      <c r="AZ112" t="inlineStr">
        <is>
          <t>991001632479702656</t>
        </is>
      </c>
      <c r="BA112" t="inlineStr">
        <is>
          <t>2257379980002656</t>
        </is>
      </c>
      <c r="BB112" t="inlineStr">
        <is>
          <t>BOOK</t>
        </is>
      </c>
      <c r="BD112" t="inlineStr">
        <is>
          <t>9780195039016</t>
        </is>
      </c>
      <c r="BE112" t="inlineStr">
        <is>
          <t>32285001174209</t>
        </is>
      </c>
      <c r="BF112" t="inlineStr">
        <is>
          <t>893334423</t>
        </is>
      </c>
    </row>
    <row r="113">
      <c r="B113" t="inlineStr">
        <is>
          <t>CURAL</t>
        </is>
      </c>
      <c r="C113" t="inlineStr">
        <is>
          <t>SHELVES</t>
        </is>
      </c>
      <c r="D113" t="inlineStr">
        <is>
          <t>KF1266.Z9 M3</t>
        </is>
      </c>
      <c r="E113" t="inlineStr">
        <is>
          <t>0                      KF 1266000Z  9                  M  3</t>
        </is>
      </c>
      <c r="F113" t="inlineStr">
        <is>
          <t>What you should know about libel &amp; slander [by] Michael F. Mayer.</t>
        </is>
      </c>
      <c r="H113" t="inlineStr">
        <is>
          <t>No</t>
        </is>
      </c>
      <c r="I113" t="inlineStr">
        <is>
          <t>1</t>
        </is>
      </c>
      <c r="J113" t="inlineStr">
        <is>
          <t>No</t>
        </is>
      </c>
      <c r="K113" t="inlineStr">
        <is>
          <t>No</t>
        </is>
      </c>
      <c r="L113" t="inlineStr">
        <is>
          <t>0</t>
        </is>
      </c>
      <c r="M113" t="inlineStr">
        <is>
          <t>Mayer, Michael F.</t>
        </is>
      </c>
      <c r="N113" t="inlineStr">
        <is>
          <t>New York, Arco [1968]</t>
        </is>
      </c>
      <c r="O113" t="inlineStr">
        <is>
          <t>1968</t>
        </is>
      </c>
      <c r="Q113" t="inlineStr">
        <is>
          <t>eng</t>
        </is>
      </c>
      <c r="R113" t="inlineStr">
        <is>
          <t>nyu</t>
        </is>
      </c>
      <c r="S113" t="inlineStr">
        <is>
          <t>Know your law</t>
        </is>
      </c>
      <c r="T113" t="inlineStr">
        <is>
          <t xml:space="preserve">KF </t>
        </is>
      </c>
      <c r="U113" t="n">
        <v>1</v>
      </c>
      <c r="V113" t="n">
        <v>1</v>
      </c>
      <c r="W113" t="inlineStr">
        <is>
          <t>2008-04-05</t>
        </is>
      </c>
      <c r="X113" t="inlineStr">
        <is>
          <t>2008-04-05</t>
        </is>
      </c>
      <c r="Y113" t="inlineStr">
        <is>
          <t>1997-04-14</t>
        </is>
      </c>
      <c r="Z113" t="inlineStr">
        <is>
          <t>1997-04-14</t>
        </is>
      </c>
      <c r="AA113" t="n">
        <v>238</v>
      </c>
      <c r="AB113" t="n">
        <v>224</v>
      </c>
      <c r="AC113" t="n">
        <v>226</v>
      </c>
      <c r="AD113" t="n">
        <v>1</v>
      </c>
      <c r="AE113" t="n">
        <v>1</v>
      </c>
      <c r="AF113" t="n">
        <v>5</v>
      </c>
      <c r="AG113" t="n">
        <v>5</v>
      </c>
      <c r="AH113" t="n">
        <v>1</v>
      </c>
      <c r="AI113" t="n">
        <v>1</v>
      </c>
      <c r="AJ113" t="n">
        <v>0</v>
      </c>
      <c r="AK113" t="n">
        <v>0</v>
      </c>
      <c r="AL113" t="n">
        <v>0</v>
      </c>
      <c r="AM113" t="n">
        <v>0</v>
      </c>
      <c r="AN113" t="n">
        <v>0</v>
      </c>
      <c r="AO113" t="n">
        <v>0</v>
      </c>
      <c r="AP113" t="n">
        <v>4</v>
      </c>
      <c r="AQ113" t="n">
        <v>4</v>
      </c>
      <c r="AR113" t="inlineStr">
        <is>
          <t>No</t>
        </is>
      </c>
      <c r="AS113" t="inlineStr">
        <is>
          <t>Yes</t>
        </is>
      </c>
      <c r="AT113">
        <f>HYPERLINK("http://catalog.hathitrust.org/Record/001134472","HathiTrust Record")</f>
        <v/>
      </c>
      <c r="AU113">
        <f>HYPERLINK("https://creighton-primo.hosted.exlibrisgroup.com/primo-explore/search?tab=default_tab&amp;search_scope=EVERYTHING&amp;vid=01CRU&amp;lang=en_US&amp;offset=0&amp;query=any,contains,991002327579702656","Catalog Record")</f>
        <v/>
      </c>
      <c r="AV113">
        <f>HYPERLINK("http://www.worldcat.org/oclc/321261","WorldCat Record")</f>
        <v/>
      </c>
      <c r="AW113" t="inlineStr">
        <is>
          <t>358337:eng</t>
        </is>
      </c>
      <c r="AX113" t="inlineStr">
        <is>
          <t>321261</t>
        </is>
      </c>
      <c r="AY113" t="inlineStr">
        <is>
          <t>991002327579702656</t>
        </is>
      </c>
      <c r="AZ113" t="inlineStr">
        <is>
          <t>991002327579702656</t>
        </is>
      </c>
      <c r="BA113" t="inlineStr">
        <is>
          <t>2256083490002656</t>
        </is>
      </c>
      <c r="BB113" t="inlineStr">
        <is>
          <t>BOOK</t>
        </is>
      </c>
      <c r="BE113" t="inlineStr">
        <is>
          <t>32285002550209</t>
        </is>
      </c>
      <c r="BF113" t="inlineStr">
        <is>
          <t>893721403</t>
        </is>
      </c>
    </row>
    <row r="114">
      <c r="B114" t="inlineStr">
        <is>
          <t>CURAL</t>
        </is>
      </c>
      <c r="C114" t="inlineStr">
        <is>
          <t>SHELVES</t>
        </is>
      </c>
      <c r="D114" t="inlineStr">
        <is>
          <t>KF1266.Z9 N45 1984</t>
        </is>
      </c>
      <c r="E114" t="inlineStr">
        <is>
          <t>0                      KF 1266000Z  9                  N  45          1984</t>
        </is>
      </c>
      <c r="F114" t="inlineStr">
        <is>
          <t>New York Times v. Sullivan : the next twenty years / Richard N. Winfield, chairman.</t>
        </is>
      </c>
      <c r="H114" t="inlineStr">
        <is>
          <t>No</t>
        </is>
      </c>
      <c r="I114" t="inlineStr">
        <is>
          <t>1</t>
        </is>
      </c>
      <c r="J114" t="inlineStr">
        <is>
          <t>Yes</t>
        </is>
      </c>
      <c r="K114" t="inlineStr">
        <is>
          <t>No</t>
        </is>
      </c>
      <c r="L114" t="inlineStr">
        <is>
          <t>0</t>
        </is>
      </c>
      <c r="N114" t="inlineStr">
        <is>
          <t>New York (810 7th Ave., New York 10019) : Practising Law Institute, 1984.</t>
        </is>
      </c>
      <c r="O114" t="inlineStr">
        <is>
          <t>1984</t>
        </is>
      </c>
      <c r="Q114" t="inlineStr">
        <is>
          <t>eng</t>
        </is>
      </c>
      <c r="R114" t="inlineStr">
        <is>
          <t>nyu</t>
        </is>
      </c>
      <c r="S114" t="inlineStr">
        <is>
          <t>Litigation and administrative practice series</t>
        </is>
      </c>
      <c r="T114" t="inlineStr">
        <is>
          <t xml:space="preserve">KF </t>
        </is>
      </c>
      <c r="U114" t="n">
        <v>3</v>
      </c>
      <c r="V114" t="n">
        <v>5</v>
      </c>
      <c r="W114" t="inlineStr">
        <is>
          <t>2007-03-18</t>
        </is>
      </c>
      <c r="X114" t="inlineStr">
        <is>
          <t>2009-04-26</t>
        </is>
      </c>
      <c r="Y114" t="inlineStr">
        <is>
          <t>1992-06-12</t>
        </is>
      </c>
      <c r="Z114" t="inlineStr">
        <is>
          <t>1992-06-12</t>
        </is>
      </c>
      <c r="AA114" t="n">
        <v>129</v>
      </c>
      <c r="AB114" t="n">
        <v>124</v>
      </c>
      <c r="AC114" t="n">
        <v>124</v>
      </c>
      <c r="AD114" t="n">
        <v>2</v>
      </c>
      <c r="AE114" t="n">
        <v>2</v>
      </c>
      <c r="AF114" t="n">
        <v>9</v>
      </c>
      <c r="AG114" t="n">
        <v>9</v>
      </c>
      <c r="AH114" t="n">
        <v>1</v>
      </c>
      <c r="AI114" t="n">
        <v>1</v>
      </c>
      <c r="AJ114" t="n">
        <v>0</v>
      </c>
      <c r="AK114" t="n">
        <v>0</v>
      </c>
      <c r="AL114" t="n">
        <v>1</v>
      </c>
      <c r="AM114" t="n">
        <v>1</v>
      </c>
      <c r="AN114" t="n">
        <v>0</v>
      </c>
      <c r="AO114" t="n">
        <v>0</v>
      </c>
      <c r="AP114" t="n">
        <v>7</v>
      </c>
      <c r="AQ114" t="n">
        <v>7</v>
      </c>
      <c r="AR114" t="inlineStr">
        <is>
          <t>No</t>
        </is>
      </c>
      <c r="AS114" t="inlineStr">
        <is>
          <t>No</t>
        </is>
      </c>
      <c r="AU114">
        <f>HYPERLINK("https://creighton-primo.hosted.exlibrisgroup.com/primo-explore/search?tab=default_tab&amp;search_scope=EVERYTHING&amp;vid=01CRU&amp;lang=en_US&amp;offset=0&amp;query=any,contains,991001627369702656","Catalog Record")</f>
        <v/>
      </c>
      <c r="AV114">
        <f>HYPERLINK("http://www.worldcat.org/oclc/10563087","WorldCat Record")</f>
        <v/>
      </c>
      <c r="AW114" t="inlineStr">
        <is>
          <t>3004779:eng</t>
        </is>
      </c>
      <c r="AX114" t="inlineStr">
        <is>
          <t>10563087</t>
        </is>
      </c>
      <c r="AY114" t="inlineStr">
        <is>
          <t>991001627369702656</t>
        </is>
      </c>
      <c r="AZ114" t="inlineStr">
        <is>
          <t>991001627369702656</t>
        </is>
      </c>
      <c r="BA114" t="inlineStr">
        <is>
          <t>2267811770002656</t>
        </is>
      </c>
      <c r="BB114" t="inlineStr">
        <is>
          <t>BOOK</t>
        </is>
      </c>
      <c r="BE114" t="inlineStr">
        <is>
          <t>32285001174282</t>
        </is>
      </c>
      <c r="BF114" t="inlineStr">
        <is>
          <t>893778915</t>
        </is>
      </c>
    </row>
    <row r="115">
      <c r="B115" t="inlineStr">
        <is>
          <t>CURAL</t>
        </is>
      </c>
      <c r="C115" t="inlineStr">
        <is>
          <t>SHELVES</t>
        </is>
      </c>
      <c r="D115" t="inlineStr">
        <is>
          <t>KF1290.S66 Y37 1985</t>
        </is>
      </c>
      <c r="E115" t="inlineStr">
        <is>
          <t>0                      KF 1290000S  66                 Y  37          1985</t>
        </is>
      </c>
      <c r="F115" t="inlineStr">
        <is>
          <t>Torts and sports : legal liability in professional and amateur athletics / Raymond L. Yasser.</t>
        </is>
      </c>
      <c r="H115" t="inlineStr">
        <is>
          <t>No</t>
        </is>
      </c>
      <c r="I115" t="inlineStr">
        <is>
          <t>1</t>
        </is>
      </c>
      <c r="J115" t="inlineStr">
        <is>
          <t>No</t>
        </is>
      </c>
      <c r="K115" t="inlineStr">
        <is>
          <t>No</t>
        </is>
      </c>
      <c r="L115" t="inlineStr">
        <is>
          <t>0</t>
        </is>
      </c>
      <c r="M115" t="inlineStr">
        <is>
          <t>Yasser, Raymond L.</t>
        </is>
      </c>
      <c r="N115" t="inlineStr">
        <is>
          <t>Westport, Conn. : Quorum Books, 1985.</t>
        </is>
      </c>
      <c r="O115" t="inlineStr">
        <is>
          <t>1985</t>
        </is>
      </c>
      <c r="Q115" t="inlineStr">
        <is>
          <t>eng</t>
        </is>
      </c>
      <c r="R115" t="inlineStr">
        <is>
          <t>ctu</t>
        </is>
      </c>
      <c r="T115" t="inlineStr">
        <is>
          <t xml:space="preserve">KF </t>
        </is>
      </c>
      <c r="U115" t="n">
        <v>1</v>
      </c>
      <c r="V115" t="n">
        <v>1</v>
      </c>
      <c r="W115" t="inlineStr">
        <is>
          <t>2008-07-29</t>
        </is>
      </c>
      <c r="X115" t="inlineStr">
        <is>
          <t>2008-07-29</t>
        </is>
      </c>
      <c r="Y115" t="inlineStr">
        <is>
          <t>2008-07-29</t>
        </is>
      </c>
      <c r="Z115" t="inlineStr">
        <is>
          <t>2008-07-29</t>
        </is>
      </c>
      <c r="AA115" t="n">
        <v>442</v>
      </c>
      <c r="AB115" t="n">
        <v>389</v>
      </c>
      <c r="AC115" t="n">
        <v>403</v>
      </c>
      <c r="AD115" t="n">
        <v>3</v>
      </c>
      <c r="AE115" t="n">
        <v>3</v>
      </c>
      <c r="AF115" t="n">
        <v>24</v>
      </c>
      <c r="AG115" t="n">
        <v>24</v>
      </c>
      <c r="AH115" t="n">
        <v>4</v>
      </c>
      <c r="AI115" t="n">
        <v>4</v>
      </c>
      <c r="AJ115" t="n">
        <v>1</v>
      </c>
      <c r="AK115" t="n">
        <v>1</v>
      </c>
      <c r="AL115" t="n">
        <v>2</v>
      </c>
      <c r="AM115" t="n">
        <v>2</v>
      </c>
      <c r="AN115" t="n">
        <v>2</v>
      </c>
      <c r="AO115" t="n">
        <v>2</v>
      </c>
      <c r="AP115" t="n">
        <v>16</v>
      </c>
      <c r="AQ115" t="n">
        <v>16</v>
      </c>
      <c r="AR115" t="inlineStr">
        <is>
          <t>No</t>
        </is>
      </c>
      <c r="AS115" t="inlineStr">
        <is>
          <t>No</t>
        </is>
      </c>
      <c r="AU115">
        <f>HYPERLINK("https://creighton-primo.hosted.exlibrisgroup.com/primo-explore/search?tab=default_tab&amp;search_scope=EVERYTHING&amp;vid=01CRU&amp;lang=en_US&amp;offset=0&amp;query=any,contains,991005256979702656","Catalog Record")</f>
        <v/>
      </c>
      <c r="AV115">
        <f>HYPERLINK("http://www.worldcat.org/oclc/11397453","WorldCat Record")</f>
        <v/>
      </c>
      <c r="AW115" t="inlineStr">
        <is>
          <t>836687268:eng</t>
        </is>
      </c>
      <c r="AX115" t="inlineStr">
        <is>
          <t>11397453</t>
        </is>
      </c>
      <c r="AY115" t="inlineStr">
        <is>
          <t>991005256979702656</t>
        </is>
      </c>
      <c r="AZ115" t="inlineStr">
        <is>
          <t>991005256979702656</t>
        </is>
      </c>
      <c r="BA115" t="inlineStr">
        <is>
          <t>2267471030002656</t>
        </is>
      </c>
      <c r="BB115" t="inlineStr">
        <is>
          <t>BOOK</t>
        </is>
      </c>
      <c r="BD115" t="inlineStr">
        <is>
          <t>9780899300924</t>
        </is>
      </c>
      <c r="BE115" t="inlineStr">
        <is>
          <t>32285005451561</t>
        </is>
      </c>
      <c r="BF115" t="inlineStr">
        <is>
          <t>893344914</t>
        </is>
      </c>
    </row>
    <row r="116">
      <c r="B116" t="inlineStr">
        <is>
          <t>CURAL</t>
        </is>
      </c>
      <c r="C116" t="inlineStr">
        <is>
          <t>SHELVES</t>
        </is>
      </c>
      <c r="D116" t="inlineStr">
        <is>
          <t>KF1296 .N44 1988</t>
        </is>
      </c>
      <c r="E116" t="inlineStr">
        <is>
          <t>0                      KF 1296000N  44          1988</t>
        </is>
      </c>
      <c r="F116" t="inlineStr">
        <is>
          <t>The product liability mess : how business can be rescued from the politics of state courts / Richard Neely.</t>
        </is>
      </c>
      <c r="H116" t="inlineStr">
        <is>
          <t>No</t>
        </is>
      </c>
      <c r="I116" t="inlineStr">
        <is>
          <t>1</t>
        </is>
      </c>
      <c r="J116" t="inlineStr">
        <is>
          <t>No</t>
        </is>
      </c>
      <c r="K116" t="inlineStr">
        <is>
          <t>No</t>
        </is>
      </c>
      <c r="L116" t="inlineStr">
        <is>
          <t>0</t>
        </is>
      </c>
      <c r="M116" t="inlineStr">
        <is>
          <t>Neely, Richard, 1941-</t>
        </is>
      </c>
      <c r="N116" t="inlineStr">
        <is>
          <t>New York : Free Press ; London : Collier Macmillan, c1988.</t>
        </is>
      </c>
      <c r="O116" t="inlineStr">
        <is>
          <t>1988</t>
        </is>
      </c>
      <c r="Q116" t="inlineStr">
        <is>
          <t>eng</t>
        </is>
      </c>
      <c r="R116" t="inlineStr">
        <is>
          <t>nyu</t>
        </is>
      </c>
      <c r="T116" t="inlineStr">
        <is>
          <t xml:space="preserve">KF </t>
        </is>
      </c>
      <c r="U116" t="n">
        <v>5</v>
      </c>
      <c r="V116" t="n">
        <v>5</v>
      </c>
      <c r="W116" t="inlineStr">
        <is>
          <t>2005-12-14</t>
        </is>
      </c>
      <c r="X116" t="inlineStr">
        <is>
          <t>2005-12-14</t>
        </is>
      </c>
      <c r="Y116" t="inlineStr">
        <is>
          <t>1990-05-17</t>
        </is>
      </c>
      <c r="Z116" t="inlineStr">
        <is>
          <t>1990-05-17</t>
        </is>
      </c>
      <c r="AA116" t="n">
        <v>454</v>
      </c>
      <c r="AB116" t="n">
        <v>428</v>
      </c>
      <c r="AC116" t="n">
        <v>434</v>
      </c>
      <c r="AD116" t="n">
        <v>3</v>
      </c>
      <c r="AE116" t="n">
        <v>3</v>
      </c>
      <c r="AF116" t="n">
        <v>23</v>
      </c>
      <c r="AG116" t="n">
        <v>23</v>
      </c>
      <c r="AH116" t="n">
        <v>1</v>
      </c>
      <c r="AI116" t="n">
        <v>1</v>
      </c>
      <c r="AJ116" t="n">
        <v>4</v>
      </c>
      <c r="AK116" t="n">
        <v>4</v>
      </c>
      <c r="AL116" t="n">
        <v>5</v>
      </c>
      <c r="AM116" t="n">
        <v>5</v>
      </c>
      <c r="AN116" t="n">
        <v>1</v>
      </c>
      <c r="AO116" t="n">
        <v>1</v>
      </c>
      <c r="AP116" t="n">
        <v>15</v>
      </c>
      <c r="AQ116" t="n">
        <v>15</v>
      </c>
      <c r="AR116" t="inlineStr">
        <is>
          <t>No</t>
        </is>
      </c>
      <c r="AS116" t="inlineStr">
        <is>
          <t>Yes</t>
        </is>
      </c>
      <c r="AT116">
        <f>HYPERLINK("http://catalog.hathitrust.org/Record/000914632","HathiTrust Record")</f>
        <v/>
      </c>
      <c r="AU116">
        <f>HYPERLINK("https://creighton-primo.hosted.exlibrisgroup.com/primo-explore/search?tab=default_tab&amp;search_scope=EVERYTHING&amp;vid=01CRU&amp;lang=en_US&amp;offset=0&amp;query=any,contains,991001193709702656","Catalog Record")</f>
        <v/>
      </c>
      <c r="AV116">
        <f>HYPERLINK("http://www.worldcat.org/oclc/17263471","WorldCat Record")</f>
        <v/>
      </c>
      <c r="AW116" t="inlineStr">
        <is>
          <t>15608451:eng</t>
        </is>
      </c>
      <c r="AX116" t="inlineStr">
        <is>
          <t>17263471</t>
        </is>
      </c>
      <c r="AY116" t="inlineStr">
        <is>
          <t>991001193709702656</t>
        </is>
      </c>
      <c r="AZ116" t="inlineStr">
        <is>
          <t>991001193709702656</t>
        </is>
      </c>
      <c r="BA116" t="inlineStr">
        <is>
          <t>2266539520002656</t>
        </is>
      </c>
      <c r="BB116" t="inlineStr">
        <is>
          <t>BOOK</t>
        </is>
      </c>
      <c r="BD116" t="inlineStr">
        <is>
          <t>9780029226803</t>
        </is>
      </c>
      <c r="BE116" t="inlineStr">
        <is>
          <t>32285000152677</t>
        </is>
      </c>
      <c r="BF116" t="inlineStr">
        <is>
          <t>893407930</t>
        </is>
      </c>
    </row>
    <row r="117">
      <c r="B117" t="inlineStr">
        <is>
          <t>CURAL</t>
        </is>
      </c>
      <c r="C117" t="inlineStr">
        <is>
          <t>SHELVES</t>
        </is>
      </c>
      <c r="D117" t="inlineStr">
        <is>
          <t>KF1299.H39 O27 1987</t>
        </is>
      </c>
      <c r="E117" t="inlineStr">
        <is>
          <t>0                      KF 1299000H  39                 O  27          1987</t>
        </is>
      </c>
      <c r="F117" t="inlineStr">
        <is>
          <t>What process is due? : courts and science-policy disputes / David M. O'Brien.</t>
        </is>
      </c>
      <c r="H117" t="inlineStr">
        <is>
          <t>No</t>
        </is>
      </c>
      <c r="I117" t="inlineStr">
        <is>
          <t>1</t>
        </is>
      </c>
      <c r="J117" t="inlineStr">
        <is>
          <t>Yes</t>
        </is>
      </c>
      <c r="K117" t="inlineStr">
        <is>
          <t>No</t>
        </is>
      </c>
      <c r="L117" t="inlineStr">
        <is>
          <t>0</t>
        </is>
      </c>
      <c r="M117" t="inlineStr">
        <is>
          <t>O'Brien, David M.</t>
        </is>
      </c>
      <c r="N117" t="inlineStr">
        <is>
          <t>New York : Russell Sage Foundation, c1987.</t>
        </is>
      </c>
      <c r="O117" t="inlineStr">
        <is>
          <t>1987</t>
        </is>
      </c>
      <c r="Q117" t="inlineStr">
        <is>
          <t>eng</t>
        </is>
      </c>
      <c r="R117" t="inlineStr">
        <is>
          <t>nyu</t>
        </is>
      </c>
      <c r="T117" t="inlineStr">
        <is>
          <t xml:space="preserve">KF </t>
        </is>
      </c>
      <c r="U117" t="n">
        <v>2</v>
      </c>
      <c r="V117" t="n">
        <v>2</v>
      </c>
      <c r="W117" t="inlineStr">
        <is>
          <t>1999-10-21</t>
        </is>
      </c>
      <c r="X117" t="inlineStr">
        <is>
          <t>1999-10-21</t>
        </is>
      </c>
      <c r="Y117" t="inlineStr">
        <is>
          <t>1990-12-07</t>
        </is>
      </c>
      <c r="Z117" t="inlineStr">
        <is>
          <t>1994-06-16</t>
        </is>
      </c>
      <c r="AA117" t="n">
        <v>398</v>
      </c>
      <c r="AB117" t="n">
        <v>363</v>
      </c>
      <c r="AC117" t="n">
        <v>412</v>
      </c>
      <c r="AD117" t="n">
        <v>2</v>
      </c>
      <c r="AE117" t="n">
        <v>2</v>
      </c>
      <c r="AF117" t="n">
        <v>22</v>
      </c>
      <c r="AG117" t="n">
        <v>24</v>
      </c>
      <c r="AH117" t="n">
        <v>1</v>
      </c>
      <c r="AI117" t="n">
        <v>3</v>
      </c>
      <c r="AJ117" t="n">
        <v>4</v>
      </c>
      <c r="AK117" t="n">
        <v>5</v>
      </c>
      <c r="AL117" t="n">
        <v>6</v>
      </c>
      <c r="AM117" t="n">
        <v>6</v>
      </c>
      <c r="AN117" t="n">
        <v>0</v>
      </c>
      <c r="AO117" t="n">
        <v>0</v>
      </c>
      <c r="AP117" t="n">
        <v>14</v>
      </c>
      <c r="AQ117" t="n">
        <v>14</v>
      </c>
      <c r="AR117" t="inlineStr">
        <is>
          <t>No</t>
        </is>
      </c>
      <c r="AS117" t="inlineStr">
        <is>
          <t>Yes</t>
        </is>
      </c>
      <c r="AT117">
        <f>HYPERLINK("http://catalog.hathitrust.org/Record/000915924","HathiTrust Record")</f>
        <v/>
      </c>
      <c r="AU117">
        <f>HYPERLINK("https://creighton-primo.hosted.exlibrisgroup.com/primo-explore/search?tab=default_tab&amp;search_scope=EVERYTHING&amp;vid=01CRU&amp;lang=en_US&amp;offset=0&amp;query=any,contains,991001637629702656","Catalog Record")</f>
        <v/>
      </c>
      <c r="AV117">
        <f>HYPERLINK("http://www.worldcat.org/oclc/16900323","WorldCat Record")</f>
        <v/>
      </c>
      <c r="AW117" t="inlineStr">
        <is>
          <t>13067649:eng</t>
        </is>
      </c>
      <c r="AX117" t="inlineStr">
        <is>
          <t>16900323</t>
        </is>
      </c>
      <c r="AY117" t="inlineStr">
        <is>
          <t>991001637629702656</t>
        </is>
      </c>
      <c r="AZ117" t="inlineStr">
        <is>
          <t>991001637629702656</t>
        </is>
      </c>
      <c r="BA117" t="inlineStr">
        <is>
          <t>2266654730002656</t>
        </is>
      </c>
      <c r="BB117" t="inlineStr">
        <is>
          <t>BOOK</t>
        </is>
      </c>
      <c r="BD117" t="inlineStr">
        <is>
          <t>9780871546234</t>
        </is>
      </c>
      <c r="BE117" t="inlineStr">
        <is>
          <t>32285000359041</t>
        </is>
      </c>
      <c r="BF117" t="inlineStr">
        <is>
          <t>893778944</t>
        </is>
      </c>
    </row>
    <row r="118">
      <c r="B118" t="inlineStr">
        <is>
          <t>CURAL</t>
        </is>
      </c>
      <c r="C118" t="inlineStr">
        <is>
          <t>SHELVES</t>
        </is>
      </c>
      <c r="D118" t="inlineStr">
        <is>
          <t>KF1321 .S38 1983</t>
        </is>
      </c>
      <c r="E118" t="inlineStr">
        <is>
          <t>0                      KF 1321000S  38          1983</t>
        </is>
      </c>
      <c r="F118" t="inlineStr">
        <is>
          <t>Suing government : citizen remedies for official wrongs / Peter H. Schuck.</t>
        </is>
      </c>
      <c r="H118" t="inlineStr">
        <is>
          <t>No</t>
        </is>
      </c>
      <c r="I118" t="inlineStr">
        <is>
          <t>1</t>
        </is>
      </c>
      <c r="J118" t="inlineStr">
        <is>
          <t>Yes</t>
        </is>
      </c>
      <c r="K118" t="inlineStr">
        <is>
          <t>No</t>
        </is>
      </c>
      <c r="L118" t="inlineStr">
        <is>
          <t>0</t>
        </is>
      </c>
      <c r="M118" t="inlineStr">
        <is>
          <t>Schuck, Peter H.</t>
        </is>
      </c>
      <c r="N118" t="inlineStr">
        <is>
          <t>New Haven : Yale University Press, c1983.</t>
        </is>
      </c>
      <c r="O118" t="inlineStr">
        <is>
          <t>1983</t>
        </is>
      </c>
      <c r="Q118" t="inlineStr">
        <is>
          <t>eng</t>
        </is>
      </c>
      <c r="R118" t="inlineStr">
        <is>
          <t>ctu</t>
        </is>
      </c>
      <c r="T118" t="inlineStr">
        <is>
          <t xml:space="preserve">KF </t>
        </is>
      </c>
      <c r="U118" t="n">
        <v>4</v>
      </c>
      <c r="V118" t="n">
        <v>9</v>
      </c>
      <c r="W118" t="inlineStr">
        <is>
          <t>2006-12-06</t>
        </is>
      </c>
      <c r="X118" t="inlineStr">
        <is>
          <t>2006-12-06</t>
        </is>
      </c>
      <c r="Y118" t="inlineStr">
        <is>
          <t>1992-06-16</t>
        </is>
      </c>
      <c r="Z118" t="inlineStr">
        <is>
          <t>1992-06-16</t>
        </is>
      </c>
      <c r="AA118" t="n">
        <v>728</v>
      </c>
      <c r="AB118" t="n">
        <v>641</v>
      </c>
      <c r="AC118" t="n">
        <v>644</v>
      </c>
      <c r="AD118" t="n">
        <v>7</v>
      </c>
      <c r="AE118" t="n">
        <v>7</v>
      </c>
      <c r="AF118" t="n">
        <v>43</v>
      </c>
      <c r="AG118" t="n">
        <v>43</v>
      </c>
      <c r="AH118" t="n">
        <v>7</v>
      </c>
      <c r="AI118" t="n">
        <v>7</v>
      </c>
      <c r="AJ118" t="n">
        <v>6</v>
      </c>
      <c r="AK118" t="n">
        <v>6</v>
      </c>
      <c r="AL118" t="n">
        <v>11</v>
      </c>
      <c r="AM118" t="n">
        <v>11</v>
      </c>
      <c r="AN118" t="n">
        <v>3</v>
      </c>
      <c r="AO118" t="n">
        <v>3</v>
      </c>
      <c r="AP118" t="n">
        <v>21</v>
      </c>
      <c r="AQ118" t="n">
        <v>21</v>
      </c>
      <c r="AR118" t="inlineStr">
        <is>
          <t>No</t>
        </is>
      </c>
      <c r="AS118" t="inlineStr">
        <is>
          <t>No</t>
        </is>
      </c>
      <c r="AU118">
        <f>HYPERLINK("https://creighton-primo.hosted.exlibrisgroup.com/primo-explore/search?tab=default_tab&amp;search_scope=EVERYTHING&amp;vid=01CRU&amp;lang=en_US&amp;offset=0&amp;query=any,contains,991001624169702656","Catalog Record")</f>
        <v/>
      </c>
      <c r="AV118">
        <f>HYPERLINK("http://www.worldcat.org/oclc/8930032","WorldCat Record")</f>
        <v/>
      </c>
      <c r="AW118" t="inlineStr">
        <is>
          <t>836705635:eng</t>
        </is>
      </c>
      <c r="AX118" t="inlineStr">
        <is>
          <t>8930032</t>
        </is>
      </c>
      <c r="AY118" t="inlineStr">
        <is>
          <t>991001624169702656</t>
        </is>
      </c>
      <c r="AZ118" t="inlineStr">
        <is>
          <t>991001624169702656</t>
        </is>
      </c>
      <c r="BA118" t="inlineStr">
        <is>
          <t>2257707820002656</t>
        </is>
      </c>
      <c r="BB118" t="inlineStr">
        <is>
          <t>BOOK</t>
        </is>
      </c>
      <c r="BD118" t="inlineStr">
        <is>
          <t>9780300029574</t>
        </is>
      </c>
      <c r="BE118" t="inlineStr">
        <is>
          <t>32285001131803</t>
        </is>
      </c>
      <c r="BF118" t="inlineStr">
        <is>
          <t>893351937</t>
        </is>
      </c>
    </row>
    <row r="119">
      <c r="B119" t="inlineStr">
        <is>
          <t>CURAL</t>
        </is>
      </c>
      <c r="C119" t="inlineStr">
        <is>
          <t>SHELVES</t>
        </is>
      </c>
      <c r="D119" t="inlineStr">
        <is>
          <t>KF1355 .B76 1990</t>
        </is>
      </c>
      <c r="E119" t="inlineStr">
        <is>
          <t>0                      KF 1355000B  76          1990</t>
        </is>
      </c>
      <c r="F119" t="inlineStr">
        <is>
          <t>How to run your business so you can leave it in style / John H. Brown and Irving Sternberg.</t>
        </is>
      </c>
      <c r="H119" t="inlineStr">
        <is>
          <t>No</t>
        </is>
      </c>
      <c r="I119" t="inlineStr">
        <is>
          <t>1</t>
        </is>
      </c>
      <c r="J119" t="inlineStr">
        <is>
          <t>No</t>
        </is>
      </c>
      <c r="K119" t="inlineStr">
        <is>
          <t>No</t>
        </is>
      </c>
      <c r="L119" t="inlineStr">
        <is>
          <t>0</t>
        </is>
      </c>
      <c r="M119" t="inlineStr">
        <is>
          <t>Brown, John H., 1947-</t>
        </is>
      </c>
      <c r="N119" t="inlineStr">
        <is>
          <t>New York, NY : Amacom, American Management Association, c1990.</t>
        </is>
      </c>
      <c r="O119" t="inlineStr">
        <is>
          <t>1990</t>
        </is>
      </c>
      <c r="Q119" t="inlineStr">
        <is>
          <t>eng</t>
        </is>
      </c>
      <c r="R119" t="inlineStr">
        <is>
          <t>nyu</t>
        </is>
      </c>
      <c r="T119" t="inlineStr">
        <is>
          <t xml:space="preserve">KF </t>
        </is>
      </c>
      <c r="U119" t="n">
        <v>3</v>
      </c>
      <c r="V119" t="n">
        <v>3</v>
      </c>
      <c r="W119" t="inlineStr">
        <is>
          <t>1995-04-17</t>
        </is>
      </c>
      <c r="X119" t="inlineStr">
        <is>
          <t>1995-04-17</t>
        </is>
      </c>
      <c r="Y119" t="inlineStr">
        <is>
          <t>1990-04-07</t>
        </is>
      </c>
      <c r="Z119" t="inlineStr">
        <is>
          <t>1990-04-07</t>
        </is>
      </c>
      <c r="AA119" t="n">
        <v>178</v>
      </c>
      <c r="AB119" t="n">
        <v>170</v>
      </c>
      <c r="AC119" t="n">
        <v>177</v>
      </c>
      <c r="AD119" t="n">
        <v>3</v>
      </c>
      <c r="AE119" t="n">
        <v>3</v>
      </c>
      <c r="AF119" t="n">
        <v>8</v>
      </c>
      <c r="AG119" t="n">
        <v>8</v>
      </c>
      <c r="AH119" t="n">
        <v>2</v>
      </c>
      <c r="AI119" t="n">
        <v>2</v>
      </c>
      <c r="AJ119" t="n">
        <v>1</v>
      </c>
      <c r="AK119" t="n">
        <v>1</v>
      </c>
      <c r="AL119" t="n">
        <v>4</v>
      </c>
      <c r="AM119" t="n">
        <v>4</v>
      </c>
      <c r="AN119" t="n">
        <v>2</v>
      </c>
      <c r="AO119" t="n">
        <v>2</v>
      </c>
      <c r="AP119" t="n">
        <v>1</v>
      </c>
      <c r="AQ119" t="n">
        <v>1</v>
      </c>
      <c r="AR119" t="inlineStr">
        <is>
          <t>No</t>
        </is>
      </c>
      <c r="AS119" t="inlineStr">
        <is>
          <t>No</t>
        </is>
      </c>
      <c r="AU119">
        <f>HYPERLINK("https://creighton-primo.hosted.exlibrisgroup.com/primo-explore/search?tab=default_tab&amp;search_scope=EVERYTHING&amp;vid=01CRU&amp;lang=en_US&amp;offset=0&amp;query=any,contains,991001598469702656","Catalog Record")</f>
        <v/>
      </c>
      <c r="AV119">
        <f>HYPERLINK("http://www.worldcat.org/oclc/20632202","WorldCat Record")</f>
        <v/>
      </c>
      <c r="AW119" t="inlineStr">
        <is>
          <t>22522242:eng</t>
        </is>
      </c>
      <c r="AX119" t="inlineStr">
        <is>
          <t>20632202</t>
        </is>
      </c>
      <c r="AY119" t="inlineStr">
        <is>
          <t>991001598469702656</t>
        </is>
      </c>
      <c r="AZ119" t="inlineStr">
        <is>
          <t>991001598469702656</t>
        </is>
      </c>
      <c r="BA119" t="inlineStr">
        <is>
          <t>2263528170002656</t>
        </is>
      </c>
      <c r="BB119" t="inlineStr">
        <is>
          <t>BOOK</t>
        </is>
      </c>
      <c r="BD119" t="inlineStr">
        <is>
          <t>9780814459805</t>
        </is>
      </c>
      <c r="BE119" t="inlineStr">
        <is>
          <t>32285000021971</t>
        </is>
      </c>
      <c r="BF119" t="inlineStr">
        <is>
          <t>893891666</t>
        </is>
      </c>
    </row>
    <row r="120">
      <c r="B120" t="inlineStr">
        <is>
          <t>CURAL</t>
        </is>
      </c>
      <c r="C120" t="inlineStr">
        <is>
          <t>SHELVES</t>
        </is>
      </c>
      <c r="D120" t="inlineStr">
        <is>
          <t>KF1444 .S5 1991</t>
        </is>
      </c>
      <c r="E120" t="inlineStr">
        <is>
          <t>0                      KF 1444000S  5           1991</t>
        </is>
      </c>
      <c r="F120" t="inlineStr">
        <is>
          <t>An introduction to the SEC / K. Fred Skousen.</t>
        </is>
      </c>
      <c r="H120" t="inlineStr">
        <is>
          <t>No</t>
        </is>
      </c>
      <c r="I120" t="inlineStr">
        <is>
          <t>1</t>
        </is>
      </c>
      <c r="J120" t="inlineStr">
        <is>
          <t>No</t>
        </is>
      </c>
      <c r="K120" t="inlineStr">
        <is>
          <t>No</t>
        </is>
      </c>
      <c r="L120" t="inlineStr">
        <is>
          <t>0</t>
        </is>
      </c>
      <c r="M120" t="inlineStr">
        <is>
          <t>Skousen, K. Fred.</t>
        </is>
      </c>
      <c r="N120" t="inlineStr">
        <is>
          <t>Cincinnati, OH : South-Western Pub. Co., c1991.</t>
        </is>
      </c>
      <c r="O120" t="inlineStr">
        <is>
          <t>1991</t>
        </is>
      </c>
      <c r="P120" t="inlineStr">
        <is>
          <t>5th ed.</t>
        </is>
      </c>
      <c r="Q120" t="inlineStr">
        <is>
          <t>eng</t>
        </is>
      </c>
      <c r="R120" t="inlineStr">
        <is>
          <t>ohu</t>
        </is>
      </c>
      <c r="T120" t="inlineStr">
        <is>
          <t xml:space="preserve">KF </t>
        </is>
      </c>
      <c r="U120" t="n">
        <v>4</v>
      </c>
      <c r="V120" t="n">
        <v>4</v>
      </c>
      <c r="W120" t="inlineStr">
        <is>
          <t>1995-03-03</t>
        </is>
      </c>
      <c r="X120" t="inlineStr">
        <is>
          <t>1995-03-03</t>
        </is>
      </c>
      <c r="Y120" t="inlineStr">
        <is>
          <t>1990-06-18</t>
        </is>
      </c>
      <c r="Z120" t="inlineStr">
        <is>
          <t>1990-06-18</t>
        </is>
      </c>
      <c r="AA120" t="n">
        <v>209</v>
      </c>
      <c r="AB120" t="n">
        <v>176</v>
      </c>
      <c r="AC120" t="n">
        <v>654</v>
      </c>
      <c r="AD120" t="n">
        <v>2</v>
      </c>
      <c r="AE120" t="n">
        <v>3</v>
      </c>
      <c r="AF120" t="n">
        <v>16</v>
      </c>
      <c r="AG120" t="n">
        <v>43</v>
      </c>
      <c r="AH120" t="n">
        <v>5</v>
      </c>
      <c r="AI120" t="n">
        <v>15</v>
      </c>
      <c r="AJ120" t="n">
        <v>4</v>
      </c>
      <c r="AK120" t="n">
        <v>9</v>
      </c>
      <c r="AL120" t="n">
        <v>8</v>
      </c>
      <c r="AM120" t="n">
        <v>17</v>
      </c>
      <c r="AN120" t="n">
        <v>1</v>
      </c>
      <c r="AO120" t="n">
        <v>2</v>
      </c>
      <c r="AP120" t="n">
        <v>4</v>
      </c>
      <c r="AQ120" t="n">
        <v>10</v>
      </c>
      <c r="AR120" t="inlineStr">
        <is>
          <t>No</t>
        </is>
      </c>
      <c r="AS120" t="inlineStr">
        <is>
          <t>Yes</t>
        </is>
      </c>
      <c r="AT120">
        <f>HYPERLINK("http://catalog.hathitrust.org/Record/006225142","HathiTrust Record")</f>
        <v/>
      </c>
      <c r="AU120">
        <f>HYPERLINK("https://creighton-primo.hosted.exlibrisgroup.com/primo-explore/search?tab=default_tab&amp;search_scope=EVERYTHING&amp;vid=01CRU&amp;lang=en_US&amp;offset=0&amp;query=any,contains,991001627699702656","Catalog Record")</f>
        <v/>
      </c>
      <c r="AV120">
        <f>HYPERLINK("http://www.worldcat.org/oclc/20853696","WorldCat Record")</f>
        <v/>
      </c>
      <c r="AW120" t="inlineStr">
        <is>
          <t>4167379:eng</t>
        </is>
      </c>
      <c r="AX120" t="inlineStr">
        <is>
          <t>20853696</t>
        </is>
      </c>
      <c r="AY120" t="inlineStr">
        <is>
          <t>991001627699702656</t>
        </is>
      </c>
      <c r="AZ120" t="inlineStr">
        <is>
          <t>991001627699702656</t>
        </is>
      </c>
      <c r="BA120" t="inlineStr">
        <is>
          <t>2269735830002656</t>
        </is>
      </c>
      <c r="BB120" t="inlineStr">
        <is>
          <t>BOOK</t>
        </is>
      </c>
      <c r="BD120" t="inlineStr">
        <is>
          <t>9780538808842</t>
        </is>
      </c>
      <c r="BE120" t="inlineStr">
        <is>
          <t>32285000177971</t>
        </is>
      </c>
      <c r="BF120" t="inlineStr">
        <is>
          <t>893503537</t>
        </is>
      </c>
    </row>
    <row r="121">
      <c r="B121" t="inlineStr">
        <is>
          <t>CURAL</t>
        </is>
      </c>
      <c r="C121" t="inlineStr">
        <is>
          <t>SHELVES</t>
        </is>
      </c>
      <c r="D121" t="inlineStr">
        <is>
          <t>KF156 .B53 1990</t>
        </is>
      </c>
      <c r="E121" t="inlineStr">
        <is>
          <t>0                      KF 0156000B  53          1990</t>
        </is>
      </c>
      <c r="F121" t="inlineStr">
        <is>
          <t>Black's law dictionary : definitions of the terms and phrases of American and English jurisprudence, ancient and modern / by Henry Campbell Black.</t>
        </is>
      </c>
      <c r="H121" t="inlineStr">
        <is>
          <t>No</t>
        </is>
      </c>
      <c r="I121" t="inlineStr">
        <is>
          <t>2</t>
        </is>
      </c>
      <c r="J121" t="inlineStr">
        <is>
          <t>Yes</t>
        </is>
      </c>
      <c r="K121" t="inlineStr">
        <is>
          <t>Yes</t>
        </is>
      </c>
      <c r="L121" t="inlineStr">
        <is>
          <t>0</t>
        </is>
      </c>
      <c r="M121" t="inlineStr">
        <is>
          <t>Black, Henry Campbell, 1860-1927.</t>
        </is>
      </c>
      <c r="N121" t="inlineStr">
        <is>
          <t>St. Paul, Minn. : West Pub. Co., 1990.</t>
        </is>
      </c>
      <c r="O121" t="inlineStr">
        <is>
          <t>1990</t>
        </is>
      </c>
      <c r="P121" t="inlineStr">
        <is>
          <t>6th ed. / by the publisher's editorial staff ; coauthors, Joseph R. Nolan ... [et al.], Centennial ed. (1891-1991).</t>
        </is>
      </c>
      <c r="Q121" t="inlineStr">
        <is>
          <t>eng</t>
        </is>
      </c>
      <c r="R121" t="inlineStr">
        <is>
          <t>mnu</t>
        </is>
      </c>
      <c r="T121" t="inlineStr">
        <is>
          <t xml:space="preserve">KF </t>
        </is>
      </c>
      <c r="U121" t="n">
        <v>7</v>
      </c>
      <c r="V121" t="n">
        <v>13</v>
      </c>
      <c r="X121" t="inlineStr">
        <is>
          <t>2003-11-29</t>
        </is>
      </c>
      <c r="Y121" t="inlineStr">
        <is>
          <t>1992-05-14</t>
        </is>
      </c>
      <c r="Z121" t="inlineStr">
        <is>
          <t>1997-07-11</t>
        </is>
      </c>
      <c r="AA121" t="n">
        <v>1976</v>
      </c>
      <c r="AB121" t="n">
        <v>1797</v>
      </c>
      <c r="AC121" t="n">
        <v>3471</v>
      </c>
      <c r="AD121" t="n">
        <v>12</v>
      </c>
      <c r="AE121" t="n">
        <v>24</v>
      </c>
      <c r="AF121" t="n">
        <v>39</v>
      </c>
      <c r="AG121" t="n">
        <v>56</v>
      </c>
      <c r="AH121" t="n">
        <v>6</v>
      </c>
      <c r="AI121" t="n">
        <v>15</v>
      </c>
      <c r="AJ121" t="n">
        <v>2</v>
      </c>
      <c r="AK121" t="n">
        <v>6</v>
      </c>
      <c r="AL121" t="n">
        <v>9</v>
      </c>
      <c r="AM121" t="n">
        <v>18</v>
      </c>
      <c r="AN121" t="n">
        <v>1</v>
      </c>
      <c r="AO121" t="n">
        <v>2</v>
      </c>
      <c r="AP121" t="n">
        <v>24</v>
      </c>
      <c r="AQ121" t="n">
        <v>24</v>
      </c>
      <c r="AR121" t="inlineStr">
        <is>
          <t>No</t>
        </is>
      </c>
      <c r="AS121" t="inlineStr">
        <is>
          <t>No</t>
        </is>
      </c>
      <c r="AU121">
        <f>HYPERLINK("https://creighton-primo.hosted.exlibrisgroup.com/primo-explore/search?tab=default_tab&amp;search_scope=EVERYTHING&amp;vid=01CRU&amp;lang=en_US&amp;offset=0&amp;query=any,contains,991001645749702656","Catalog Record")</f>
        <v/>
      </c>
      <c r="AV121">
        <f>HYPERLINK("http://www.worldcat.org/oclc/21600991","WorldCat Record")</f>
        <v/>
      </c>
      <c r="AW121" t="inlineStr">
        <is>
          <t>4924152641:eng</t>
        </is>
      </c>
      <c r="AX121" t="inlineStr">
        <is>
          <t>21600991</t>
        </is>
      </c>
      <c r="AY121" t="inlineStr">
        <is>
          <t>991001645749702656</t>
        </is>
      </c>
      <c r="AZ121" t="inlineStr">
        <is>
          <t>991001645749702656</t>
        </is>
      </c>
      <c r="BA121" t="inlineStr">
        <is>
          <t>2261381670002656</t>
        </is>
      </c>
      <c r="BB121" t="inlineStr">
        <is>
          <t>BOOK</t>
        </is>
      </c>
      <c r="BD121" t="inlineStr">
        <is>
          <t>9780314762719</t>
        </is>
      </c>
      <c r="BE121" t="inlineStr">
        <is>
          <t>32285001123040</t>
        </is>
      </c>
      <c r="BF121" t="inlineStr">
        <is>
          <t>893426730</t>
        </is>
      </c>
    </row>
    <row r="122">
      <c r="B122" t="inlineStr">
        <is>
          <t>CURAL</t>
        </is>
      </c>
      <c r="C122" t="inlineStr">
        <is>
          <t>SHELVES</t>
        </is>
      </c>
      <c r="D122" t="inlineStr">
        <is>
          <t>KF1600 .C45 1985</t>
        </is>
      </c>
      <c r="E122" t="inlineStr">
        <is>
          <t>0                      KF 1600000C  45          1985</t>
        </is>
      </c>
      <c r="F122" t="inlineStr">
        <is>
          <t>The legal and regulatory environment of business / Henry R. Cheeseman.</t>
        </is>
      </c>
      <c r="H122" t="inlineStr">
        <is>
          <t>No</t>
        </is>
      </c>
      <c r="I122" t="inlineStr">
        <is>
          <t>1</t>
        </is>
      </c>
      <c r="J122" t="inlineStr">
        <is>
          <t>No</t>
        </is>
      </c>
      <c r="K122" t="inlineStr">
        <is>
          <t>No</t>
        </is>
      </c>
      <c r="L122" t="inlineStr">
        <is>
          <t>0</t>
        </is>
      </c>
      <c r="M122" t="inlineStr">
        <is>
          <t>Cheeseman, Henry R.</t>
        </is>
      </c>
      <c r="N122" t="inlineStr">
        <is>
          <t>New York : Macmillan ; London : Collier Macmillan, c1985.</t>
        </is>
      </c>
      <c r="O122" t="inlineStr">
        <is>
          <t>1985</t>
        </is>
      </c>
      <c r="Q122" t="inlineStr">
        <is>
          <t>eng</t>
        </is>
      </c>
      <c r="R122" t="inlineStr">
        <is>
          <t>nyu</t>
        </is>
      </c>
      <c r="T122" t="inlineStr">
        <is>
          <t xml:space="preserve">KF </t>
        </is>
      </c>
      <c r="U122" t="n">
        <v>3</v>
      </c>
      <c r="V122" t="n">
        <v>3</v>
      </c>
      <c r="W122" t="inlineStr">
        <is>
          <t>2006-03-30</t>
        </is>
      </c>
      <c r="X122" t="inlineStr">
        <is>
          <t>2006-03-30</t>
        </is>
      </c>
      <c r="Y122" t="inlineStr">
        <is>
          <t>1992-06-18</t>
        </is>
      </c>
      <c r="Z122" t="inlineStr">
        <is>
          <t>1992-06-18</t>
        </is>
      </c>
      <c r="AA122" t="n">
        <v>110</v>
      </c>
      <c r="AB122" t="n">
        <v>93</v>
      </c>
      <c r="AC122" t="n">
        <v>93</v>
      </c>
      <c r="AD122" t="n">
        <v>1</v>
      </c>
      <c r="AE122" t="n">
        <v>1</v>
      </c>
      <c r="AF122" t="n">
        <v>4</v>
      </c>
      <c r="AG122" t="n">
        <v>4</v>
      </c>
      <c r="AH122" t="n">
        <v>0</v>
      </c>
      <c r="AI122" t="n">
        <v>0</v>
      </c>
      <c r="AJ122" t="n">
        <v>0</v>
      </c>
      <c r="AK122" t="n">
        <v>0</v>
      </c>
      <c r="AL122" t="n">
        <v>1</v>
      </c>
      <c r="AM122" t="n">
        <v>1</v>
      </c>
      <c r="AN122" t="n">
        <v>0</v>
      </c>
      <c r="AO122" t="n">
        <v>0</v>
      </c>
      <c r="AP122" t="n">
        <v>3</v>
      </c>
      <c r="AQ122" t="n">
        <v>3</v>
      </c>
      <c r="AR122" t="inlineStr">
        <is>
          <t>No</t>
        </is>
      </c>
      <c r="AS122" t="inlineStr">
        <is>
          <t>No</t>
        </is>
      </c>
      <c r="AU122">
        <f>HYPERLINK("https://creighton-primo.hosted.exlibrisgroup.com/primo-explore/search?tab=default_tab&amp;search_scope=EVERYTHING&amp;vid=01CRU&amp;lang=en_US&amp;offset=0&amp;query=any,contains,991000480049702656","Catalog Record")</f>
        <v/>
      </c>
      <c r="AV122">
        <f>HYPERLINK("http://www.worldcat.org/oclc/11045050","WorldCat Record")</f>
        <v/>
      </c>
      <c r="AW122" t="inlineStr">
        <is>
          <t>3855334414:eng</t>
        </is>
      </c>
      <c r="AX122" t="inlineStr">
        <is>
          <t>11045050</t>
        </is>
      </c>
      <c r="AY122" t="inlineStr">
        <is>
          <t>991000480049702656</t>
        </is>
      </c>
      <c r="AZ122" t="inlineStr">
        <is>
          <t>991000480049702656</t>
        </is>
      </c>
      <c r="BA122" t="inlineStr">
        <is>
          <t>2260507840002656</t>
        </is>
      </c>
      <c r="BB122" t="inlineStr">
        <is>
          <t>BOOK</t>
        </is>
      </c>
      <c r="BD122" t="inlineStr">
        <is>
          <t>9780023222603</t>
        </is>
      </c>
      <c r="BE122" t="inlineStr">
        <is>
          <t>32285001174753</t>
        </is>
      </c>
      <c r="BF122" t="inlineStr">
        <is>
          <t>893314966</t>
        </is>
      </c>
    </row>
    <row r="123">
      <c r="B123" t="inlineStr">
        <is>
          <t>CURAL</t>
        </is>
      </c>
      <c r="C123" t="inlineStr">
        <is>
          <t>SHELVES</t>
        </is>
      </c>
      <c r="D123" t="inlineStr">
        <is>
          <t>KF1600 .H35 1990</t>
        </is>
      </c>
      <c r="E123" t="inlineStr">
        <is>
          <t>0                      KF 1600000H  35          1990</t>
        </is>
      </c>
      <c r="F123" t="inlineStr">
        <is>
          <t>Law and ethics in the business environment / Terry Halbert, Elaine Ingulli.</t>
        </is>
      </c>
      <c r="H123" t="inlineStr">
        <is>
          <t>No</t>
        </is>
      </c>
      <c r="I123" t="inlineStr">
        <is>
          <t>1</t>
        </is>
      </c>
      <c r="J123" t="inlineStr">
        <is>
          <t>No</t>
        </is>
      </c>
      <c r="K123" t="inlineStr">
        <is>
          <t>No</t>
        </is>
      </c>
      <c r="L123" t="inlineStr">
        <is>
          <t>0</t>
        </is>
      </c>
      <c r="M123" t="inlineStr">
        <is>
          <t>Halbert, Terry.</t>
        </is>
      </c>
      <c r="N123" t="inlineStr">
        <is>
          <t>St. Paul, MN : West Pub. Co., c1990.</t>
        </is>
      </c>
      <c r="O123" t="inlineStr">
        <is>
          <t>1990</t>
        </is>
      </c>
      <c r="Q123" t="inlineStr">
        <is>
          <t>eng</t>
        </is>
      </c>
      <c r="R123" t="inlineStr">
        <is>
          <t>mnu</t>
        </is>
      </c>
      <c r="T123" t="inlineStr">
        <is>
          <t xml:space="preserve">KF </t>
        </is>
      </c>
      <c r="U123" t="n">
        <v>6</v>
      </c>
      <c r="V123" t="n">
        <v>6</v>
      </c>
      <c r="W123" t="inlineStr">
        <is>
          <t>2002-04-28</t>
        </is>
      </c>
      <c r="X123" t="inlineStr">
        <is>
          <t>2002-04-28</t>
        </is>
      </c>
      <c r="Y123" t="inlineStr">
        <is>
          <t>1990-05-24</t>
        </is>
      </c>
      <c r="Z123" t="inlineStr">
        <is>
          <t>1990-05-24</t>
        </is>
      </c>
      <c r="AA123" t="n">
        <v>119</v>
      </c>
      <c r="AB123" t="n">
        <v>107</v>
      </c>
      <c r="AC123" t="n">
        <v>347</v>
      </c>
      <c r="AD123" t="n">
        <v>1</v>
      </c>
      <c r="AE123" t="n">
        <v>1</v>
      </c>
      <c r="AF123" t="n">
        <v>7</v>
      </c>
      <c r="AG123" t="n">
        <v>11</v>
      </c>
      <c r="AH123" t="n">
        <v>3</v>
      </c>
      <c r="AI123" t="n">
        <v>4</v>
      </c>
      <c r="AJ123" t="n">
        <v>4</v>
      </c>
      <c r="AK123" t="n">
        <v>5</v>
      </c>
      <c r="AL123" t="n">
        <v>5</v>
      </c>
      <c r="AM123" t="n">
        <v>6</v>
      </c>
      <c r="AN123" t="n">
        <v>0</v>
      </c>
      <c r="AO123" t="n">
        <v>0</v>
      </c>
      <c r="AP123" t="n">
        <v>0</v>
      </c>
      <c r="AQ123" t="n">
        <v>1</v>
      </c>
      <c r="AR123" t="inlineStr">
        <is>
          <t>No</t>
        </is>
      </c>
      <c r="AS123" t="inlineStr">
        <is>
          <t>Yes</t>
        </is>
      </c>
      <c r="AT123">
        <f>HYPERLINK("http://catalog.hathitrust.org/Record/004497836","HathiTrust Record")</f>
        <v/>
      </c>
      <c r="AU123">
        <f>HYPERLINK("https://creighton-primo.hosted.exlibrisgroup.com/primo-explore/search?tab=default_tab&amp;search_scope=EVERYTHING&amp;vid=01CRU&amp;lang=en_US&amp;offset=0&amp;query=any,contains,991001620779702656","Catalog Record")</f>
        <v/>
      </c>
      <c r="AV123">
        <f>HYPERLINK("http://www.worldcat.org/oclc/20823760","WorldCat Record")</f>
        <v/>
      </c>
      <c r="AW123" t="inlineStr">
        <is>
          <t>6474959:eng</t>
        </is>
      </c>
      <c r="AX123" t="inlineStr">
        <is>
          <t>20823760</t>
        </is>
      </c>
      <c r="AY123" t="inlineStr">
        <is>
          <t>991001620779702656</t>
        </is>
      </c>
      <c r="AZ123" t="inlineStr">
        <is>
          <t>991001620779702656</t>
        </is>
      </c>
      <c r="BA123" t="inlineStr">
        <is>
          <t>2263916990002656</t>
        </is>
      </c>
      <c r="BB123" t="inlineStr">
        <is>
          <t>BOOK</t>
        </is>
      </c>
      <c r="BD123" t="inlineStr">
        <is>
          <t>9780314668042</t>
        </is>
      </c>
      <c r="BE123" t="inlineStr">
        <is>
          <t>32285000139427</t>
        </is>
      </c>
      <c r="BF123" t="inlineStr">
        <is>
          <t>893872634</t>
        </is>
      </c>
    </row>
    <row r="124">
      <c r="B124" t="inlineStr">
        <is>
          <t>CURAL</t>
        </is>
      </c>
      <c r="C124" t="inlineStr">
        <is>
          <t>SHELVES</t>
        </is>
      </c>
      <c r="D124" t="inlineStr">
        <is>
          <t>KF1611 .H4 1968</t>
        </is>
      </c>
      <c r="E124" t="inlineStr">
        <is>
          <t>0                      KF 1611000H  4           1968</t>
        </is>
      </c>
      <c r="F124" t="inlineStr">
        <is>
          <t>The Federal Trade Commission : a study in administrative law and procedure.</t>
        </is>
      </c>
      <c r="H124" t="inlineStr">
        <is>
          <t>No</t>
        </is>
      </c>
      <c r="I124" t="inlineStr">
        <is>
          <t>1</t>
        </is>
      </c>
      <c r="J124" t="inlineStr">
        <is>
          <t>No</t>
        </is>
      </c>
      <c r="K124" t="inlineStr">
        <is>
          <t>Yes</t>
        </is>
      </c>
      <c r="L124" t="inlineStr">
        <is>
          <t>0</t>
        </is>
      </c>
      <c r="M124" t="inlineStr">
        <is>
          <t>Henderson, Gerard Carl, 1891-1927.</t>
        </is>
      </c>
      <c r="N124" t="inlineStr">
        <is>
          <t>New York : Agathon Press, 1968 [c1924]</t>
        </is>
      </c>
      <c r="O124" t="inlineStr">
        <is>
          <t>1968</t>
        </is>
      </c>
      <c r="Q124" t="inlineStr">
        <is>
          <t>eng</t>
        </is>
      </c>
      <c r="R124" t="inlineStr">
        <is>
          <t>nyu</t>
        </is>
      </c>
      <c r="T124" t="inlineStr">
        <is>
          <t xml:space="preserve">KF </t>
        </is>
      </c>
      <c r="U124" t="n">
        <v>1</v>
      </c>
      <c r="V124" t="n">
        <v>1</v>
      </c>
      <c r="W124" t="inlineStr">
        <is>
          <t>1995-11-28</t>
        </is>
      </c>
      <c r="X124" t="inlineStr">
        <is>
          <t>1995-11-28</t>
        </is>
      </c>
      <c r="Y124" t="inlineStr">
        <is>
          <t>1994-12-16</t>
        </is>
      </c>
      <c r="Z124" t="inlineStr">
        <is>
          <t>1994-12-16</t>
        </is>
      </c>
      <c r="AA124" t="n">
        <v>211</v>
      </c>
      <c r="AB124" t="n">
        <v>187</v>
      </c>
      <c r="AC124" t="n">
        <v>726</v>
      </c>
      <c r="AD124" t="n">
        <v>2</v>
      </c>
      <c r="AE124" t="n">
        <v>6</v>
      </c>
      <c r="AF124" t="n">
        <v>19</v>
      </c>
      <c r="AG124" t="n">
        <v>51</v>
      </c>
      <c r="AH124" t="n">
        <v>6</v>
      </c>
      <c r="AI124" t="n">
        <v>12</v>
      </c>
      <c r="AJ124" t="n">
        <v>4</v>
      </c>
      <c r="AK124" t="n">
        <v>8</v>
      </c>
      <c r="AL124" t="n">
        <v>6</v>
      </c>
      <c r="AM124" t="n">
        <v>12</v>
      </c>
      <c r="AN124" t="n">
        <v>1</v>
      </c>
      <c r="AO124" t="n">
        <v>3</v>
      </c>
      <c r="AP124" t="n">
        <v>4</v>
      </c>
      <c r="AQ124" t="n">
        <v>22</v>
      </c>
      <c r="AR124" t="inlineStr">
        <is>
          <t>No</t>
        </is>
      </c>
      <c r="AS124" t="inlineStr">
        <is>
          <t>Yes</t>
        </is>
      </c>
      <c r="AT124">
        <f>HYPERLINK("http://catalog.hathitrust.org/Record/001430404","HathiTrust Record")</f>
        <v/>
      </c>
      <c r="AU124">
        <f>HYPERLINK("https://creighton-primo.hosted.exlibrisgroup.com/primo-explore/search?tab=default_tab&amp;search_scope=EVERYTHING&amp;vid=01CRU&amp;lang=en_US&amp;offset=0&amp;query=any,contains,991002778189702656","Catalog Record")</f>
        <v/>
      </c>
      <c r="AV124">
        <f>HYPERLINK("http://www.worldcat.org/oclc/439417","WorldCat Record")</f>
        <v/>
      </c>
      <c r="AW124" t="inlineStr">
        <is>
          <t>794746:eng</t>
        </is>
      </c>
      <c r="AX124" t="inlineStr">
        <is>
          <t>439417</t>
        </is>
      </c>
      <c r="AY124" t="inlineStr">
        <is>
          <t>991002778189702656</t>
        </is>
      </c>
      <c r="AZ124" t="inlineStr">
        <is>
          <t>991002778189702656</t>
        </is>
      </c>
      <c r="BA124" t="inlineStr">
        <is>
          <t>2266580790002656</t>
        </is>
      </c>
      <c r="BB124" t="inlineStr">
        <is>
          <t>BOOK</t>
        </is>
      </c>
      <c r="BE124" t="inlineStr">
        <is>
          <t>32285001983872</t>
        </is>
      </c>
      <c r="BF124" t="inlineStr">
        <is>
          <t>893347916</t>
        </is>
      </c>
    </row>
    <row r="125">
      <c r="B125" t="inlineStr">
        <is>
          <t>CURAL</t>
        </is>
      </c>
      <c r="C125" t="inlineStr">
        <is>
          <t>SHELVES</t>
        </is>
      </c>
      <c r="D125" t="inlineStr">
        <is>
          <t>KF1614 .B4 1993</t>
        </is>
      </c>
      <c r="E125" t="inlineStr">
        <is>
          <t>0                      KF 1614000B  4           1993</t>
        </is>
      </c>
      <c r="F125" t="inlineStr">
        <is>
          <t>State and federal regulation of national advertising / J. Howard Beales and Timothy J. Muris.</t>
        </is>
      </c>
      <c r="H125" t="inlineStr">
        <is>
          <t>No</t>
        </is>
      </c>
      <c r="I125" t="inlineStr">
        <is>
          <t>1</t>
        </is>
      </c>
      <c r="J125" t="inlineStr">
        <is>
          <t>No</t>
        </is>
      </c>
      <c r="K125" t="inlineStr">
        <is>
          <t>No</t>
        </is>
      </c>
      <c r="L125" t="inlineStr">
        <is>
          <t>0</t>
        </is>
      </c>
      <c r="M125" t="inlineStr">
        <is>
          <t>Beales, J. Howard.</t>
        </is>
      </c>
      <c r="N125" t="inlineStr">
        <is>
          <t>Washington, D.C. : AEI Press, 1993.</t>
        </is>
      </c>
      <c r="O125" t="inlineStr">
        <is>
          <t>1993</t>
        </is>
      </c>
      <c r="Q125" t="inlineStr">
        <is>
          <t>eng</t>
        </is>
      </c>
      <c r="R125" t="inlineStr">
        <is>
          <t>dcu</t>
        </is>
      </c>
      <c r="S125" t="inlineStr">
        <is>
          <t>AEI studies in regulation and federalism</t>
        </is>
      </c>
      <c r="T125" t="inlineStr">
        <is>
          <t xml:space="preserve">KF </t>
        </is>
      </c>
      <c r="U125" t="n">
        <v>4</v>
      </c>
      <c r="V125" t="n">
        <v>4</v>
      </c>
      <c r="W125" t="inlineStr">
        <is>
          <t>1995-11-28</t>
        </is>
      </c>
      <c r="X125" t="inlineStr">
        <is>
          <t>1995-11-28</t>
        </is>
      </c>
      <c r="Y125" t="inlineStr">
        <is>
          <t>1994-03-18</t>
        </is>
      </c>
      <c r="Z125" t="inlineStr">
        <is>
          <t>1994-03-18</t>
        </is>
      </c>
      <c r="AA125" t="n">
        <v>305</v>
      </c>
      <c r="AB125" t="n">
        <v>293</v>
      </c>
      <c r="AC125" t="n">
        <v>317</v>
      </c>
      <c r="AD125" t="n">
        <v>3</v>
      </c>
      <c r="AE125" t="n">
        <v>3</v>
      </c>
      <c r="AF125" t="n">
        <v>21</v>
      </c>
      <c r="AG125" t="n">
        <v>21</v>
      </c>
      <c r="AH125" t="n">
        <v>3</v>
      </c>
      <c r="AI125" t="n">
        <v>3</v>
      </c>
      <c r="AJ125" t="n">
        <v>3</v>
      </c>
      <c r="AK125" t="n">
        <v>3</v>
      </c>
      <c r="AL125" t="n">
        <v>2</v>
      </c>
      <c r="AM125" t="n">
        <v>2</v>
      </c>
      <c r="AN125" t="n">
        <v>2</v>
      </c>
      <c r="AO125" t="n">
        <v>2</v>
      </c>
      <c r="AP125" t="n">
        <v>13</v>
      </c>
      <c r="AQ125" t="n">
        <v>13</v>
      </c>
      <c r="AR125" t="inlineStr">
        <is>
          <t>No</t>
        </is>
      </c>
      <c r="AS125" t="inlineStr">
        <is>
          <t>Yes</t>
        </is>
      </c>
      <c r="AT125">
        <f>HYPERLINK("http://catalog.hathitrust.org/Record/004538760","HathiTrust Record")</f>
        <v/>
      </c>
      <c r="AU125">
        <f>HYPERLINK("https://creighton-primo.hosted.exlibrisgroup.com/primo-explore/search?tab=default_tab&amp;search_scope=EVERYTHING&amp;vid=01CRU&amp;lang=en_US&amp;offset=0&amp;query=any,contains,991002104739702656","Catalog Record")</f>
        <v/>
      </c>
      <c r="AV125">
        <f>HYPERLINK("http://www.worldcat.org/oclc/27011675","WorldCat Record")</f>
        <v/>
      </c>
      <c r="AW125" t="inlineStr">
        <is>
          <t>358747:eng</t>
        </is>
      </c>
      <c r="AX125" t="inlineStr">
        <is>
          <t>27011675</t>
        </is>
      </c>
      <c r="AY125" t="inlineStr">
        <is>
          <t>991002104739702656</t>
        </is>
      </c>
      <c r="AZ125" t="inlineStr">
        <is>
          <t>991002104739702656</t>
        </is>
      </c>
      <c r="BA125" t="inlineStr">
        <is>
          <t>2270115140002656</t>
        </is>
      </c>
      <c r="BB125" t="inlineStr">
        <is>
          <t>BOOK</t>
        </is>
      </c>
      <c r="BD125" t="inlineStr">
        <is>
          <t>9780844738246</t>
        </is>
      </c>
      <c r="BE125" t="inlineStr">
        <is>
          <t>32285001856680</t>
        </is>
      </c>
      <c r="BF125" t="inlineStr">
        <is>
          <t>893621914</t>
        </is>
      </c>
    </row>
    <row r="126">
      <c r="B126" t="inlineStr">
        <is>
          <t>CURAL</t>
        </is>
      </c>
      <c r="C126" t="inlineStr">
        <is>
          <t>SHELVES</t>
        </is>
      </c>
      <c r="D126" t="inlineStr">
        <is>
          <t>KF1614 .R53 1990</t>
        </is>
      </c>
      <c r="E126" t="inlineStr">
        <is>
          <t>0                      KF 1614000R  53          1990</t>
        </is>
      </c>
      <c r="F126" t="inlineStr">
        <is>
          <t>Deceptive advertising : behavioral study of a legal concept / Jef I. Richards.</t>
        </is>
      </c>
      <c r="H126" t="inlineStr">
        <is>
          <t>No</t>
        </is>
      </c>
      <c r="I126" t="inlineStr">
        <is>
          <t>1</t>
        </is>
      </c>
      <c r="J126" t="inlineStr">
        <is>
          <t>No</t>
        </is>
      </c>
      <c r="K126" t="inlineStr">
        <is>
          <t>No</t>
        </is>
      </c>
      <c r="L126" t="inlineStr">
        <is>
          <t>0</t>
        </is>
      </c>
      <c r="M126" t="inlineStr">
        <is>
          <t>Richards, Jef I.</t>
        </is>
      </c>
      <c r="N126" t="inlineStr">
        <is>
          <t>Hillsdale, N.J. : L. Erlbaum Associates, 1990.</t>
        </is>
      </c>
      <c r="O126" t="inlineStr">
        <is>
          <t>1990</t>
        </is>
      </c>
      <c r="Q126" t="inlineStr">
        <is>
          <t>eng</t>
        </is>
      </c>
      <c r="R126" t="inlineStr">
        <is>
          <t>nju</t>
        </is>
      </c>
      <c r="S126" t="inlineStr">
        <is>
          <t>Communication</t>
        </is>
      </c>
      <c r="T126" t="inlineStr">
        <is>
          <t xml:space="preserve">KF </t>
        </is>
      </c>
      <c r="U126" t="n">
        <v>17</v>
      </c>
      <c r="V126" t="n">
        <v>17</v>
      </c>
      <c r="W126" t="inlineStr">
        <is>
          <t>2003-12-08</t>
        </is>
      </c>
      <c r="X126" t="inlineStr">
        <is>
          <t>2003-12-08</t>
        </is>
      </c>
      <c r="Y126" t="inlineStr">
        <is>
          <t>1992-10-13</t>
        </is>
      </c>
      <c r="Z126" t="inlineStr">
        <is>
          <t>1992-10-13</t>
        </is>
      </c>
      <c r="AA126" t="n">
        <v>485</v>
      </c>
      <c r="AB126" t="n">
        <v>439</v>
      </c>
      <c r="AC126" t="n">
        <v>468</v>
      </c>
      <c r="AD126" t="n">
        <v>6</v>
      </c>
      <c r="AE126" t="n">
        <v>6</v>
      </c>
      <c r="AF126" t="n">
        <v>31</v>
      </c>
      <c r="AG126" t="n">
        <v>32</v>
      </c>
      <c r="AH126" t="n">
        <v>13</v>
      </c>
      <c r="AI126" t="n">
        <v>13</v>
      </c>
      <c r="AJ126" t="n">
        <v>4</v>
      </c>
      <c r="AK126" t="n">
        <v>4</v>
      </c>
      <c r="AL126" t="n">
        <v>9</v>
      </c>
      <c r="AM126" t="n">
        <v>9</v>
      </c>
      <c r="AN126" t="n">
        <v>5</v>
      </c>
      <c r="AO126" t="n">
        <v>5</v>
      </c>
      <c r="AP126" t="n">
        <v>7</v>
      </c>
      <c r="AQ126" t="n">
        <v>8</v>
      </c>
      <c r="AR126" t="inlineStr">
        <is>
          <t>No</t>
        </is>
      </c>
      <c r="AS126" t="inlineStr">
        <is>
          <t>No</t>
        </is>
      </c>
      <c r="AU126">
        <f>HYPERLINK("https://creighton-primo.hosted.exlibrisgroup.com/primo-explore/search?tab=default_tab&amp;search_scope=EVERYTHING&amp;vid=01CRU&amp;lang=en_US&amp;offset=0&amp;query=any,contains,991001520449702656","Catalog Record")</f>
        <v/>
      </c>
      <c r="AV126">
        <f>HYPERLINK("http://www.worldcat.org/oclc/19975495","WorldCat Record")</f>
        <v/>
      </c>
      <c r="AW126" t="inlineStr">
        <is>
          <t>1144638894:eng</t>
        </is>
      </c>
      <c r="AX126" t="inlineStr">
        <is>
          <t>19975495</t>
        </is>
      </c>
      <c r="AY126" t="inlineStr">
        <is>
          <t>991001520449702656</t>
        </is>
      </c>
      <c r="AZ126" t="inlineStr">
        <is>
          <t>991001520449702656</t>
        </is>
      </c>
      <c r="BA126" t="inlineStr">
        <is>
          <t>2254903690002656</t>
        </is>
      </c>
      <c r="BB126" t="inlineStr">
        <is>
          <t>BOOK</t>
        </is>
      </c>
      <c r="BD126" t="inlineStr">
        <is>
          <t>9780805806496</t>
        </is>
      </c>
      <c r="BE126" t="inlineStr">
        <is>
          <t>32285001317188</t>
        </is>
      </c>
      <c r="BF126" t="inlineStr">
        <is>
          <t>893866292</t>
        </is>
      </c>
    </row>
    <row r="127">
      <c r="B127" t="inlineStr">
        <is>
          <t>CURAL</t>
        </is>
      </c>
      <c r="C127" t="inlineStr">
        <is>
          <t>SHELVES</t>
        </is>
      </c>
      <c r="D127" t="inlineStr">
        <is>
          <t>KF1635.8.U5 C6 1968</t>
        </is>
      </c>
      <c r="E127" t="inlineStr">
        <is>
          <t>0                      KF 1635800U  5                  C  6           1968</t>
        </is>
      </c>
      <c r="F127" t="inlineStr">
        <is>
          <t>Congress and the monopoly problem: fifty-six years of antitrust development, 1900-1956; history of congressional action in the antitrust field since 1900. Prepared at the instance and under the direction of the Chairman of the Select Committee on Small Business, House of Representatives, Eighty-fourth Congress, pursuant to H. Res. 114.</t>
        </is>
      </c>
      <c r="H127" t="inlineStr">
        <is>
          <t>No</t>
        </is>
      </c>
      <c r="I127" t="inlineStr">
        <is>
          <t>1</t>
        </is>
      </c>
      <c r="J127" t="inlineStr">
        <is>
          <t>No</t>
        </is>
      </c>
      <c r="K127" t="inlineStr">
        <is>
          <t>No</t>
        </is>
      </c>
      <c r="L127" t="inlineStr">
        <is>
          <t>0</t>
        </is>
      </c>
      <c r="M127" t="inlineStr">
        <is>
          <t>Library of Congress. Legislative Reference Service.</t>
        </is>
      </c>
      <c r="N127" t="inlineStr">
        <is>
          <t>New York, Greenwood Press [1968]</t>
        </is>
      </c>
      <c r="O127" t="inlineStr">
        <is>
          <t>1968</t>
        </is>
      </c>
      <c r="Q127" t="inlineStr">
        <is>
          <t>eng</t>
        </is>
      </c>
      <c r="R127" t="inlineStr">
        <is>
          <t>nyu</t>
        </is>
      </c>
      <c r="T127" t="inlineStr">
        <is>
          <t xml:space="preserve">KF </t>
        </is>
      </c>
      <c r="U127" t="n">
        <v>1</v>
      </c>
      <c r="V127" t="n">
        <v>1</v>
      </c>
      <c r="W127" t="inlineStr">
        <is>
          <t>2004-09-25</t>
        </is>
      </c>
      <c r="X127" t="inlineStr">
        <is>
          <t>2004-09-25</t>
        </is>
      </c>
      <c r="Y127" t="inlineStr">
        <is>
          <t>1997-04-21</t>
        </is>
      </c>
      <c r="Z127" t="inlineStr">
        <is>
          <t>1997-04-21</t>
        </is>
      </c>
      <c r="AA127" t="n">
        <v>228</v>
      </c>
      <c r="AB127" t="n">
        <v>202</v>
      </c>
      <c r="AC127" t="n">
        <v>296</v>
      </c>
      <c r="AD127" t="n">
        <v>1</v>
      </c>
      <c r="AE127" t="n">
        <v>1</v>
      </c>
      <c r="AF127" t="n">
        <v>11</v>
      </c>
      <c r="AG127" t="n">
        <v>17</v>
      </c>
      <c r="AH127" t="n">
        <v>3</v>
      </c>
      <c r="AI127" t="n">
        <v>3</v>
      </c>
      <c r="AJ127" t="n">
        <v>2</v>
      </c>
      <c r="AK127" t="n">
        <v>2</v>
      </c>
      <c r="AL127" t="n">
        <v>2</v>
      </c>
      <c r="AM127" t="n">
        <v>2</v>
      </c>
      <c r="AN127" t="n">
        <v>0</v>
      </c>
      <c r="AO127" t="n">
        <v>0</v>
      </c>
      <c r="AP127" t="n">
        <v>5</v>
      </c>
      <c r="AQ127" t="n">
        <v>11</v>
      </c>
      <c r="AR127" t="inlineStr">
        <is>
          <t>No</t>
        </is>
      </c>
      <c r="AS127" t="inlineStr">
        <is>
          <t>Yes</t>
        </is>
      </c>
      <c r="AT127">
        <f>HYPERLINK("http://catalog.hathitrust.org/Record/009911819","HathiTrust Record")</f>
        <v/>
      </c>
      <c r="AU127">
        <f>HYPERLINK("https://creighton-primo.hosted.exlibrisgroup.com/primo-explore/search?tab=default_tab&amp;search_scope=EVERYTHING&amp;vid=01CRU&amp;lang=en_US&amp;offset=0&amp;query=any,contains,991002808979702656","Catalog Record")</f>
        <v/>
      </c>
      <c r="AV127">
        <f>HYPERLINK("http://www.worldcat.org/oclc/451595","WorldCat Record")</f>
        <v/>
      </c>
      <c r="AW127" t="inlineStr">
        <is>
          <t>2070136613:eng</t>
        </is>
      </c>
      <c r="AX127" t="inlineStr">
        <is>
          <t>451595</t>
        </is>
      </c>
      <c r="AY127" t="inlineStr">
        <is>
          <t>991002808979702656</t>
        </is>
      </c>
      <c r="AZ127" t="inlineStr">
        <is>
          <t>991002808979702656</t>
        </is>
      </c>
      <c r="BA127" t="inlineStr">
        <is>
          <t>2261169380002656</t>
        </is>
      </c>
      <c r="BB127" t="inlineStr">
        <is>
          <t>BOOK</t>
        </is>
      </c>
      <c r="BE127" t="inlineStr">
        <is>
          <t>32285002559176</t>
        </is>
      </c>
      <c r="BF127" t="inlineStr">
        <is>
          <t>893610328</t>
        </is>
      </c>
    </row>
    <row r="128">
      <c r="B128" t="inlineStr">
        <is>
          <t>CURAL</t>
        </is>
      </c>
      <c r="C128" t="inlineStr">
        <is>
          <t>SHELVES</t>
        </is>
      </c>
      <c r="D128" t="inlineStr">
        <is>
          <t>KF1644.S74 S4</t>
        </is>
      </c>
      <c r="E128" t="inlineStr">
        <is>
          <t>0                      KF 1644000S  74                 S  4</t>
        </is>
      </c>
      <c r="F128" t="inlineStr">
        <is>
          <t>Selected antitrust cases : landmark decisions in Federal antitrust.</t>
        </is>
      </c>
      <c r="H128" t="inlineStr">
        <is>
          <t>No</t>
        </is>
      </c>
      <c r="I128" t="inlineStr">
        <is>
          <t>1</t>
        </is>
      </c>
      <c r="J128" t="inlineStr">
        <is>
          <t>No</t>
        </is>
      </c>
      <c r="K128" t="inlineStr">
        <is>
          <t>No</t>
        </is>
      </c>
      <c r="L128" t="inlineStr">
        <is>
          <t>0</t>
        </is>
      </c>
      <c r="M128" t="inlineStr">
        <is>
          <t>Stelzer, Irwin M. editor.</t>
        </is>
      </c>
      <c r="N128" t="inlineStr">
        <is>
          <t>Homewood, Ill. : R.D. Irwin, 1955.</t>
        </is>
      </c>
      <c r="O128" t="inlineStr">
        <is>
          <t>1955</t>
        </is>
      </c>
      <c r="Q128" t="inlineStr">
        <is>
          <t>eng</t>
        </is>
      </c>
      <c r="R128" t="inlineStr">
        <is>
          <t>ilu</t>
        </is>
      </c>
      <c r="T128" t="inlineStr">
        <is>
          <t xml:space="preserve">KF </t>
        </is>
      </c>
      <c r="U128" t="n">
        <v>2</v>
      </c>
      <c r="V128" t="n">
        <v>2</v>
      </c>
      <c r="W128" t="inlineStr">
        <is>
          <t>2004-09-25</t>
        </is>
      </c>
      <c r="X128" t="inlineStr">
        <is>
          <t>2004-09-25</t>
        </is>
      </c>
      <c r="Y128" t="inlineStr">
        <is>
          <t>1993-12-13</t>
        </is>
      </c>
      <c r="Z128" t="inlineStr">
        <is>
          <t>1993-12-13</t>
        </is>
      </c>
      <c r="AA128" t="n">
        <v>216</v>
      </c>
      <c r="AB128" t="n">
        <v>195</v>
      </c>
      <c r="AC128" t="n">
        <v>366</v>
      </c>
      <c r="AD128" t="n">
        <v>1</v>
      </c>
      <c r="AE128" t="n">
        <v>2</v>
      </c>
      <c r="AF128" t="n">
        <v>12</v>
      </c>
      <c r="AG128" t="n">
        <v>20</v>
      </c>
      <c r="AH128" t="n">
        <v>4</v>
      </c>
      <c r="AI128" t="n">
        <v>8</v>
      </c>
      <c r="AJ128" t="n">
        <v>3</v>
      </c>
      <c r="AK128" t="n">
        <v>4</v>
      </c>
      <c r="AL128" t="n">
        <v>7</v>
      </c>
      <c r="AM128" t="n">
        <v>10</v>
      </c>
      <c r="AN128" t="n">
        <v>0</v>
      </c>
      <c r="AO128" t="n">
        <v>1</v>
      </c>
      <c r="AP128" t="n">
        <v>1</v>
      </c>
      <c r="AQ128" t="n">
        <v>3</v>
      </c>
      <c r="AR128" t="inlineStr">
        <is>
          <t>Yes</t>
        </is>
      </c>
      <c r="AS128" t="inlineStr">
        <is>
          <t>No</t>
        </is>
      </c>
      <c r="AT128">
        <f>HYPERLINK("http://catalog.hathitrust.org/Record/001287282","HathiTrust Record")</f>
        <v/>
      </c>
      <c r="AU128">
        <f>HYPERLINK("https://creighton-primo.hosted.exlibrisgroup.com/primo-explore/search?tab=default_tab&amp;search_scope=EVERYTHING&amp;vid=01CRU&amp;lang=en_US&amp;offset=0&amp;query=any,contains,991002723629702656","Catalog Record")</f>
        <v/>
      </c>
      <c r="AV128">
        <f>HYPERLINK("http://www.worldcat.org/oclc/413654","WorldCat Record")</f>
        <v/>
      </c>
      <c r="AW128" t="inlineStr">
        <is>
          <t>1440740:eng</t>
        </is>
      </c>
      <c r="AX128" t="inlineStr">
        <is>
          <t>413654</t>
        </is>
      </c>
      <c r="AY128" t="inlineStr">
        <is>
          <t>991002723629702656</t>
        </is>
      </c>
      <c r="AZ128" t="inlineStr">
        <is>
          <t>991002723629702656</t>
        </is>
      </c>
      <c r="BA128" t="inlineStr">
        <is>
          <t>2268066160002656</t>
        </is>
      </c>
      <c r="BB128" t="inlineStr">
        <is>
          <t>BOOK</t>
        </is>
      </c>
      <c r="BE128" t="inlineStr">
        <is>
          <t>32285001808137</t>
        </is>
      </c>
      <c r="BF128" t="inlineStr">
        <is>
          <t>893535154</t>
        </is>
      </c>
    </row>
    <row r="129">
      <c r="B129" t="inlineStr">
        <is>
          <t>CURAL</t>
        </is>
      </c>
      <c r="C129" t="inlineStr">
        <is>
          <t>SHELVES</t>
        </is>
      </c>
      <c r="D129" t="inlineStr">
        <is>
          <t>KF1648 .F85</t>
        </is>
      </c>
      <c r="E129" t="inlineStr">
        <is>
          <t>0                      KF 1648000F  85</t>
        </is>
      </c>
      <c r="F129" t="inlineStr">
        <is>
          <t>Competition and public policy : cases in antitrust / [by] H. Lee Fusilier [and] Jerome C. Darnell.</t>
        </is>
      </c>
      <c r="H129" t="inlineStr">
        <is>
          <t>No</t>
        </is>
      </c>
      <c r="I129" t="inlineStr">
        <is>
          <t>1</t>
        </is>
      </c>
      <c r="J129" t="inlineStr">
        <is>
          <t>No</t>
        </is>
      </c>
      <c r="K129" t="inlineStr">
        <is>
          <t>No</t>
        </is>
      </c>
      <c r="L129" t="inlineStr">
        <is>
          <t>0</t>
        </is>
      </c>
      <c r="M129" t="inlineStr">
        <is>
          <t>Fusilier, H. L. (H. Lee), 1919-, compiler.</t>
        </is>
      </c>
      <c r="N129" t="inlineStr">
        <is>
          <t>Englewood Cliffs, N.J. : Prentice-Hall, [1971]</t>
        </is>
      </c>
      <c r="O129" t="inlineStr">
        <is>
          <t>1971</t>
        </is>
      </c>
      <c r="Q129" t="inlineStr">
        <is>
          <t>eng</t>
        </is>
      </c>
      <c r="R129" t="inlineStr">
        <is>
          <t>nju</t>
        </is>
      </c>
      <c r="T129" t="inlineStr">
        <is>
          <t xml:space="preserve">KF </t>
        </is>
      </c>
      <c r="U129" t="n">
        <v>3</v>
      </c>
      <c r="V129" t="n">
        <v>3</v>
      </c>
      <c r="W129" t="inlineStr">
        <is>
          <t>2004-09-25</t>
        </is>
      </c>
      <c r="X129" t="inlineStr">
        <is>
          <t>2004-09-25</t>
        </is>
      </c>
      <c r="Y129" t="inlineStr">
        <is>
          <t>1993-10-18</t>
        </is>
      </c>
      <c r="Z129" t="inlineStr">
        <is>
          <t>1993-10-18</t>
        </is>
      </c>
      <c r="AA129" t="n">
        <v>285</v>
      </c>
      <c r="AB129" t="n">
        <v>220</v>
      </c>
      <c r="AC129" t="n">
        <v>222</v>
      </c>
      <c r="AD129" t="n">
        <v>4</v>
      </c>
      <c r="AE129" t="n">
        <v>4</v>
      </c>
      <c r="AF129" t="n">
        <v>15</v>
      </c>
      <c r="AG129" t="n">
        <v>15</v>
      </c>
      <c r="AH129" t="n">
        <v>4</v>
      </c>
      <c r="AI129" t="n">
        <v>4</v>
      </c>
      <c r="AJ129" t="n">
        <v>0</v>
      </c>
      <c r="AK129" t="n">
        <v>0</v>
      </c>
      <c r="AL129" t="n">
        <v>4</v>
      </c>
      <c r="AM129" t="n">
        <v>4</v>
      </c>
      <c r="AN129" t="n">
        <v>3</v>
      </c>
      <c r="AO129" t="n">
        <v>3</v>
      </c>
      <c r="AP129" t="n">
        <v>6</v>
      </c>
      <c r="AQ129" t="n">
        <v>6</v>
      </c>
      <c r="AR129" t="inlineStr">
        <is>
          <t>No</t>
        </is>
      </c>
      <c r="AS129" t="inlineStr">
        <is>
          <t>Yes</t>
        </is>
      </c>
      <c r="AT129">
        <f>HYPERLINK("http://catalog.hathitrust.org/Record/004508437","HathiTrust Record")</f>
        <v/>
      </c>
      <c r="AU129">
        <f>HYPERLINK("https://creighton-primo.hosted.exlibrisgroup.com/primo-explore/search?tab=default_tab&amp;search_scope=EVERYTHING&amp;vid=01CRU&amp;lang=en_US&amp;offset=0&amp;query=any,contains,991000834869702656","Catalog Record")</f>
        <v/>
      </c>
      <c r="AV129">
        <f>HYPERLINK("http://www.worldcat.org/oclc/148458","WorldCat Record")</f>
        <v/>
      </c>
      <c r="AW129" t="inlineStr">
        <is>
          <t>365341344:eng</t>
        </is>
      </c>
      <c r="AX129" t="inlineStr">
        <is>
          <t>148458</t>
        </is>
      </c>
      <c r="AY129" t="inlineStr">
        <is>
          <t>991000834869702656</t>
        </is>
      </c>
      <c r="AZ129" t="inlineStr">
        <is>
          <t>991000834869702656</t>
        </is>
      </c>
      <c r="BA129" t="inlineStr">
        <is>
          <t>2260146830002656</t>
        </is>
      </c>
      <c r="BB129" t="inlineStr">
        <is>
          <t>BOOK</t>
        </is>
      </c>
      <c r="BD129" t="inlineStr">
        <is>
          <t>9780131548312</t>
        </is>
      </c>
      <c r="BE129" t="inlineStr">
        <is>
          <t>32285001793743</t>
        </is>
      </c>
      <c r="BF129" t="inlineStr">
        <is>
          <t>893407568</t>
        </is>
      </c>
    </row>
    <row r="130">
      <c r="B130" t="inlineStr">
        <is>
          <t>CURAL</t>
        </is>
      </c>
      <c r="C130" t="inlineStr">
        <is>
          <t>SHELVES</t>
        </is>
      </c>
      <c r="D130" t="inlineStr">
        <is>
          <t>KF1649 .A83 1990</t>
        </is>
      </c>
      <c r="E130" t="inlineStr">
        <is>
          <t>0                      KF 1649000A  83          1990</t>
        </is>
      </c>
      <c r="F130" t="inlineStr">
        <is>
          <t>Antitrust and monopoly : anatomy of a policy failure / Dominick T. Armentano ; foreword by Yale Brozen.</t>
        </is>
      </c>
      <c r="H130" t="inlineStr">
        <is>
          <t>No</t>
        </is>
      </c>
      <c r="I130" t="inlineStr">
        <is>
          <t>1</t>
        </is>
      </c>
      <c r="J130" t="inlineStr">
        <is>
          <t>No</t>
        </is>
      </c>
      <c r="K130" t="inlineStr">
        <is>
          <t>No</t>
        </is>
      </c>
      <c r="L130" t="inlineStr">
        <is>
          <t>0</t>
        </is>
      </c>
      <c r="M130" t="inlineStr">
        <is>
          <t>Armentano, Dominick T.</t>
        </is>
      </c>
      <c r="N130" t="inlineStr">
        <is>
          <t>New York : Holmes &amp; Meier, c1990.</t>
        </is>
      </c>
      <c r="O130" t="inlineStr">
        <is>
          <t>1990</t>
        </is>
      </c>
      <c r="P130" t="inlineStr">
        <is>
          <t>2nd ed.</t>
        </is>
      </c>
      <c r="Q130" t="inlineStr">
        <is>
          <t>eng</t>
        </is>
      </c>
      <c r="R130" t="inlineStr">
        <is>
          <t>nyu</t>
        </is>
      </c>
      <c r="S130" t="inlineStr">
        <is>
          <t>Independent studies in political economy</t>
        </is>
      </c>
      <c r="T130" t="inlineStr">
        <is>
          <t xml:space="preserve">KF </t>
        </is>
      </c>
      <c r="U130" t="n">
        <v>13</v>
      </c>
      <c r="V130" t="n">
        <v>13</v>
      </c>
      <c r="W130" t="inlineStr">
        <is>
          <t>1999-12-02</t>
        </is>
      </c>
      <c r="X130" t="inlineStr">
        <is>
          <t>1999-12-02</t>
        </is>
      </c>
      <c r="Y130" t="inlineStr">
        <is>
          <t>1995-12-06</t>
        </is>
      </c>
      <c r="Z130" t="inlineStr">
        <is>
          <t>1995-12-06</t>
        </is>
      </c>
      <c r="AA130" t="n">
        <v>284</v>
      </c>
      <c r="AB130" t="n">
        <v>259</v>
      </c>
      <c r="AC130" t="n">
        <v>649</v>
      </c>
      <c r="AD130" t="n">
        <v>3</v>
      </c>
      <c r="AE130" t="n">
        <v>5</v>
      </c>
      <c r="AF130" t="n">
        <v>23</v>
      </c>
      <c r="AG130" t="n">
        <v>47</v>
      </c>
      <c r="AH130" t="n">
        <v>2</v>
      </c>
      <c r="AI130" t="n">
        <v>12</v>
      </c>
      <c r="AJ130" t="n">
        <v>5</v>
      </c>
      <c r="AK130" t="n">
        <v>6</v>
      </c>
      <c r="AL130" t="n">
        <v>5</v>
      </c>
      <c r="AM130" t="n">
        <v>13</v>
      </c>
      <c r="AN130" t="n">
        <v>2</v>
      </c>
      <c r="AO130" t="n">
        <v>3</v>
      </c>
      <c r="AP130" t="n">
        <v>11</v>
      </c>
      <c r="AQ130" t="n">
        <v>21</v>
      </c>
      <c r="AR130" t="inlineStr">
        <is>
          <t>No</t>
        </is>
      </c>
      <c r="AS130" t="inlineStr">
        <is>
          <t>No</t>
        </is>
      </c>
      <c r="AU130">
        <f>HYPERLINK("https://creighton-primo.hosted.exlibrisgroup.com/primo-explore/search?tab=default_tab&amp;search_scope=EVERYTHING&amp;vid=01CRU&amp;lang=en_US&amp;offset=0&amp;query=any,contains,991001717829702656","Catalog Record")</f>
        <v/>
      </c>
      <c r="AV130">
        <f>HYPERLINK("http://www.worldcat.org/oclc/21721436","WorldCat Record")</f>
        <v/>
      </c>
      <c r="AW130" t="inlineStr">
        <is>
          <t>347683922:eng</t>
        </is>
      </c>
      <c r="AX130" t="inlineStr">
        <is>
          <t>21721436</t>
        </is>
      </c>
      <c r="AY130" t="inlineStr">
        <is>
          <t>991001717829702656</t>
        </is>
      </c>
      <c r="AZ130" t="inlineStr">
        <is>
          <t>991001717829702656</t>
        </is>
      </c>
      <c r="BA130" t="inlineStr">
        <is>
          <t>2260050470002656</t>
        </is>
      </c>
      <c r="BB130" t="inlineStr">
        <is>
          <t>BOOK</t>
        </is>
      </c>
      <c r="BD130" t="inlineStr">
        <is>
          <t>9780841912748</t>
        </is>
      </c>
      <c r="BE130" t="inlineStr">
        <is>
          <t>32285002108362</t>
        </is>
      </c>
      <c r="BF130" t="inlineStr">
        <is>
          <t>893897999</t>
        </is>
      </c>
    </row>
    <row r="131">
      <c r="B131" t="inlineStr">
        <is>
          <t>CURAL</t>
        </is>
      </c>
      <c r="C131" t="inlineStr">
        <is>
          <t>SHELVES</t>
        </is>
      </c>
      <c r="D131" t="inlineStr">
        <is>
          <t>KF1649 .E5</t>
        </is>
      </c>
      <c r="E131" t="inlineStr">
        <is>
          <t>0                      KF 1649000E  5</t>
        </is>
      </c>
      <c r="F131" t="inlineStr">
        <is>
          <t>The antitrust penalties : a study in law and economics / Kenneth G. Elzinga and William Breit.</t>
        </is>
      </c>
      <c r="H131" t="inlineStr">
        <is>
          <t>No</t>
        </is>
      </c>
      <c r="I131" t="inlineStr">
        <is>
          <t>1</t>
        </is>
      </c>
      <c r="J131" t="inlineStr">
        <is>
          <t>Yes</t>
        </is>
      </c>
      <c r="K131" t="inlineStr">
        <is>
          <t>No</t>
        </is>
      </c>
      <c r="L131" t="inlineStr">
        <is>
          <t>0</t>
        </is>
      </c>
      <c r="M131" t="inlineStr">
        <is>
          <t>Elzinga, Kenneth G.</t>
        </is>
      </c>
      <c r="N131" t="inlineStr">
        <is>
          <t>New Haven, [Conn.] : Yale University Press, 1976.</t>
        </is>
      </c>
      <c r="O131" t="inlineStr">
        <is>
          <t>1976</t>
        </is>
      </c>
      <c r="Q131" t="inlineStr">
        <is>
          <t>eng</t>
        </is>
      </c>
      <c r="R131" t="inlineStr">
        <is>
          <t>ctu</t>
        </is>
      </c>
      <c r="T131" t="inlineStr">
        <is>
          <t xml:space="preserve">KF </t>
        </is>
      </c>
      <c r="U131" t="n">
        <v>1</v>
      </c>
      <c r="V131" t="n">
        <v>1</v>
      </c>
      <c r="W131" t="inlineStr">
        <is>
          <t>2004-09-25</t>
        </is>
      </c>
      <c r="X131" t="inlineStr">
        <is>
          <t>2004-09-25</t>
        </is>
      </c>
      <c r="Y131" t="inlineStr">
        <is>
          <t>1994-05-06</t>
        </is>
      </c>
      <c r="Z131" t="inlineStr">
        <is>
          <t>1994-05-06</t>
        </is>
      </c>
      <c r="AA131" t="n">
        <v>725</v>
      </c>
      <c r="AB131" t="n">
        <v>623</v>
      </c>
      <c r="AC131" t="n">
        <v>625</v>
      </c>
      <c r="AD131" t="n">
        <v>5</v>
      </c>
      <c r="AE131" t="n">
        <v>5</v>
      </c>
      <c r="AF131" t="n">
        <v>39</v>
      </c>
      <c r="AG131" t="n">
        <v>39</v>
      </c>
      <c r="AH131" t="n">
        <v>8</v>
      </c>
      <c r="AI131" t="n">
        <v>8</v>
      </c>
      <c r="AJ131" t="n">
        <v>5</v>
      </c>
      <c r="AK131" t="n">
        <v>5</v>
      </c>
      <c r="AL131" t="n">
        <v>13</v>
      </c>
      <c r="AM131" t="n">
        <v>13</v>
      </c>
      <c r="AN131" t="n">
        <v>3</v>
      </c>
      <c r="AO131" t="n">
        <v>3</v>
      </c>
      <c r="AP131" t="n">
        <v>17</v>
      </c>
      <c r="AQ131" t="n">
        <v>17</v>
      </c>
      <c r="AR131" t="inlineStr">
        <is>
          <t>No</t>
        </is>
      </c>
      <c r="AS131" t="inlineStr">
        <is>
          <t>No</t>
        </is>
      </c>
      <c r="AU131">
        <f>HYPERLINK("https://creighton-primo.hosted.exlibrisgroup.com/primo-explore/search?tab=default_tab&amp;search_scope=EVERYTHING&amp;vid=01CRU&amp;lang=en_US&amp;offset=0&amp;query=any,contains,991001764299702656","Catalog Record")</f>
        <v/>
      </c>
      <c r="AV131">
        <f>HYPERLINK("http://www.worldcat.org/oclc/2502726","WorldCat Record")</f>
        <v/>
      </c>
      <c r="AW131" t="inlineStr">
        <is>
          <t>314003974:eng</t>
        </is>
      </c>
      <c r="AX131" t="inlineStr">
        <is>
          <t>2502726</t>
        </is>
      </c>
      <c r="AY131" t="inlineStr">
        <is>
          <t>991001764299702656</t>
        </is>
      </c>
      <c r="AZ131" t="inlineStr">
        <is>
          <t>991001764299702656</t>
        </is>
      </c>
      <c r="BA131" t="inlineStr">
        <is>
          <t>2257574460002656</t>
        </is>
      </c>
      <c r="BB131" t="inlineStr">
        <is>
          <t>BOOK</t>
        </is>
      </c>
      <c r="BD131" t="inlineStr">
        <is>
          <t>9780300019995</t>
        </is>
      </c>
      <c r="BE131" t="inlineStr">
        <is>
          <t>32285001908168</t>
        </is>
      </c>
      <c r="BF131" t="inlineStr">
        <is>
          <t>893509890</t>
        </is>
      </c>
    </row>
    <row r="132">
      <c r="B132" t="inlineStr">
        <is>
          <t>CURAL</t>
        </is>
      </c>
      <c r="C132" t="inlineStr">
        <is>
          <t>SHELVES</t>
        </is>
      </c>
      <c r="D132" t="inlineStr">
        <is>
          <t>KF1649 .G75 1989</t>
        </is>
      </c>
      <c r="E132" t="inlineStr">
        <is>
          <t>0                      KF 1649000G  75          1989</t>
        </is>
      </c>
      <c r="F132" t="inlineStr">
        <is>
          <t>American antitrust laws in theory and in practice / M.L. Greenhut, Bruce Benson.</t>
        </is>
      </c>
      <c r="H132" t="inlineStr">
        <is>
          <t>No</t>
        </is>
      </c>
      <c r="I132" t="inlineStr">
        <is>
          <t>1</t>
        </is>
      </c>
      <c r="J132" t="inlineStr">
        <is>
          <t>No</t>
        </is>
      </c>
      <c r="K132" t="inlineStr">
        <is>
          <t>No</t>
        </is>
      </c>
      <c r="L132" t="inlineStr">
        <is>
          <t>0</t>
        </is>
      </c>
      <c r="M132" t="inlineStr">
        <is>
          <t>Greenhut, Melvin L.</t>
        </is>
      </c>
      <c r="N132" t="inlineStr">
        <is>
          <t>Aldershot, Hants., England ; Brookfield, Vt., USA : Avebury, c1989.</t>
        </is>
      </c>
      <c r="O132" t="inlineStr">
        <is>
          <t>1989</t>
        </is>
      </c>
      <c r="Q132" t="inlineStr">
        <is>
          <t>eng</t>
        </is>
      </c>
      <c r="R132" t="inlineStr">
        <is>
          <t>enk</t>
        </is>
      </c>
      <c r="T132" t="inlineStr">
        <is>
          <t xml:space="preserve">KF </t>
        </is>
      </c>
      <c r="U132" t="n">
        <v>17</v>
      </c>
      <c r="V132" t="n">
        <v>17</v>
      </c>
      <c r="W132" t="inlineStr">
        <is>
          <t>2004-09-25</t>
        </is>
      </c>
      <c r="X132" t="inlineStr">
        <is>
          <t>2004-09-25</t>
        </is>
      </c>
      <c r="Y132" t="inlineStr">
        <is>
          <t>1990-06-21</t>
        </is>
      </c>
      <c r="Z132" t="inlineStr">
        <is>
          <t>1990-06-21</t>
        </is>
      </c>
      <c r="AA132" t="n">
        <v>367</v>
      </c>
      <c r="AB132" t="n">
        <v>291</v>
      </c>
      <c r="AC132" t="n">
        <v>296</v>
      </c>
      <c r="AD132" t="n">
        <v>2</v>
      </c>
      <c r="AE132" t="n">
        <v>2</v>
      </c>
      <c r="AF132" t="n">
        <v>18</v>
      </c>
      <c r="AG132" t="n">
        <v>18</v>
      </c>
      <c r="AH132" t="n">
        <v>2</v>
      </c>
      <c r="AI132" t="n">
        <v>2</v>
      </c>
      <c r="AJ132" t="n">
        <v>3</v>
      </c>
      <c r="AK132" t="n">
        <v>3</v>
      </c>
      <c r="AL132" t="n">
        <v>7</v>
      </c>
      <c r="AM132" t="n">
        <v>7</v>
      </c>
      <c r="AN132" t="n">
        <v>1</v>
      </c>
      <c r="AO132" t="n">
        <v>1</v>
      </c>
      <c r="AP132" t="n">
        <v>9</v>
      </c>
      <c r="AQ132" t="n">
        <v>9</v>
      </c>
      <c r="AR132" t="inlineStr">
        <is>
          <t>No</t>
        </is>
      </c>
      <c r="AS132" t="inlineStr">
        <is>
          <t>Yes</t>
        </is>
      </c>
      <c r="AT132">
        <f>HYPERLINK("http://catalog.hathitrust.org/Record/001105761","HathiTrust Record")</f>
        <v/>
      </c>
      <c r="AU132">
        <f>HYPERLINK("https://creighton-primo.hosted.exlibrisgroup.com/primo-explore/search?tab=default_tab&amp;search_scope=EVERYTHING&amp;vid=01CRU&amp;lang=en_US&amp;offset=0&amp;query=any,contains,991001422559702656","Catalog Record")</f>
        <v/>
      </c>
      <c r="AV132">
        <f>HYPERLINK("http://www.worldcat.org/oclc/18983927","WorldCat Record")</f>
        <v/>
      </c>
      <c r="AW132" t="inlineStr">
        <is>
          <t>19029718:eng</t>
        </is>
      </c>
      <c r="AX132" t="inlineStr">
        <is>
          <t>18983927</t>
        </is>
      </c>
      <c r="AY132" t="inlineStr">
        <is>
          <t>991001422559702656</t>
        </is>
      </c>
      <c r="AZ132" t="inlineStr">
        <is>
          <t>991001422559702656</t>
        </is>
      </c>
      <c r="BA132" t="inlineStr">
        <is>
          <t>2267821190002656</t>
        </is>
      </c>
      <c r="BB132" t="inlineStr">
        <is>
          <t>BOOK</t>
        </is>
      </c>
      <c r="BD132" t="inlineStr">
        <is>
          <t>9780566070136</t>
        </is>
      </c>
      <c r="BE132" t="inlineStr">
        <is>
          <t>32285000179282</t>
        </is>
      </c>
      <c r="BF132" t="inlineStr">
        <is>
          <t>893321926</t>
        </is>
      </c>
    </row>
    <row r="133">
      <c r="B133" t="inlineStr">
        <is>
          <t>CURAL</t>
        </is>
      </c>
      <c r="C133" t="inlineStr">
        <is>
          <t>SHELVES</t>
        </is>
      </c>
      <c r="D133" t="inlineStr">
        <is>
          <t>KF1649 .M34</t>
        </is>
      </c>
      <c r="E133" t="inlineStr">
        <is>
          <t>0                      KF 1649000M  34</t>
        </is>
      </c>
      <c r="F133" t="inlineStr">
        <is>
          <t>A manager's guide to the antitrust laws / Edward A. Matto.</t>
        </is>
      </c>
      <c r="H133" t="inlineStr">
        <is>
          <t>No</t>
        </is>
      </c>
      <c r="I133" t="inlineStr">
        <is>
          <t>1</t>
        </is>
      </c>
      <c r="J133" t="inlineStr">
        <is>
          <t>No</t>
        </is>
      </c>
      <c r="K133" t="inlineStr">
        <is>
          <t>No</t>
        </is>
      </c>
      <c r="L133" t="inlineStr">
        <is>
          <t>0</t>
        </is>
      </c>
      <c r="M133" t="inlineStr">
        <is>
          <t>Matto, Edward A.</t>
        </is>
      </c>
      <c r="N133" t="inlineStr">
        <is>
          <t>New York : Amacom, c1980.</t>
        </is>
      </c>
      <c r="O133" t="inlineStr">
        <is>
          <t>1980</t>
        </is>
      </c>
      <c r="Q133" t="inlineStr">
        <is>
          <t>eng</t>
        </is>
      </c>
      <c r="R133" t="inlineStr">
        <is>
          <t>nyu</t>
        </is>
      </c>
      <c r="T133" t="inlineStr">
        <is>
          <t xml:space="preserve">KF </t>
        </is>
      </c>
      <c r="U133" t="n">
        <v>7</v>
      </c>
      <c r="V133" t="n">
        <v>7</v>
      </c>
      <c r="W133" t="inlineStr">
        <is>
          <t>2004-09-25</t>
        </is>
      </c>
      <c r="X133" t="inlineStr">
        <is>
          <t>2004-09-25</t>
        </is>
      </c>
      <c r="Y133" t="inlineStr">
        <is>
          <t>1992-06-18</t>
        </is>
      </c>
      <c r="Z133" t="inlineStr">
        <is>
          <t>1992-06-18</t>
        </is>
      </c>
      <c r="AA133" t="n">
        <v>261</v>
      </c>
      <c r="AB133" t="n">
        <v>251</v>
      </c>
      <c r="AC133" t="n">
        <v>268</v>
      </c>
      <c r="AD133" t="n">
        <v>3</v>
      </c>
      <c r="AE133" t="n">
        <v>3</v>
      </c>
      <c r="AF133" t="n">
        <v>19</v>
      </c>
      <c r="AG133" t="n">
        <v>21</v>
      </c>
      <c r="AH133" t="n">
        <v>6</v>
      </c>
      <c r="AI133" t="n">
        <v>6</v>
      </c>
      <c r="AJ133" t="n">
        <v>3</v>
      </c>
      <c r="AK133" t="n">
        <v>4</v>
      </c>
      <c r="AL133" t="n">
        <v>9</v>
      </c>
      <c r="AM133" t="n">
        <v>9</v>
      </c>
      <c r="AN133" t="n">
        <v>2</v>
      </c>
      <c r="AO133" t="n">
        <v>2</v>
      </c>
      <c r="AP133" t="n">
        <v>5</v>
      </c>
      <c r="AQ133" t="n">
        <v>6</v>
      </c>
      <c r="AR133" t="inlineStr">
        <is>
          <t>No</t>
        </is>
      </c>
      <c r="AS133" t="inlineStr">
        <is>
          <t>No</t>
        </is>
      </c>
      <c r="AU133">
        <f>HYPERLINK("https://creighton-primo.hosted.exlibrisgroup.com/primo-explore/search?tab=default_tab&amp;search_scope=EVERYTHING&amp;vid=01CRU&amp;lang=en_US&amp;offset=0&amp;query=any,contains,991004984029702656","Catalog Record")</f>
        <v/>
      </c>
      <c r="AV133">
        <f>HYPERLINK("http://www.worldcat.org/oclc/6446597","WorldCat Record")</f>
        <v/>
      </c>
      <c r="AW133" t="inlineStr">
        <is>
          <t>21061243:eng</t>
        </is>
      </c>
      <c r="AX133" t="inlineStr">
        <is>
          <t>6446597</t>
        </is>
      </c>
      <c r="AY133" t="inlineStr">
        <is>
          <t>991004984029702656</t>
        </is>
      </c>
      <c r="AZ133" t="inlineStr">
        <is>
          <t>991004984029702656</t>
        </is>
      </c>
      <c r="BA133" t="inlineStr">
        <is>
          <t>2256011820002656</t>
        </is>
      </c>
      <c r="BB133" t="inlineStr">
        <is>
          <t>BOOK</t>
        </is>
      </c>
      <c r="BD133" t="inlineStr">
        <is>
          <t>9780814455418</t>
        </is>
      </c>
      <c r="BE133" t="inlineStr">
        <is>
          <t>32285001174928</t>
        </is>
      </c>
      <c r="BF133" t="inlineStr">
        <is>
          <t>893507449</t>
        </is>
      </c>
    </row>
    <row r="134">
      <c r="B134" t="inlineStr">
        <is>
          <t>CURAL</t>
        </is>
      </c>
      <c r="C134" t="inlineStr">
        <is>
          <t>SHELVES</t>
        </is>
      </c>
      <c r="D134" t="inlineStr">
        <is>
          <t>KF1649.3 .F53 1972</t>
        </is>
      </c>
      <c r="E134" t="inlineStr">
        <is>
          <t>0                      KF 1649300F  53          1972</t>
        </is>
      </c>
      <c r="F134" t="inlineStr">
        <is>
          <t>Ten thousand commandments : a story of the antitrust laws / [by] Harold M. Fleming.</t>
        </is>
      </c>
      <c r="H134" t="inlineStr">
        <is>
          <t>No</t>
        </is>
      </c>
      <c r="I134" t="inlineStr">
        <is>
          <t>1</t>
        </is>
      </c>
      <c r="J134" t="inlineStr">
        <is>
          <t>No</t>
        </is>
      </c>
      <c r="K134" t="inlineStr">
        <is>
          <t>No</t>
        </is>
      </c>
      <c r="L134" t="inlineStr">
        <is>
          <t>0</t>
        </is>
      </c>
      <c r="M134" t="inlineStr">
        <is>
          <t>Fleming, Harold M. (Harold Manchester)</t>
        </is>
      </c>
      <c r="N134" t="inlineStr">
        <is>
          <t>New York : Arno Press, 1972 [c1951]</t>
        </is>
      </c>
      <c r="O134" t="inlineStr">
        <is>
          <t>1972</t>
        </is>
      </c>
      <c r="Q134" t="inlineStr">
        <is>
          <t>eng</t>
        </is>
      </c>
      <c r="R134" t="inlineStr">
        <is>
          <t>nyu</t>
        </is>
      </c>
      <c r="S134" t="inlineStr">
        <is>
          <t>The Right wing individualist tradition in America</t>
        </is>
      </c>
      <c r="T134" t="inlineStr">
        <is>
          <t xml:space="preserve">KF </t>
        </is>
      </c>
      <c r="U134" t="n">
        <v>3</v>
      </c>
      <c r="V134" t="n">
        <v>3</v>
      </c>
      <c r="W134" t="inlineStr">
        <is>
          <t>2004-09-25</t>
        </is>
      </c>
      <c r="X134" t="inlineStr">
        <is>
          <t>2004-09-25</t>
        </is>
      </c>
      <c r="Y134" t="inlineStr">
        <is>
          <t>1994-05-04</t>
        </is>
      </c>
      <c r="Z134" t="inlineStr">
        <is>
          <t>1994-05-04</t>
        </is>
      </c>
      <c r="AA134" t="n">
        <v>136</v>
      </c>
      <c r="AB134" t="n">
        <v>123</v>
      </c>
      <c r="AC134" t="n">
        <v>425</v>
      </c>
      <c r="AD134" t="n">
        <v>1</v>
      </c>
      <c r="AE134" t="n">
        <v>3</v>
      </c>
      <c r="AF134" t="n">
        <v>4</v>
      </c>
      <c r="AG134" t="n">
        <v>20</v>
      </c>
      <c r="AH134" t="n">
        <v>1</v>
      </c>
      <c r="AI134" t="n">
        <v>3</v>
      </c>
      <c r="AJ134" t="n">
        <v>1</v>
      </c>
      <c r="AK134" t="n">
        <v>3</v>
      </c>
      <c r="AL134" t="n">
        <v>1</v>
      </c>
      <c r="AM134" t="n">
        <v>7</v>
      </c>
      <c r="AN134" t="n">
        <v>0</v>
      </c>
      <c r="AO134" t="n">
        <v>1</v>
      </c>
      <c r="AP134" t="n">
        <v>1</v>
      </c>
      <c r="AQ134" t="n">
        <v>9</v>
      </c>
      <c r="AR134" t="inlineStr">
        <is>
          <t>No</t>
        </is>
      </c>
      <c r="AS134" t="inlineStr">
        <is>
          <t>No</t>
        </is>
      </c>
      <c r="AU134">
        <f>HYPERLINK("https://creighton-primo.hosted.exlibrisgroup.com/primo-explore/search?tab=default_tab&amp;search_scope=EVERYTHING&amp;vid=01CRU&amp;lang=en_US&amp;offset=0&amp;query=any,contains,991002621389702656","Catalog Record")</f>
        <v/>
      </c>
      <c r="AV134">
        <f>HYPERLINK("http://www.worldcat.org/oclc/380640","WorldCat Record")</f>
        <v/>
      </c>
      <c r="AW134" t="inlineStr">
        <is>
          <t>1489323:eng</t>
        </is>
      </c>
      <c r="AX134" t="inlineStr">
        <is>
          <t>380640</t>
        </is>
      </c>
      <c r="AY134" t="inlineStr">
        <is>
          <t>991002621389702656</t>
        </is>
      </c>
      <c r="AZ134" t="inlineStr">
        <is>
          <t>991002621389702656</t>
        </is>
      </c>
      <c r="BA134" t="inlineStr">
        <is>
          <t>2261462640002656</t>
        </is>
      </c>
      <c r="BB134" t="inlineStr">
        <is>
          <t>BOOK</t>
        </is>
      </c>
      <c r="BD134" t="inlineStr">
        <is>
          <t>9780405004209</t>
        </is>
      </c>
      <c r="BE134" t="inlineStr">
        <is>
          <t>32285001906600</t>
        </is>
      </c>
      <c r="BF134" t="inlineStr">
        <is>
          <t>893341637</t>
        </is>
      </c>
    </row>
    <row r="135">
      <c r="B135" t="inlineStr">
        <is>
          <t>CURAL</t>
        </is>
      </c>
      <c r="C135" t="inlineStr">
        <is>
          <t>SHELVES</t>
        </is>
      </c>
      <c r="D135" t="inlineStr">
        <is>
          <t>KF1650.3 .S47</t>
        </is>
      </c>
      <c r="E135" t="inlineStr">
        <is>
          <t>0                      KF 1650300S  47</t>
        </is>
      </c>
      <c r="F135" t="inlineStr">
        <is>
          <t>Antitrust policies and issues / Roger Sherman.</t>
        </is>
      </c>
      <c r="H135" t="inlineStr">
        <is>
          <t>No</t>
        </is>
      </c>
      <c r="I135" t="inlineStr">
        <is>
          <t>1</t>
        </is>
      </c>
      <c r="J135" t="inlineStr">
        <is>
          <t>No</t>
        </is>
      </c>
      <c r="K135" t="inlineStr">
        <is>
          <t>No</t>
        </is>
      </c>
      <c r="L135" t="inlineStr">
        <is>
          <t>0</t>
        </is>
      </c>
      <c r="M135" t="inlineStr">
        <is>
          <t>Sherman, Roger, 1930-</t>
        </is>
      </c>
      <c r="N135" t="inlineStr">
        <is>
          <t>Reading, Mass. : Addison-Wesley Pub. Co., c1978.</t>
        </is>
      </c>
      <c r="O135" t="inlineStr">
        <is>
          <t>1978</t>
        </is>
      </c>
      <c r="Q135" t="inlineStr">
        <is>
          <t>eng</t>
        </is>
      </c>
      <c r="R135" t="inlineStr">
        <is>
          <t>mau</t>
        </is>
      </c>
      <c r="S135" t="inlineStr">
        <is>
          <t>Addison-Wesley series in economics</t>
        </is>
      </c>
      <c r="T135" t="inlineStr">
        <is>
          <t xml:space="preserve">KF </t>
        </is>
      </c>
      <c r="U135" t="n">
        <v>7</v>
      </c>
      <c r="V135" t="n">
        <v>7</v>
      </c>
      <c r="W135" t="inlineStr">
        <is>
          <t>1997-03-25</t>
        </is>
      </c>
      <c r="X135" t="inlineStr">
        <is>
          <t>1997-03-25</t>
        </is>
      </c>
      <c r="Y135" t="inlineStr">
        <is>
          <t>1992-06-23</t>
        </is>
      </c>
      <c r="Z135" t="inlineStr">
        <is>
          <t>1992-06-23</t>
        </is>
      </c>
      <c r="AA135" t="n">
        <v>379</v>
      </c>
      <c r="AB135" t="n">
        <v>334</v>
      </c>
      <c r="AC135" t="n">
        <v>339</v>
      </c>
      <c r="AD135" t="n">
        <v>3</v>
      </c>
      <c r="AE135" t="n">
        <v>3</v>
      </c>
      <c r="AF135" t="n">
        <v>22</v>
      </c>
      <c r="AG135" t="n">
        <v>22</v>
      </c>
      <c r="AH135" t="n">
        <v>10</v>
      </c>
      <c r="AI135" t="n">
        <v>10</v>
      </c>
      <c r="AJ135" t="n">
        <v>2</v>
      </c>
      <c r="AK135" t="n">
        <v>2</v>
      </c>
      <c r="AL135" t="n">
        <v>7</v>
      </c>
      <c r="AM135" t="n">
        <v>7</v>
      </c>
      <c r="AN135" t="n">
        <v>2</v>
      </c>
      <c r="AO135" t="n">
        <v>2</v>
      </c>
      <c r="AP135" t="n">
        <v>5</v>
      </c>
      <c r="AQ135" t="n">
        <v>5</v>
      </c>
      <c r="AR135" t="inlineStr">
        <is>
          <t>No</t>
        </is>
      </c>
      <c r="AS135" t="inlineStr">
        <is>
          <t>No</t>
        </is>
      </c>
      <c r="AU135">
        <f>HYPERLINK("https://creighton-primo.hosted.exlibrisgroup.com/primo-explore/search?tab=default_tab&amp;search_scope=EVERYTHING&amp;vid=01CRU&amp;lang=en_US&amp;offset=0&amp;query=any,contains,991004595669702656","Catalog Record")</f>
        <v/>
      </c>
      <c r="AV135">
        <f>HYPERLINK("http://www.worldcat.org/oclc/4136558","WorldCat Record")</f>
        <v/>
      </c>
      <c r="AW135" t="inlineStr">
        <is>
          <t>14591351:eng</t>
        </is>
      </c>
      <c r="AX135" t="inlineStr">
        <is>
          <t>4136558</t>
        </is>
      </c>
      <c r="AY135" t="inlineStr">
        <is>
          <t>991004595669702656</t>
        </is>
      </c>
      <c r="AZ135" t="inlineStr">
        <is>
          <t>991004595669702656</t>
        </is>
      </c>
      <c r="BA135" t="inlineStr">
        <is>
          <t>2258161190002656</t>
        </is>
      </c>
      <c r="BB135" t="inlineStr">
        <is>
          <t>BOOK</t>
        </is>
      </c>
      <c r="BD135" t="inlineStr">
        <is>
          <t>9780201083637</t>
        </is>
      </c>
      <c r="BE135" t="inlineStr">
        <is>
          <t>32285001174951</t>
        </is>
      </c>
      <c r="BF135" t="inlineStr">
        <is>
          <t>893253869</t>
        </is>
      </c>
    </row>
    <row r="136">
      <c r="B136" t="inlineStr">
        <is>
          <t>CURAL</t>
        </is>
      </c>
      <c r="C136" t="inlineStr">
        <is>
          <t>SHELVES</t>
        </is>
      </c>
      <c r="D136" t="inlineStr">
        <is>
          <t>KF1652 .E26 1989</t>
        </is>
      </c>
      <c r="E136" t="inlineStr">
        <is>
          <t>0                      KF 1652000E  26          1989</t>
        </is>
      </c>
      <c r="F136" t="inlineStr">
        <is>
          <t>Economics and antitrust policy / edited by Robert J. Larner and James W. Meehan, Jr.</t>
        </is>
      </c>
      <c r="H136" t="inlineStr">
        <is>
          <t>No</t>
        </is>
      </c>
      <c r="I136" t="inlineStr">
        <is>
          <t>1</t>
        </is>
      </c>
      <c r="J136" t="inlineStr">
        <is>
          <t>No</t>
        </is>
      </c>
      <c r="K136" t="inlineStr">
        <is>
          <t>No</t>
        </is>
      </c>
      <c r="L136" t="inlineStr">
        <is>
          <t>0</t>
        </is>
      </c>
      <c r="N136" t="inlineStr">
        <is>
          <t>New York : Quorum Books, 1989.</t>
        </is>
      </c>
      <c r="O136" t="inlineStr">
        <is>
          <t>1989</t>
        </is>
      </c>
      <c r="Q136" t="inlineStr">
        <is>
          <t>eng</t>
        </is>
      </c>
      <c r="R136" t="inlineStr">
        <is>
          <t>nyu</t>
        </is>
      </c>
      <c r="T136" t="inlineStr">
        <is>
          <t xml:space="preserve">KF </t>
        </is>
      </c>
      <c r="U136" t="n">
        <v>13</v>
      </c>
      <c r="V136" t="n">
        <v>13</v>
      </c>
      <c r="W136" t="inlineStr">
        <is>
          <t>2004-09-25</t>
        </is>
      </c>
      <c r="X136" t="inlineStr">
        <is>
          <t>2004-09-25</t>
        </is>
      </c>
      <c r="Y136" t="inlineStr">
        <is>
          <t>1991-02-08</t>
        </is>
      </c>
      <c r="Z136" t="inlineStr">
        <is>
          <t>1991-02-08</t>
        </is>
      </c>
      <c r="AA136" t="n">
        <v>430</v>
      </c>
      <c r="AB136" t="n">
        <v>378</v>
      </c>
      <c r="AC136" t="n">
        <v>380</v>
      </c>
      <c r="AD136" t="n">
        <v>1</v>
      </c>
      <c r="AE136" t="n">
        <v>1</v>
      </c>
      <c r="AF136" t="n">
        <v>20</v>
      </c>
      <c r="AG136" t="n">
        <v>20</v>
      </c>
      <c r="AH136" t="n">
        <v>2</v>
      </c>
      <c r="AI136" t="n">
        <v>2</v>
      </c>
      <c r="AJ136" t="n">
        <v>4</v>
      </c>
      <c r="AK136" t="n">
        <v>4</v>
      </c>
      <c r="AL136" t="n">
        <v>9</v>
      </c>
      <c r="AM136" t="n">
        <v>9</v>
      </c>
      <c r="AN136" t="n">
        <v>0</v>
      </c>
      <c r="AO136" t="n">
        <v>0</v>
      </c>
      <c r="AP136" t="n">
        <v>9</v>
      </c>
      <c r="AQ136" t="n">
        <v>9</v>
      </c>
      <c r="AR136" t="inlineStr">
        <is>
          <t>No</t>
        </is>
      </c>
      <c r="AS136" t="inlineStr">
        <is>
          <t>Yes</t>
        </is>
      </c>
      <c r="AT136">
        <f>HYPERLINK("http://catalog.hathitrust.org/Record/004449451","HathiTrust Record")</f>
        <v/>
      </c>
      <c r="AU136">
        <f>HYPERLINK("https://creighton-primo.hosted.exlibrisgroup.com/primo-explore/search?tab=default_tab&amp;search_scope=EVERYTHING&amp;vid=01CRU&amp;lang=en_US&amp;offset=0&amp;query=any,contains,991001321639702656","Catalog Record")</f>
        <v/>
      </c>
      <c r="AV136">
        <f>HYPERLINK("http://www.worldcat.org/oclc/18225537","WorldCat Record")</f>
        <v/>
      </c>
      <c r="AW136" t="inlineStr">
        <is>
          <t>352381092:eng</t>
        </is>
      </c>
      <c r="AX136" t="inlineStr">
        <is>
          <t>18225537</t>
        </is>
      </c>
      <c r="AY136" t="inlineStr">
        <is>
          <t>991001321639702656</t>
        </is>
      </c>
      <c r="AZ136" t="inlineStr">
        <is>
          <t>991001321639702656</t>
        </is>
      </c>
      <c r="BA136" t="inlineStr">
        <is>
          <t>2261921520002656</t>
        </is>
      </c>
      <c r="BB136" t="inlineStr">
        <is>
          <t>BOOK</t>
        </is>
      </c>
      <c r="BD136" t="inlineStr">
        <is>
          <t>9780899303864</t>
        </is>
      </c>
      <c r="BE136" t="inlineStr">
        <is>
          <t>32285000473883</t>
        </is>
      </c>
      <c r="BF136" t="inlineStr">
        <is>
          <t>893797486</t>
        </is>
      </c>
    </row>
    <row r="137">
      <c r="B137" t="inlineStr">
        <is>
          <t>CURAL</t>
        </is>
      </c>
      <c r="C137" t="inlineStr">
        <is>
          <t>SHELVES</t>
        </is>
      </c>
      <c r="D137" t="inlineStr">
        <is>
          <t>KF1665 .M6</t>
        </is>
      </c>
      <c r="E137" t="inlineStr">
        <is>
          <t>0                      KF 1665000M  6</t>
        </is>
      </c>
      <c r="F137" t="inlineStr">
        <is>
          <t>The thumb on the scale; or, The supermarket shell game, by A. Q. Mowbray. Introd. by Marya Mannes.</t>
        </is>
      </c>
      <c r="H137" t="inlineStr">
        <is>
          <t>No</t>
        </is>
      </c>
      <c r="I137" t="inlineStr">
        <is>
          <t>1</t>
        </is>
      </c>
      <c r="J137" t="inlineStr">
        <is>
          <t>No</t>
        </is>
      </c>
      <c r="K137" t="inlineStr">
        <is>
          <t>No</t>
        </is>
      </c>
      <c r="L137" t="inlineStr">
        <is>
          <t>0</t>
        </is>
      </c>
      <c r="M137" t="inlineStr">
        <is>
          <t>Mowbray, A. Q.</t>
        </is>
      </c>
      <c r="N137" t="inlineStr">
        <is>
          <t>Philadelphia, Lippincott [1967]</t>
        </is>
      </c>
      <c r="O137" t="inlineStr">
        <is>
          <t>1967</t>
        </is>
      </c>
      <c r="P137" t="inlineStr">
        <is>
          <t>[1st ed.]</t>
        </is>
      </c>
      <c r="Q137" t="inlineStr">
        <is>
          <t>eng</t>
        </is>
      </c>
      <c r="R137" t="inlineStr">
        <is>
          <t>pau</t>
        </is>
      </c>
      <c r="T137" t="inlineStr">
        <is>
          <t xml:space="preserve">KF </t>
        </is>
      </c>
      <c r="U137" t="n">
        <v>4</v>
      </c>
      <c r="V137" t="n">
        <v>4</v>
      </c>
      <c r="W137" t="inlineStr">
        <is>
          <t>2009-03-27</t>
        </is>
      </c>
      <c r="X137" t="inlineStr">
        <is>
          <t>2009-03-27</t>
        </is>
      </c>
      <c r="Y137" t="inlineStr">
        <is>
          <t>1997-04-14</t>
        </is>
      </c>
      <c r="Z137" t="inlineStr">
        <is>
          <t>1997-04-14</t>
        </is>
      </c>
      <c r="AA137" t="n">
        <v>442</v>
      </c>
      <c r="AB137" t="n">
        <v>421</v>
      </c>
      <c r="AC137" t="n">
        <v>428</v>
      </c>
      <c r="AD137" t="n">
        <v>3</v>
      </c>
      <c r="AE137" t="n">
        <v>3</v>
      </c>
      <c r="AF137" t="n">
        <v>15</v>
      </c>
      <c r="AG137" t="n">
        <v>15</v>
      </c>
      <c r="AH137" t="n">
        <v>4</v>
      </c>
      <c r="AI137" t="n">
        <v>4</v>
      </c>
      <c r="AJ137" t="n">
        <v>3</v>
      </c>
      <c r="AK137" t="n">
        <v>3</v>
      </c>
      <c r="AL137" t="n">
        <v>7</v>
      </c>
      <c r="AM137" t="n">
        <v>7</v>
      </c>
      <c r="AN137" t="n">
        <v>1</v>
      </c>
      <c r="AO137" t="n">
        <v>1</v>
      </c>
      <c r="AP137" t="n">
        <v>3</v>
      </c>
      <c r="AQ137" t="n">
        <v>3</v>
      </c>
      <c r="AR137" t="inlineStr">
        <is>
          <t>No</t>
        </is>
      </c>
      <c r="AS137" t="inlineStr">
        <is>
          <t>Yes</t>
        </is>
      </c>
      <c r="AT137">
        <f>HYPERLINK("http://catalog.hathitrust.org/Record/001125476","HathiTrust Record")</f>
        <v/>
      </c>
      <c r="AU137">
        <f>HYPERLINK("https://creighton-primo.hosted.exlibrisgroup.com/primo-explore/search?tab=default_tab&amp;search_scope=EVERYTHING&amp;vid=01CRU&amp;lang=en_US&amp;offset=0&amp;query=any,contains,991003476909702656","Catalog Record")</f>
        <v/>
      </c>
      <c r="AV137">
        <f>HYPERLINK("http://www.worldcat.org/oclc/1022135","WorldCat Record")</f>
        <v/>
      </c>
      <c r="AW137" t="inlineStr">
        <is>
          <t>1950724:eng</t>
        </is>
      </c>
      <c r="AX137" t="inlineStr">
        <is>
          <t>1022135</t>
        </is>
      </c>
      <c r="AY137" t="inlineStr">
        <is>
          <t>991003476909702656</t>
        </is>
      </c>
      <c r="AZ137" t="inlineStr">
        <is>
          <t>991003476909702656</t>
        </is>
      </c>
      <c r="BA137" t="inlineStr">
        <is>
          <t>2272589980002656</t>
        </is>
      </c>
      <c r="BB137" t="inlineStr">
        <is>
          <t>BOOK</t>
        </is>
      </c>
      <c r="BE137" t="inlineStr">
        <is>
          <t>32285002550399</t>
        </is>
      </c>
      <c r="BF137" t="inlineStr">
        <is>
          <t>893511980</t>
        </is>
      </c>
    </row>
    <row r="138">
      <c r="B138" t="inlineStr">
        <is>
          <t>CURAL</t>
        </is>
      </c>
      <c r="C138" t="inlineStr">
        <is>
          <t>SHELVES</t>
        </is>
      </c>
      <c r="D138" t="inlineStr">
        <is>
          <t>KF1890.S7 W5 1973</t>
        </is>
      </c>
      <c r="E138" t="inlineStr">
        <is>
          <t>0                      KF 1890000S  7                  W  5           1973</t>
        </is>
      </c>
      <c r="F138" t="inlineStr">
        <is>
          <t>A study of the United States Steel Corporation in its industrial and legal aspects.</t>
        </is>
      </c>
      <c r="H138" t="inlineStr">
        <is>
          <t>No</t>
        </is>
      </c>
      <c r="I138" t="inlineStr">
        <is>
          <t>1</t>
        </is>
      </c>
      <c r="J138" t="inlineStr">
        <is>
          <t>No</t>
        </is>
      </c>
      <c r="K138" t="inlineStr">
        <is>
          <t>No</t>
        </is>
      </c>
      <c r="L138" t="inlineStr">
        <is>
          <t>0</t>
        </is>
      </c>
      <c r="M138" t="inlineStr">
        <is>
          <t>Wilgus, Horace L. (Horace La Fayette), 1859-1935.</t>
        </is>
      </c>
      <c r="N138" t="inlineStr">
        <is>
          <t>New York, Arno Press, 1973 [c1901]</t>
        </is>
      </c>
      <c r="O138" t="inlineStr">
        <is>
          <t>1973</t>
        </is>
      </c>
      <c r="Q138" t="inlineStr">
        <is>
          <t>eng</t>
        </is>
      </c>
      <c r="R138" t="inlineStr">
        <is>
          <t>nyu</t>
        </is>
      </c>
      <c r="S138" t="inlineStr">
        <is>
          <t>Big business: economic power in a free society</t>
        </is>
      </c>
      <c r="T138" t="inlineStr">
        <is>
          <t xml:space="preserve">KF </t>
        </is>
      </c>
      <c r="U138" t="n">
        <v>2</v>
      </c>
      <c r="V138" t="n">
        <v>2</v>
      </c>
      <c r="W138" t="inlineStr">
        <is>
          <t>2003-10-12</t>
        </is>
      </c>
      <c r="X138" t="inlineStr">
        <is>
          <t>2003-10-12</t>
        </is>
      </c>
      <c r="Y138" t="inlineStr">
        <is>
          <t>1997-04-14</t>
        </is>
      </c>
      <c r="Z138" t="inlineStr">
        <is>
          <t>1997-04-14</t>
        </is>
      </c>
      <c r="AA138" t="n">
        <v>169</v>
      </c>
      <c r="AB138" t="n">
        <v>134</v>
      </c>
      <c r="AC138" t="n">
        <v>158</v>
      </c>
      <c r="AD138" t="n">
        <v>2</v>
      </c>
      <c r="AE138" t="n">
        <v>2</v>
      </c>
      <c r="AF138" t="n">
        <v>4</v>
      </c>
      <c r="AG138" t="n">
        <v>5</v>
      </c>
      <c r="AH138" t="n">
        <v>0</v>
      </c>
      <c r="AI138" t="n">
        <v>0</v>
      </c>
      <c r="AJ138" t="n">
        <v>1</v>
      </c>
      <c r="AK138" t="n">
        <v>1</v>
      </c>
      <c r="AL138" t="n">
        <v>3</v>
      </c>
      <c r="AM138" t="n">
        <v>3</v>
      </c>
      <c r="AN138" t="n">
        <v>1</v>
      </c>
      <c r="AO138" t="n">
        <v>1</v>
      </c>
      <c r="AP138" t="n">
        <v>0</v>
      </c>
      <c r="AQ138" t="n">
        <v>1</v>
      </c>
      <c r="AR138" t="inlineStr">
        <is>
          <t>No</t>
        </is>
      </c>
      <c r="AS138" t="inlineStr">
        <is>
          <t>No</t>
        </is>
      </c>
      <c r="AU138">
        <f>HYPERLINK("https://creighton-primo.hosted.exlibrisgroup.com/primo-explore/search?tab=default_tab&amp;search_scope=EVERYTHING&amp;vid=01CRU&amp;lang=en_US&amp;offset=0&amp;query=any,contains,991003235809702656","Catalog Record")</f>
        <v/>
      </c>
      <c r="AV138">
        <f>HYPERLINK("http://www.worldcat.org/oclc/760366","WorldCat Record")</f>
        <v/>
      </c>
      <c r="AW138" t="inlineStr">
        <is>
          <t>3769629409:eng</t>
        </is>
      </c>
      <c r="AX138" t="inlineStr">
        <is>
          <t>760366</t>
        </is>
      </c>
      <c r="AY138" t="inlineStr">
        <is>
          <t>991003235809702656</t>
        </is>
      </c>
      <c r="AZ138" t="inlineStr">
        <is>
          <t>991003235809702656</t>
        </is>
      </c>
      <c r="BA138" t="inlineStr">
        <is>
          <t>2266377260002656</t>
        </is>
      </c>
      <c r="BB138" t="inlineStr">
        <is>
          <t>BOOK</t>
        </is>
      </c>
      <c r="BD138" t="inlineStr">
        <is>
          <t>9780405051203</t>
        </is>
      </c>
      <c r="BE138" t="inlineStr">
        <is>
          <t>32285002550407</t>
        </is>
      </c>
      <c r="BF138" t="inlineStr">
        <is>
          <t>893233945</t>
        </is>
      </c>
    </row>
    <row r="139">
      <c r="B139" t="inlineStr">
        <is>
          <t>CURAL</t>
        </is>
      </c>
      <c r="C139" t="inlineStr">
        <is>
          <t>SHELVES</t>
        </is>
      </c>
      <c r="D139" t="inlineStr">
        <is>
          <t>KF2009.A25 J6 1982</t>
        </is>
      </c>
      <c r="E139" t="inlineStr">
        <is>
          <t>0                      KF 2009000A  25                 J  6           1982</t>
        </is>
      </c>
      <c r="F139" t="inlineStr">
        <is>
          <t>The National Sunday law : argument of Alonzo T. Jones before the United States Senate Committee on Education and Labor, at Washington D.C., Dec. 13, 1888.</t>
        </is>
      </c>
      <c r="H139" t="inlineStr">
        <is>
          <t>No</t>
        </is>
      </c>
      <c r="I139" t="inlineStr">
        <is>
          <t>1</t>
        </is>
      </c>
      <c r="J139" t="inlineStr">
        <is>
          <t>No</t>
        </is>
      </c>
      <c r="K139" t="inlineStr">
        <is>
          <t>No</t>
        </is>
      </c>
      <c r="L139" t="inlineStr">
        <is>
          <t>0</t>
        </is>
      </c>
      <c r="M139" t="inlineStr">
        <is>
          <t>Jones, Alonzo T.</t>
        </is>
      </c>
      <c r="N139" t="inlineStr">
        <is>
          <t>Barronett, Wis., Paradise View, 1982.</t>
        </is>
      </c>
      <c r="O139" t="inlineStr">
        <is>
          <t>1982</t>
        </is>
      </c>
      <c r="Q139" t="inlineStr">
        <is>
          <t>eng</t>
        </is>
      </c>
      <c r="R139" t="inlineStr">
        <is>
          <t>wiu</t>
        </is>
      </c>
      <c r="T139" t="inlineStr">
        <is>
          <t xml:space="preserve">KF </t>
        </is>
      </c>
      <c r="U139" t="n">
        <v>0</v>
      </c>
      <c r="V139" t="n">
        <v>0</v>
      </c>
      <c r="W139" t="inlineStr">
        <is>
          <t>2006-07-05</t>
        </is>
      </c>
      <c r="X139" t="inlineStr">
        <is>
          <t>2006-07-05</t>
        </is>
      </c>
      <c r="Y139" t="inlineStr">
        <is>
          <t>1992-06-24</t>
        </is>
      </c>
      <c r="Z139" t="inlineStr">
        <is>
          <t>1992-06-24</t>
        </is>
      </c>
      <c r="AA139" t="n">
        <v>8</v>
      </c>
      <c r="AB139" t="n">
        <v>8</v>
      </c>
      <c r="AC139" t="n">
        <v>184</v>
      </c>
      <c r="AD139" t="n">
        <v>1</v>
      </c>
      <c r="AE139" t="n">
        <v>3</v>
      </c>
      <c r="AF139" t="n">
        <v>0</v>
      </c>
      <c r="AG139" t="n">
        <v>14</v>
      </c>
      <c r="AH139" t="n">
        <v>0</v>
      </c>
      <c r="AI139" t="n">
        <v>1</v>
      </c>
      <c r="AJ139" t="n">
        <v>0</v>
      </c>
      <c r="AK139" t="n">
        <v>0</v>
      </c>
      <c r="AL139" t="n">
        <v>0</v>
      </c>
      <c r="AM139" t="n">
        <v>1</v>
      </c>
      <c r="AN139" t="n">
        <v>0</v>
      </c>
      <c r="AO139" t="n">
        <v>1</v>
      </c>
      <c r="AP139" t="n">
        <v>0</v>
      </c>
      <c r="AQ139" t="n">
        <v>11</v>
      </c>
      <c r="AR139" t="inlineStr">
        <is>
          <t>No</t>
        </is>
      </c>
      <c r="AS139" t="inlineStr">
        <is>
          <t>No</t>
        </is>
      </c>
      <c r="AU139">
        <f>HYPERLINK("https://creighton-primo.hosted.exlibrisgroup.com/primo-explore/search?tab=default_tab&amp;search_scope=EVERYTHING&amp;vid=01CRU&amp;lang=en_US&amp;offset=0&amp;query=any,contains,991000776329702656","Catalog Record")</f>
        <v/>
      </c>
      <c r="AV139">
        <f>HYPERLINK("http://www.worldcat.org/oclc/13066371","WorldCat Record")</f>
        <v/>
      </c>
      <c r="AW139" t="inlineStr">
        <is>
          <t>3943342319:eng</t>
        </is>
      </c>
      <c r="AX139" t="inlineStr">
        <is>
          <t>13066371</t>
        </is>
      </c>
      <c r="AY139" t="inlineStr">
        <is>
          <t>991000776329702656</t>
        </is>
      </c>
      <c r="AZ139" t="inlineStr">
        <is>
          <t>991000776329702656</t>
        </is>
      </c>
      <c r="BA139" t="inlineStr">
        <is>
          <t>2256334010002656</t>
        </is>
      </c>
      <c r="BB139" t="inlineStr">
        <is>
          <t>BOOK</t>
        </is>
      </c>
      <c r="BE139" t="inlineStr">
        <is>
          <t>32285001175073</t>
        </is>
      </c>
      <c r="BF139" t="inlineStr">
        <is>
          <t>893315218</t>
        </is>
      </c>
    </row>
    <row r="140">
      <c r="B140" t="inlineStr">
        <is>
          <t>CURAL</t>
        </is>
      </c>
      <c r="C140" t="inlineStr">
        <is>
          <t>SHELVES</t>
        </is>
      </c>
      <c r="D140" t="inlineStr">
        <is>
          <t>KF2181 .S76 1991</t>
        </is>
      </c>
      <c r="E140" t="inlineStr">
        <is>
          <t>0                      KF 2181000S  76          1991</t>
        </is>
      </c>
      <c r="F140" t="inlineStr">
        <is>
          <t>The Interstate Commerce Commission and the railroad industry : a history of regulatory policy / Richard D. Stone.</t>
        </is>
      </c>
      <c r="H140" t="inlineStr">
        <is>
          <t>No</t>
        </is>
      </c>
      <c r="I140" t="inlineStr">
        <is>
          <t>1</t>
        </is>
      </c>
      <c r="J140" t="inlineStr">
        <is>
          <t>No</t>
        </is>
      </c>
      <c r="K140" t="inlineStr">
        <is>
          <t>No</t>
        </is>
      </c>
      <c r="L140" t="inlineStr">
        <is>
          <t>0</t>
        </is>
      </c>
      <c r="M140" t="inlineStr">
        <is>
          <t>Stone, Richard D. (Richard David), 1944-</t>
        </is>
      </c>
      <c r="N140" t="inlineStr">
        <is>
          <t>New York : Praeger, 1991.</t>
        </is>
      </c>
      <c r="O140" t="inlineStr">
        <is>
          <t>1991</t>
        </is>
      </c>
      <c r="Q140" t="inlineStr">
        <is>
          <t>eng</t>
        </is>
      </c>
      <c r="R140" t="inlineStr">
        <is>
          <t>nyu</t>
        </is>
      </c>
      <c r="T140" t="inlineStr">
        <is>
          <t xml:space="preserve">KF </t>
        </is>
      </c>
      <c r="U140" t="n">
        <v>4</v>
      </c>
      <c r="V140" t="n">
        <v>4</v>
      </c>
      <c r="W140" t="inlineStr">
        <is>
          <t>1993-01-23</t>
        </is>
      </c>
      <c r="X140" t="inlineStr">
        <is>
          <t>1993-01-23</t>
        </is>
      </c>
      <c r="Y140" t="inlineStr">
        <is>
          <t>1992-04-02</t>
        </is>
      </c>
      <c r="Z140" t="inlineStr">
        <is>
          <t>1992-04-02</t>
        </is>
      </c>
      <c r="AA140" t="n">
        <v>300</v>
      </c>
      <c r="AB140" t="n">
        <v>278</v>
      </c>
      <c r="AC140" t="n">
        <v>279</v>
      </c>
      <c r="AD140" t="n">
        <v>3</v>
      </c>
      <c r="AE140" t="n">
        <v>3</v>
      </c>
      <c r="AF140" t="n">
        <v>19</v>
      </c>
      <c r="AG140" t="n">
        <v>19</v>
      </c>
      <c r="AH140" t="n">
        <v>4</v>
      </c>
      <c r="AI140" t="n">
        <v>4</v>
      </c>
      <c r="AJ140" t="n">
        <v>2</v>
      </c>
      <c r="AK140" t="n">
        <v>2</v>
      </c>
      <c r="AL140" t="n">
        <v>2</v>
      </c>
      <c r="AM140" t="n">
        <v>2</v>
      </c>
      <c r="AN140" t="n">
        <v>2</v>
      </c>
      <c r="AO140" t="n">
        <v>2</v>
      </c>
      <c r="AP140" t="n">
        <v>11</v>
      </c>
      <c r="AQ140" t="n">
        <v>11</v>
      </c>
      <c r="AR140" t="inlineStr">
        <is>
          <t>No</t>
        </is>
      </c>
      <c r="AS140" t="inlineStr">
        <is>
          <t>Yes</t>
        </is>
      </c>
      <c r="AT140">
        <f>HYPERLINK("http://catalog.hathitrust.org/Record/004514451","HathiTrust Record")</f>
        <v/>
      </c>
      <c r="AU140">
        <f>HYPERLINK("https://creighton-primo.hosted.exlibrisgroup.com/primo-explore/search?tab=default_tab&amp;search_scope=EVERYTHING&amp;vid=01CRU&amp;lang=en_US&amp;offset=0&amp;query=any,contains,991001872279702656","Catalog Record")</f>
        <v/>
      </c>
      <c r="AV140">
        <f>HYPERLINK("http://www.worldcat.org/oclc/23649628","WorldCat Record")</f>
        <v/>
      </c>
      <c r="AW140" t="inlineStr">
        <is>
          <t>811129541:eng</t>
        </is>
      </c>
      <c r="AX140" t="inlineStr">
        <is>
          <t>23649628</t>
        </is>
      </c>
      <c r="AY140" t="inlineStr">
        <is>
          <t>991001872279702656</t>
        </is>
      </c>
      <c r="AZ140" t="inlineStr">
        <is>
          <t>991001872279702656</t>
        </is>
      </c>
      <c r="BA140" t="inlineStr">
        <is>
          <t>2259688070002656</t>
        </is>
      </c>
      <c r="BB140" t="inlineStr">
        <is>
          <t>BOOK</t>
        </is>
      </c>
      <c r="BD140" t="inlineStr">
        <is>
          <t>9780275939410</t>
        </is>
      </c>
      <c r="BE140" t="inlineStr">
        <is>
          <t>32285001008175</t>
        </is>
      </c>
      <c r="BF140" t="inlineStr">
        <is>
          <t>893250568</t>
        </is>
      </c>
    </row>
    <row r="141">
      <c r="B141" t="inlineStr">
        <is>
          <t>CURAL</t>
        </is>
      </c>
      <c r="C141" t="inlineStr">
        <is>
          <t>SHELVES</t>
        </is>
      </c>
      <c r="D141" t="inlineStr">
        <is>
          <t>KF2209 .C73 1986</t>
        </is>
      </c>
      <c r="E141" t="inlineStr">
        <is>
          <t>0                      KF 2209000C  73          1986</t>
        </is>
      </c>
      <c r="F141" t="inlineStr">
        <is>
          <t>Regulating the automobile / Robert W. Crandall ... [et al.]</t>
        </is>
      </c>
      <c r="H141" t="inlineStr">
        <is>
          <t>No</t>
        </is>
      </c>
      <c r="I141" t="inlineStr">
        <is>
          <t>1</t>
        </is>
      </c>
      <c r="J141" t="inlineStr">
        <is>
          <t>No</t>
        </is>
      </c>
      <c r="K141" t="inlineStr">
        <is>
          <t>No</t>
        </is>
      </c>
      <c r="L141" t="inlineStr">
        <is>
          <t>0</t>
        </is>
      </c>
      <c r="M141" t="inlineStr">
        <is>
          <t>Crandall, Robert W.</t>
        </is>
      </c>
      <c r="N141" t="inlineStr">
        <is>
          <t>Washington, D.C. : Brookings Institution, 1986.</t>
        </is>
      </c>
      <c r="O141" t="inlineStr">
        <is>
          <t>1986</t>
        </is>
      </c>
      <c r="Q141" t="inlineStr">
        <is>
          <t>eng</t>
        </is>
      </c>
      <c r="R141" t="inlineStr">
        <is>
          <t>dcu</t>
        </is>
      </c>
      <c r="S141" t="inlineStr">
        <is>
          <t>Studies in the regulation of economic activity</t>
        </is>
      </c>
      <c r="T141" t="inlineStr">
        <is>
          <t xml:space="preserve">KF </t>
        </is>
      </c>
      <c r="U141" t="n">
        <v>9</v>
      </c>
      <c r="V141" t="n">
        <v>9</v>
      </c>
      <c r="W141" t="inlineStr">
        <is>
          <t>2003-04-03</t>
        </is>
      </c>
      <c r="X141" t="inlineStr">
        <is>
          <t>2003-04-03</t>
        </is>
      </c>
      <c r="Y141" t="inlineStr">
        <is>
          <t>1992-04-01</t>
        </is>
      </c>
      <c r="Z141" t="inlineStr">
        <is>
          <t>1992-04-01</t>
        </is>
      </c>
      <c r="AA141" t="n">
        <v>886</v>
      </c>
      <c r="AB141" t="n">
        <v>806</v>
      </c>
      <c r="AC141" t="n">
        <v>814</v>
      </c>
      <c r="AD141" t="n">
        <v>6</v>
      </c>
      <c r="AE141" t="n">
        <v>6</v>
      </c>
      <c r="AF141" t="n">
        <v>48</v>
      </c>
      <c r="AG141" t="n">
        <v>48</v>
      </c>
      <c r="AH141" t="n">
        <v>15</v>
      </c>
      <c r="AI141" t="n">
        <v>15</v>
      </c>
      <c r="AJ141" t="n">
        <v>7</v>
      </c>
      <c r="AK141" t="n">
        <v>7</v>
      </c>
      <c r="AL141" t="n">
        <v>18</v>
      </c>
      <c r="AM141" t="n">
        <v>18</v>
      </c>
      <c r="AN141" t="n">
        <v>4</v>
      </c>
      <c r="AO141" t="n">
        <v>4</v>
      </c>
      <c r="AP141" t="n">
        <v>14</v>
      </c>
      <c r="AQ141" t="n">
        <v>14</v>
      </c>
      <c r="AR141" t="inlineStr">
        <is>
          <t>No</t>
        </is>
      </c>
      <c r="AS141" t="inlineStr">
        <is>
          <t>Yes</t>
        </is>
      </c>
      <c r="AT141">
        <f>HYPERLINK("http://catalog.hathitrust.org/Record/000390898","HathiTrust Record")</f>
        <v/>
      </c>
      <c r="AU141">
        <f>HYPERLINK("https://creighton-primo.hosted.exlibrisgroup.com/primo-explore/search?tab=default_tab&amp;search_scope=EVERYTHING&amp;vid=01CRU&amp;lang=en_US&amp;offset=0&amp;query=any,contains,991000766659702656","Catalog Record")</f>
        <v/>
      </c>
      <c r="AV141">
        <f>HYPERLINK("http://www.worldcat.org/oclc/13003805","WorldCat Record")</f>
        <v/>
      </c>
      <c r="AW141" t="inlineStr">
        <is>
          <t>5401630:eng</t>
        </is>
      </c>
      <c r="AX141" t="inlineStr">
        <is>
          <t>13003805</t>
        </is>
      </c>
      <c r="AY141" t="inlineStr">
        <is>
          <t>991000766659702656</t>
        </is>
      </c>
      <c r="AZ141" t="inlineStr">
        <is>
          <t>991000766659702656</t>
        </is>
      </c>
      <c r="BA141" t="inlineStr">
        <is>
          <t>2262754090002656</t>
        </is>
      </c>
      <c r="BB141" t="inlineStr">
        <is>
          <t>BOOK</t>
        </is>
      </c>
      <c r="BD141" t="inlineStr">
        <is>
          <t>9780815715931</t>
        </is>
      </c>
      <c r="BE141" t="inlineStr">
        <is>
          <t>32285001047389</t>
        </is>
      </c>
      <c r="BF141" t="inlineStr">
        <is>
          <t>893255713</t>
        </is>
      </c>
    </row>
    <row r="142">
      <c r="B142" t="inlineStr">
        <is>
          <t>CURAL</t>
        </is>
      </c>
      <c r="C142" t="inlineStr">
        <is>
          <t>SHELVES</t>
        </is>
      </c>
      <c r="D142" t="inlineStr">
        <is>
          <t>KF2219 .C3 1986</t>
        </is>
      </c>
      <c r="E142" t="inlineStr">
        <is>
          <t>0                      KF 2219000C  3           1986</t>
        </is>
      </c>
      <c r="F142" t="inlineStr">
        <is>
          <t>Seat belt law experience in four foreign countries compared to the United States / by B.J. Campbell and Frances A. Campbell.</t>
        </is>
      </c>
      <c r="H142" t="inlineStr">
        <is>
          <t>No</t>
        </is>
      </c>
      <c r="I142" t="inlineStr">
        <is>
          <t>1</t>
        </is>
      </c>
      <c r="J142" t="inlineStr">
        <is>
          <t>No</t>
        </is>
      </c>
      <c r="K142" t="inlineStr">
        <is>
          <t>No</t>
        </is>
      </c>
      <c r="L142" t="inlineStr">
        <is>
          <t>0</t>
        </is>
      </c>
      <c r="M142" t="inlineStr">
        <is>
          <t>Campbell, B. J. (Bob J.)</t>
        </is>
      </c>
      <c r="N142" t="inlineStr">
        <is>
          <t>Falls Church, VA (2990 Telestar Ct, Suite 100, Falls Church 22042) : AAA Foundation for Traffic Safety, 1986.</t>
        </is>
      </c>
      <c r="O142" t="inlineStr">
        <is>
          <t>1986</t>
        </is>
      </c>
      <c r="Q142" t="inlineStr">
        <is>
          <t>eng</t>
        </is>
      </c>
      <c r="R142" t="inlineStr">
        <is>
          <t>vau</t>
        </is>
      </c>
      <c r="T142" t="inlineStr">
        <is>
          <t xml:space="preserve">KF </t>
        </is>
      </c>
      <c r="U142" t="n">
        <v>7</v>
      </c>
      <c r="V142" t="n">
        <v>7</v>
      </c>
      <c r="W142" t="inlineStr">
        <is>
          <t>2005-11-30</t>
        </is>
      </c>
      <c r="X142" t="inlineStr">
        <is>
          <t>2005-11-30</t>
        </is>
      </c>
      <c r="Y142" t="inlineStr">
        <is>
          <t>1995-08-03</t>
        </is>
      </c>
      <c r="Z142" t="inlineStr">
        <is>
          <t>1995-08-03</t>
        </is>
      </c>
      <c r="AA142" t="n">
        <v>29</v>
      </c>
      <c r="AB142" t="n">
        <v>25</v>
      </c>
      <c r="AC142" t="n">
        <v>32</v>
      </c>
      <c r="AD142" t="n">
        <v>1</v>
      </c>
      <c r="AE142" t="n">
        <v>1</v>
      </c>
      <c r="AF142" t="n">
        <v>1</v>
      </c>
      <c r="AG142" t="n">
        <v>1</v>
      </c>
      <c r="AH142" t="n">
        <v>0</v>
      </c>
      <c r="AI142" t="n">
        <v>0</v>
      </c>
      <c r="AJ142" t="n">
        <v>1</v>
      </c>
      <c r="AK142" t="n">
        <v>1</v>
      </c>
      <c r="AL142" t="n">
        <v>0</v>
      </c>
      <c r="AM142" t="n">
        <v>0</v>
      </c>
      <c r="AN142" t="n">
        <v>0</v>
      </c>
      <c r="AO142" t="n">
        <v>0</v>
      </c>
      <c r="AP142" t="n">
        <v>0</v>
      </c>
      <c r="AQ142" t="n">
        <v>0</v>
      </c>
      <c r="AR142" t="inlineStr">
        <is>
          <t>No</t>
        </is>
      </c>
      <c r="AS142" t="inlineStr">
        <is>
          <t>No</t>
        </is>
      </c>
      <c r="AU142">
        <f>HYPERLINK("https://creighton-primo.hosted.exlibrisgroup.com/primo-explore/search?tab=default_tab&amp;search_scope=EVERYTHING&amp;vid=01CRU&amp;lang=en_US&amp;offset=0&amp;query=any,contains,991001117799702656","Catalog Record")</f>
        <v/>
      </c>
      <c r="AV142">
        <f>HYPERLINK("http://www.worldcat.org/oclc/16531906","WorldCat Record")</f>
        <v/>
      </c>
      <c r="AW142" t="inlineStr">
        <is>
          <t>12030476:eng</t>
        </is>
      </c>
      <c r="AX142" t="inlineStr">
        <is>
          <t>16531906</t>
        </is>
      </c>
      <c r="AY142" t="inlineStr">
        <is>
          <t>991001117799702656</t>
        </is>
      </c>
      <c r="AZ142" t="inlineStr">
        <is>
          <t>991001117799702656</t>
        </is>
      </c>
      <c r="BA142" t="inlineStr">
        <is>
          <t>2272054450002656</t>
        </is>
      </c>
      <c r="BB142" t="inlineStr">
        <is>
          <t>BOOK</t>
        </is>
      </c>
      <c r="BE142" t="inlineStr">
        <is>
          <t>32285000886407</t>
        </is>
      </c>
      <c r="BF142" t="inlineStr">
        <is>
          <t>893432607</t>
        </is>
      </c>
    </row>
    <row r="143">
      <c r="B143" t="inlineStr">
        <is>
          <t>CURAL</t>
        </is>
      </c>
      <c r="C143" t="inlineStr">
        <is>
          <t>SHELVES</t>
        </is>
      </c>
      <c r="D143" t="inlineStr">
        <is>
          <t>KF223.S5 L8 1969</t>
        </is>
      </c>
      <c r="E143" t="inlineStr">
        <is>
          <t>0                      KF 0223000S  5                  L  8           1969</t>
        </is>
      </c>
      <c r="F143" t="inlineStr">
        <is>
          <t>The great trial of the Chicago anarchists [by] Dyer D. Lum.</t>
        </is>
      </c>
      <c r="H143" t="inlineStr">
        <is>
          <t>No</t>
        </is>
      </c>
      <c r="I143" t="inlineStr">
        <is>
          <t>1</t>
        </is>
      </c>
      <c r="J143" t="inlineStr">
        <is>
          <t>No</t>
        </is>
      </c>
      <c r="K143" t="inlineStr">
        <is>
          <t>No</t>
        </is>
      </c>
      <c r="L143" t="inlineStr">
        <is>
          <t>0</t>
        </is>
      </c>
      <c r="M143" t="inlineStr">
        <is>
          <t>Lum, Dyer D. (Dyer Daniel), 1839-1893.</t>
        </is>
      </c>
      <c r="N143" t="inlineStr">
        <is>
          <t>New York, Arno Press, 1969.</t>
        </is>
      </c>
      <c r="O143" t="inlineStr">
        <is>
          <t>1969</t>
        </is>
      </c>
      <c r="Q143" t="inlineStr">
        <is>
          <t>eng</t>
        </is>
      </c>
      <c r="R143" t="inlineStr">
        <is>
          <t>nyu</t>
        </is>
      </c>
      <c r="S143" t="inlineStr">
        <is>
          <t>Mass violence in America</t>
        </is>
      </c>
      <c r="T143" t="inlineStr">
        <is>
          <t xml:space="preserve">KF </t>
        </is>
      </c>
      <c r="U143" t="n">
        <v>4</v>
      </c>
      <c r="V143" t="n">
        <v>4</v>
      </c>
      <c r="W143" t="inlineStr">
        <is>
          <t>2003-10-31</t>
        </is>
      </c>
      <c r="X143" t="inlineStr">
        <is>
          <t>2003-10-31</t>
        </is>
      </c>
      <c r="Y143" t="inlineStr">
        <is>
          <t>1997-04-11</t>
        </is>
      </c>
      <c r="Z143" t="inlineStr">
        <is>
          <t>1997-04-11</t>
        </is>
      </c>
      <c r="AA143" t="n">
        <v>428</v>
      </c>
      <c r="AB143" t="n">
        <v>409</v>
      </c>
      <c r="AC143" t="n">
        <v>412</v>
      </c>
      <c r="AD143" t="n">
        <v>4</v>
      </c>
      <c r="AE143" t="n">
        <v>4</v>
      </c>
      <c r="AF143" t="n">
        <v>25</v>
      </c>
      <c r="AG143" t="n">
        <v>25</v>
      </c>
      <c r="AH143" t="n">
        <v>6</v>
      </c>
      <c r="AI143" t="n">
        <v>6</v>
      </c>
      <c r="AJ143" t="n">
        <v>8</v>
      </c>
      <c r="AK143" t="n">
        <v>8</v>
      </c>
      <c r="AL143" t="n">
        <v>9</v>
      </c>
      <c r="AM143" t="n">
        <v>9</v>
      </c>
      <c r="AN143" t="n">
        <v>3</v>
      </c>
      <c r="AO143" t="n">
        <v>3</v>
      </c>
      <c r="AP143" t="n">
        <v>5</v>
      </c>
      <c r="AQ143" t="n">
        <v>5</v>
      </c>
      <c r="AR143" t="inlineStr">
        <is>
          <t>No</t>
        </is>
      </c>
      <c r="AS143" t="inlineStr">
        <is>
          <t>Yes</t>
        </is>
      </c>
      <c r="AT143">
        <f>HYPERLINK("http://catalog.hathitrust.org/Record/010393630","HathiTrust Record")</f>
        <v/>
      </c>
      <c r="AU143">
        <f>HYPERLINK("https://creighton-primo.hosted.exlibrisgroup.com/primo-explore/search?tab=default_tab&amp;search_scope=EVERYTHING&amp;vid=01CRU&amp;lang=en_US&amp;offset=0&amp;query=any,contains,991000316889702656","Catalog Record")</f>
        <v/>
      </c>
      <c r="AV143">
        <f>HYPERLINK("http://www.worldcat.org/oclc/69575","WorldCat Record")</f>
        <v/>
      </c>
      <c r="AW143" t="inlineStr">
        <is>
          <t>319730941:eng</t>
        </is>
      </c>
      <c r="AX143" t="inlineStr">
        <is>
          <t>69575</t>
        </is>
      </c>
      <c r="AY143" t="inlineStr">
        <is>
          <t>991000316889702656</t>
        </is>
      </c>
      <c r="AZ143" t="inlineStr">
        <is>
          <t>991000316889702656</t>
        </is>
      </c>
      <c r="BA143" t="inlineStr">
        <is>
          <t>2259715700002656</t>
        </is>
      </c>
      <c r="BB143" t="inlineStr">
        <is>
          <t>BOOK</t>
        </is>
      </c>
      <c r="BE143" t="inlineStr">
        <is>
          <t>32285002523867</t>
        </is>
      </c>
      <c r="BF143" t="inlineStr">
        <is>
          <t>893333373</t>
        </is>
      </c>
    </row>
    <row r="144">
      <c r="B144" t="inlineStr">
        <is>
          <t>CURAL</t>
        </is>
      </c>
      <c r="C144" t="inlineStr">
        <is>
          <t>SHELVES</t>
        </is>
      </c>
      <c r="D144" t="inlineStr">
        <is>
          <t>KF224.A34 P65 1989</t>
        </is>
      </c>
      <c r="E144" t="inlineStr">
        <is>
          <t>0                      KF 0224000A  34                 P  65          1989</t>
        </is>
      </c>
      <c r="F144" t="inlineStr">
        <is>
          <t>Fighting faiths : the Abrams case, the Supreme Court, and free speech / Richard Polenberg.</t>
        </is>
      </c>
      <c r="H144" t="inlineStr">
        <is>
          <t>No</t>
        </is>
      </c>
      <c r="I144" t="inlineStr">
        <is>
          <t>1</t>
        </is>
      </c>
      <c r="J144" t="inlineStr">
        <is>
          <t>No</t>
        </is>
      </c>
      <c r="K144" t="inlineStr">
        <is>
          <t>Yes</t>
        </is>
      </c>
      <c r="L144" t="inlineStr">
        <is>
          <t>0</t>
        </is>
      </c>
      <c r="M144" t="inlineStr">
        <is>
          <t>Polenberg, Richard.</t>
        </is>
      </c>
      <c r="N144" t="inlineStr">
        <is>
          <t>New York, N.Y., U.S.A. : Penguin Books, 1989, c1987.</t>
        </is>
      </c>
      <c r="O144" t="inlineStr">
        <is>
          <t>1989</t>
        </is>
      </c>
      <c r="Q144" t="inlineStr">
        <is>
          <t>eng</t>
        </is>
      </c>
      <c r="R144" t="inlineStr">
        <is>
          <t>nyu</t>
        </is>
      </c>
      <c r="T144" t="inlineStr">
        <is>
          <t xml:space="preserve">KF </t>
        </is>
      </c>
      <c r="U144" t="n">
        <v>2</v>
      </c>
      <c r="V144" t="n">
        <v>2</v>
      </c>
      <c r="W144" t="inlineStr">
        <is>
          <t>2004-08-25</t>
        </is>
      </c>
      <c r="X144" t="inlineStr">
        <is>
          <t>2004-08-25</t>
        </is>
      </c>
      <c r="Y144" t="inlineStr">
        <is>
          <t>1989-12-18</t>
        </is>
      </c>
      <c r="Z144" t="inlineStr">
        <is>
          <t>1989-12-18</t>
        </is>
      </c>
      <c r="AA144" t="n">
        <v>168</v>
      </c>
      <c r="AB144" t="n">
        <v>150</v>
      </c>
      <c r="AC144" t="n">
        <v>958</v>
      </c>
      <c r="AD144" t="n">
        <v>2</v>
      </c>
      <c r="AE144" t="n">
        <v>8</v>
      </c>
      <c r="AF144" t="n">
        <v>8</v>
      </c>
      <c r="AG144" t="n">
        <v>59</v>
      </c>
      <c r="AH144" t="n">
        <v>4</v>
      </c>
      <c r="AI144" t="n">
        <v>20</v>
      </c>
      <c r="AJ144" t="n">
        <v>2</v>
      </c>
      <c r="AK144" t="n">
        <v>9</v>
      </c>
      <c r="AL144" t="n">
        <v>3</v>
      </c>
      <c r="AM144" t="n">
        <v>19</v>
      </c>
      <c r="AN144" t="n">
        <v>1</v>
      </c>
      <c r="AO144" t="n">
        <v>5</v>
      </c>
      <c r="AP144" t="n">
        <v>0</v>
      </c>
      <c r="AQ144" t="n">
        <v>19</v>
      </c>
      <c r="AR144" t="inlineStr">
        <is>
          <t>No</t>
        </is>
      </c>
      <c r="AS144" t="inlineStr">
        <is>
          <t>Yes</t>
        </is>
      </c>
      <c r="AT144">
        <f>HYPERLINK("http://catalog.hathitrust.org/Record/009882999","HathiTrust Record")</f>
        <v/>
      </c>
      <c r="AU144">
        <f>HYPERLINK("https://creighton-primo.hosted.exlibrisgroup.com/primo-explore/search?tab=default_tab&amp;search_scope=EVERYTHING&amp;vid=01CRU&amp;lang=en_US&amp;offset=0&amp;query=any,contains,991001320389702656","Catalog Record")</f>
        <v/>
      </c>
      <c r="AV144">
        <f>HYPERLINK("http://www.worldcat.org/oclc/18222616","WorldCat Record")</f>
        <v/>
      </c>
      <c r="AW144" t="inlineStr">
        <is>
          <t>10101957:eng</t>
        </is>
      </c>
      <c r="AX144" t="inlineStr">
        <is>
          <t>18222616</t>
        </is>
      </c>
      <c r="AY144" t="inlineStr">
        <is>
          <t>991001320389702656</t>
        </is>
      </c>
      <c r="AZ144" t="inlineStr">
        <is>
          <t>991001320389702656</t>
        </is>
      </c>
      <c r="BA144" t="inlineStr">
        <is>
          <t>2258405880002656</t>
        </is>
      </c>
      <c r="BB144" t="inlineStr">
        <is>
          <t>BOOK</t>
        </is>
      </c>
      <c r="BD144" t="inlineStr">
        <is>
          <t>9780140117363</t>
        </is>
      </c>
      <c r="BE144" t="inlineStr">
        <is>
          <t>32285000018324</t>
        </is>
      </c>
      <c r="BF144" t="inlineStr">
        <is>
          <t>893891493</t>
        </is>
      </c>
    </row>
    <row r="145">
      <c r="B145" t="inlineStr">
        <is>
          <t>CURAL</t>
        </is>
      </c>
      <c r="C145" t="inlineStr">
        <is>
          <t>SHELVES</t>
        </is>
      </c>
      <c r="D145" t="inlineStr">
        <is>
          <t>KF224.F69 M55 1988</t>
        </is>
      </c>
      <c r="E145" t="inlineStr">
        <is>
          <t>0                      KF 0224000F  69                 M  55          1988</t>
        </is>
      </c>
      <c r="F145" t="inlineStr">
        <is>
          <t>Death by installments : the ordeal of Willie Francis / Arthur S. Miller and Jeffrey H. Bowman.</t>
        </is>
      </c>
      <c r="H145" t="inlineStr">
        <is>
          <t>No</t>
        </is>
      </c>
      <c r="I145" t="inlineStr">
        <is>
          <t>1</t>
        </is>
      </c>
      <c r="J145" t="inlineStr">
        <is>
          <t>No</t>
        </is>
      </c>
      <c r="K145" t="inlineStr">
        <is>
          <t>No</t>
        </is>
      </c>
      <c r="L145" t="inlineStr">
        <is>
          <t>0</t>
        </is>
      </c>
      <c r="M145" t="inlineStr">
        <is>
          <t>Miller, Arthur Selwyn, 1917-1988.</t>
        </is>
      </c>
      <c r="N145" t="inlineStr">
        <is>
          <t>New York : Greenwood Press, 1988.</t>
        </is>
      </c>
      <c r="O145" t="inlineStr">
        <is>
          <t>1988</t>
        </is>
      </c>
      <c r="Q145" t="inlineStr">
        <is>
          <t>eng</t>
        </is>
      </c>
      <c r="R145" t="inlineStr">
        <is>
          <t>nyu</t>
        </is>
      </c>
      <c r="S145" t="inlineStr">
        <is>
          <t>Contributions in legal studies, 0147-1074 ; no. 44</t>
        </is>
      </c>
      <c r="T145" t="inlineStr">
        <is>
          <t xml:space="preserve">KF </t>
        </is>
      </c>
      <c r="U145" t="n">
        <v>2</v>
      </c>
      <c r="V145" t="n">
        <v>2</v>
      </c>
      <c r="W145" t="inlineStr">
        <is>
          <t>1999-10-19</t>
        </is>
      </c>
      <c r="X145" t="inlineStr">
        <is>
          <t>1999-10-19</t>
        </is>
      </c>
      <c r="Y145" t="inlineStr">
        <is>
          <t>1990-04-25</t>
        </is>
      </c>
      <c r="Z145" t="inlineStr">
        <is>
          <t>1990-04-25</t>
        </is>
      </c>
      <c r="AA145" t="n">
        <v>471</v>
      </c>
      <c r="AB145" t="n">
        <v>448</v>
      </c>
      <c r="AC145" t="n">
        <v>450</v>
      </c>
      <c r="AD145" t="n">
        <v>5</v>
      </c>
      <c r="AE145" t="n">
        <v>5</v>
      </c>
      <c r="AF145" t="n">
        <v>29</v>
      </c>
      <c r="AG145" t="n">
        <v>29</v>
      </c>
      <c r="AH145" t="n">
        <v>6</v>
      </c>
      <c r="AI145" t="n">
        <v>6</v>
      </c>
      <c r="AJ145" t="n">
        <v>6</v>
      </c>
      <c r="AK145" t="n">
        <v>6</v>
      </c>
      <c r="AL145" t="n">
        <v>6</v>
      </c>
      <c r="AM145" t="n">
        <v>6</v>
      </c>
      <c r="AN145" t="n">
        <v>4</v>
      </c>
      <c r="AO145" t="n">
        <v>4</v>
      </c>
      <c r="AP145" t="n">
        <v>12</v>
      </c>
      <c r="AQ145" t="n">
        <v>12</v>
      </c>
      <c r="AR145" t="inlineStr">
        <is>
          <t>No</t>
        </is>
      </c>
      <c r="AS145" t="inlineStr">
        <is>
          <t>Yes</t>
        </is>
      </c>
      <c r="AT145">
        <f>HYPERLINK("http://catalog.hathitrust.org/Record/001076413","HathiTrust Record")</f>
        <v/>
      </c>
      <c r="AU145">
        <f>HYPERLINK("https://creighton-primo.hosted.exlibrisgroup.com/primo-explore/search?tab=default_tab&amp;search_scope=EVERYTHING&amp;vid=01CRU&amp;lang=en_US&amp;offset=0&amp;query=any,contains,991001257419702656","Catalog Record")</f>
        <v/>
      </c>
      <c r="AV145">
        <f>HYPERLINK("http://www.worldcat.org/oclc/17732718","WorldCat Record")</f>
        <v/>
      </c>
      <c r="AW145" t="inlineStr">
        <is>
          <t>2615407:eng</t>
        </is>
      </c>
      <c r="AX145" t="inlineStr">
        <is>
          <t>17732718</t>
        </is>
      </c>
      <c r="AY145" t="inlineStr">
        <is>
          <t>991001257419702656</t>
        </is>
      </c>
      <c r="AZ145" t="inlineStr">
        <is>
          <t>991001257419702656</t>
        </is>
      </c>
      <c r="BA145" t="inlineStr">
        <is>
          <t>2271001390002656</t>
        </is>
      </c>
      <c r="BB145" t="inlineStr">
        <is>
          <t>BOOK</t>
        </is>
      </c>
      <c r="BD145" t="inlineStr">
        <is>
          <t>9780313260094</t>
        </is>
      </c>
      <c r="BE145" t="inlineStr">
        <is>
          <t>32285000133438</t>
        </is>
      </c>
      <c r="BF145" t="inlineStr">
        <is>
          <t>893432735</t>
        </is>
      </c>
    </row>
    <row r="146">
      <c r="B146" t="inlineStr">
        <is>
          <t>CURAL</t>
        </is>
      </c>
      <c r="C146" t="inlineStr">
        <is>
          <t>SHELVES</t>
        </is>
      </c>
      <c r="D146" t="inlineStr">
        <is>
          <t>KF224.N39 U54 1989</t>
        </is>
      </c>
      <c r="E146" t="inlineStr">
        <is>
          <t>0                      KF 0224000N  39                 U  54          1989</t>
        </is>
      </c>
      <c r="F146" t="inlineStr">
        <is>
          <t>The papers &amp; the papers : an account of the legal and political battle over the Pentagon papers / Sanford J. Ungar.</t>
        </is>
      </c>
      <c r="H146" t="inlineStr">
        <is>
          <t>No</t>
        </is>
      </c>
      <c r="I146" t="inlineStr">
        <is>
          <t>1</t>
        </is>
      </c>
      <c r="J146" t="inlineStr">
        <is>
          <t>No</t>
        </is>
      </c>
      <c r="K146" t="inlineStr">
        <is>
          <t>No</t>
        </is>
      </c>
      <c r="L146" t="inlineStr">
        <is>
          <t>0</t>
        </is>
      </c>
      <c r="M146" t="inlineStr">
        <is>
          <t>Ungar, Sanford J.</t>
        </is>
      </c>
      <c r="N146" t="inlineStr">
        <is>
          <t>New York : Columbia University Press, 1989.</t>
        </is>
      </c>
      <c r="O146" t="inlineStr">
        <is>
          <t>1989</t>
        </is>
      </c>
      <c r="P146" t="inlineStr">
        <is>
          <t>Columbia University Press Morningside ed.</t>
        </is>
      </c>
      <c r="Q146" t="inlineStr">
        <is>
          <t>eng</t>
        </is>
      </c>
      <c r="R146" t="inlineStr">
        <is>
          <t>nyu</t>
        </is>
      </c>
      <c r="T146" t="inlineStr">
        <is>
          <t xml:space="preserve">KF </t>
        </is>
      </c>
      <c r="U146" t="n">
        <v>4</v>
      </c>
      <c r="V146" t="n">
        <v>4</v>
      </c>
      <c r="W146" t="inlineStr">
        <is>
          <t>2007-12-09</t>
        </is>
      </c>
      <c r="X146" t="inlineStr">
        <is>
          <t>2007-12-09</t>
        </is>
      </c>
      <c r="Y146" t="inlineStr">
        <is>
          <t>1991-12-30</t>
        </is>
      </c>
      <c r="Z146" t="inlineStr">
        <is>
          <t>1991-12-30</t>
        </is>
      </c>
      <c r="AA146" t="n">
        <v>198</v>
      </c>
      <c r="AB146" t="n">
        <v>175</v>
      </c>
      <c r="AC146" t="n">
        <v>1214</v>
      </c>
      <c r="AD146" t="n">
        <v>2</v>
      </c>
      <c r="AE146" t="n">
        <v>8</v>
      </c>
      <c r="AF146" t="n">
        <v>9</v>
      </c>
      <c r="AG146" t="n">
        <v>55</v>
      </c>
      <c r="AH146" t="n">
        <v>4</v>
      </c>
      <c r="AI146" t="n">
        <v>17</v>
      </c>
      <c r="AJ146" t="n">
        <v>2</v>
      </c>
      <c r="AK146" t="n">
        <v>10</v>
      </c>
      <c r="AL146" t="n">
        <v>5</v>
      </c>
      <c r="AM146" t="n">
        <v>18</v>
      </c>
      <c r="AN146" t="n">
        <v>1</v>
      </c>
      <c r="AO146" t="n">
        <v>6</v>
      </c>
      <c r="AP146" t="n">
        <v>1</v>
      </c>
      <c r="AQ146" t="n">
        <v>15</v>
      </c>
      <c r="AR146" t="inlineStr">
        <is>
          <t>No</t>
        </is>
      </c>
      <c r="AS146" t="inlineStr">
        <is>
          <t>No</t>
        </is>
      </c>
      <c r="AU146">
        <f>HYPERLINK("https://creighton-primo.hosted.exlibrisgroup.com/primo-explore/search?tab=default_tab&amp;search_scope=EVERYTHING&amp;vid=01CRU&amp;lang=en_US&amp;offset=0&amp;query=any,contains,991001402379702656","Catalog Record")</f>
        <v/>
      </c>
      <c r="AV146">
        <f>HYPERLINK("http://www.worldcat.org/oclc/18833153","WorldCat Record")</f>
        <v/>
      </c>
      <c r="AW146" t="inlineStr">
        <is>
          <t>1477835:eng</t>
        </is>
      </c>
      <c r="AX146" t="inlineStr">
        <is>
          <t>18833153</t>
        </is>
      </c>
      <c r="AY146" t="inlineStr">
        <is>
          <t>991001402379702656</t>
        </is>
      </c>
      <c r="AZ146" t="inlineStr">
        <is>
          <t>991001402379702656</t>
        </is>
      </c>
      <c r="BA146" t="inlineStr">
        <is>
          <t>2256264140002656</t>
        </is>
      </c>
      <c r="BB146" t="inlineStr">
        <is>
          <t>BOOK</t>
        </is>
      </c>
      <c r="BD146" t="inlineStr">
        <is>
          <t>9780231069489</t>
        </is>
      </c>
      <c r="BE146" t="inlineStr">
        <is>
          <t>32285000862432</t>
        </is>
      </c>
      <c r="BF146" t="inlineStr">
        <is>
          <t>893238104</t>
        </is>
      </c>
    </row>
    <row r="147">
      <c r="B147" t="inlineStr">
        <is>
          <t>CURAL</t>
        </is>
      </c>
      <c r="C147" t="inlineStr">
        <is>
          <t>SHELVES</t>
        </is>
      </c>
      <c r="D147" t="inlineStr">
        <is>
          <t>KF224.N4 K4</t>
        </is>
      </c>
      <c r="E147" t="inlineStr">
        <is>
          <t>0                      KF 0224000N  4                  K  4</t>
        </is>
      </c>
      <c r="F147" t="inlineStr">
        <is>
          <t>Free Huey! By Edward M. Keating.</t>
        </is>
      </c>
      <c r="H147" t="inlineStr">
        <is>
          <t>No</t>
        </is>
      </c>
      <c r="I147" t="inlineStr">
        <is>
          <t>1</t>
        </is>
      </c>
      <c r="J147" t="inlineStr">
        <is>
          <t>No</t>
        </is>
      </c>
      <c r="K147" t="inlineStr">
        <is>
          <t>No</t>
        </is>
      </c>
      <c r="L147" t="inlineStr">
        <is>
          <t>0</t>
        </is>
      </c>
      <c r="M147" t="inlineStr">
        <is>
          <t>Keating, Edward M., 1925-</t>
        </is>
      </c>
      <c r="N147" t="inlineStr">
        <is>
          <t>[Berkeley, Calif.] Ramparts Press [1971]</t>
        </is>
      </c>
      <c r="O147" t="inlineStr">
        <is>
          <t>1971</t>
        </is>
      </c>
      <c r="Q147" t="inlineStr">
        <is>
          <t>eng</t>
        </is>
      </c>
      <c r="R147" t="inlineStr">
        <is>
          <t>cau</t>
        </is>
      </c>
      <c r="T147" t="inlineStr">
        <is>
          <t xml:space="preserve">KF </t>
        </is>
      </c>
      <c r="U147" t="n">
        <v>2</v>
      </c>
      <c r="V147" t="n">
        <v>2</v>
      </c>
      <c r="W147" t="inlineStr">
        <is>
          <t>2003-04-06</t>
        </is>
      </c>
      <c r="X147" t="inlineStr">
        <is>
          <t>2003-04-06</t>
        </is>
      </c>
      <c r="Y147" t="inlineStr">
        <is>
          <t>1997-04-11</t>
        </is>
      </c>
      <c r="Z147" t="inlineStr">
        <is>
          <t>1997-04-11</t>
        </is>
      </c>
      <c r="AA147" t="n">
        <v>298</v>
      </c>
      <c r="AB147" t="n">
        <v>268</v>
      </c>
      <c r="AC147" t="n">
        <v>292</v>
      </c>
      <c r="AD147" t="n">
        <v>2</v>
      </c>
      <c r="AE147" t="n">
        <v>2</v>
      </c>
      <c r="AF147" t="n">
        <v>7</v>
      </c>
      <c r="AG147" t="n">
        <v>7</v>
      </c>
      <c r="AH147" t="n">
        <v>2</v>
      </c>
      <c r="AI147" t="n">
        <v>2</v>
      </c>
      <c r="AJ147" t="n">
        <v>1</v>
      </c>
      <c r="AK147" t="n">
        <v>1</v>
      </c>
      <c r="AL147" t="n">
        <v>2</v>
      </c>
      <c r="AM147" t="n">
        <v>2</v>
      </c>
      <c r="AN147" t="n">
        <v>1</v>
      </c>
      <c r="AO147" t="n">
        <v>1</v>
      </c>
      <c r="AP147" t="n">
        <v>1</v>
      </c>
      <c r="AQ147" t="n">
        <v>1</v>
      </c>
      <c r="AR147" t="inlineStr">
        <is>
          <t>No</t>
        </is>
      </c>
      <c r="AS147" t="inlineStr">
        <is>
          <t>Yes</t>
        </is>
      </c>
      <c r="AT147">
        <f>HYPERLINK("http://catalog.hathitrust.org/Record/000001948","HathiTrust Record")</f>
        <v/>
      </c>
      <c r="AU147">
        <f>HYPERLINK("https://creighton-primo.hosted.exlibrisgroup.com/primo-explore/search?tab=default_tab&amp;search_scope=EVERYTHING&amp;vid=01CRU&amp;lang=en_US&amp;offset=0&amp;query=any,contains,991000780889702656","Catalog Record")</f>
        <v/>
      </c>
      <c r="AV147">
        <f>HYPERLINK("http://www.worldcat.org/oclc/134889","WorldCat Record")</f>
        <v/>
      </c>
      <c r="AW147" t="inlineStr">
        <is>
          <t>538694:eng</t>
        </is>
      </c>
      <c r="AX147" t="inlineStr">
        <is>
          <t>134889</t>
        </is>
      </c>
      <c r="AY147" t="inlineStr">
        <is>
          <t>991000780889702656</t>
        </is>
      </c>
      <c r="AZ147" t="inlineStr">
        <is>
          <t>991000780889702656</t>
        </is>
      </c>
      <c r="BA147" t="inlineStr">
        <is>
          <t>2263367130002656</t>
        </is>
      </c>
      <c r="BB147" t="inlineStr">
        <is>
          <t>BOOK</t>
        </is>
      </c>
      <c r="BE147" t="inlineStr">
        <is>
          <t>32285002524014</t>
        </is>
      </c>
      <c r="BF147" t="inlineStr">
        <is>
          <t>893438591</t>
        </is>
      </c>
    </row>
    <row r="148">
      <c r="B148" t="inlineStr">
        <is>
          <t>CURAL</t>
        </is>
      </c>
      <c r="C148" t="inlineStr">
        <is>
          <t>SHELVES</t>
        </is>
      </c>
      <c r="D148" t="inlineStr">
        <is>
          <t>KF224.S2 R84 1986</t>
        </is>
      </c>
      <c r="E148" t="inlineStr">
        <is>
          <t>0                      KF 0224000S  2                  R  84          1986</t>
        </is>
      </c>
      <c r="F148" t="inlineStr">
        <is>
          <t>Sacco &amp; Vanzetti : the case resolved / by Francis Russell.</t>
        </is>
      </c>
      <c r="H148" t="inlineStr">
        <is>
          <t>No</t>
        </is>
      </c>
      <c r="I148" t="inlineStr">
        <is>
          <t>1</t>
        </is>
      </c>
      <c r="J148" t="inlineStr">
        <is>
          <t>No</t>
        </is>
      </c>
      <c r="K148" t="inlineStr">
        <is>
          <t>No</t>
        </is>
      </c>
      <c r="L148" t="inlineStr">
        <is>
          <t>0</t>
        </is>
      </c>
      <c r="M148" t="inlineStr">
        <is>
          <t>Russell, Francis, 1910-1989.</t>
        </is>
      </c>
      <c r="N148" t="inlineStr">
        <is>
          <t>New York : Harper &amp; Row, c1986.</t>
        </is>
      </c>
      <c r="O148" t="inlineStr">
        <is>
          <t>1986</t>
        </is>
      </c>
      <c r="P148" t="inlineStr">
        <is>
          <t>1st ed.</t>
        </is>
      </c>
      <c r="Q148" t="inlineStr">
        <is>
          <t>eng</t>
        </is>
      </c>
      <c r="R148" t="inlineStr">
        <is>
          <t>nyu</t>
        </is>
      </c>
      <c r="T148" t="inlineStr">
        <is>
          <t xml:space="preserve">KF </t>
        </is>
      </c>
      <c r="U148" t="n">
        <v>3</v>
      </c>
      <c r="V148" t="n">
        <v>3</v>
      </c>
      <c r="W148" t="inlineStr">
        <is>
          <t>2008-10-02</t>
        </is>
      </c>
      <c r="X148" t="inlineStr">
        <is>
          <t>2008-10-02</t>
        </is>
      </c>
      <c r="Y148" t="inlineStr">
        <is>
          <t>1990-01-29</t>
        </is>
      </c>
      <c r="Z148" t="inlineStr">
        <is>
          <t>1990-01-29</t>
        </is>
      </c>
      <c r="AA148" t="n">
        <v>904</v>
      </c>
      <c r="AB148" t="n">
        <v>868</v>
      </c>
      <c r="AC148" t="n">
        <v>874</v>
      </c>
      <c r="AD148" t="n">
        <v>4</v>
      </c>
      <c r="AE148" t="n">
        <v>4</v>
      </c>
      <c r="AF148" t="n">
        <v>32</v>
      </c>
      <c r="AG148" t="n">
        <v>32</v>
      </c>
      <c r="AH148" t="n">
        <v>8</v>
      </c>
      <c r="AI148" t="n">
        <v>8</v>
      </c>
      <c r="AJ148" t="n">
        <v>5</v>
      </c>
      <c r="AK148" t="n">
        <v>5</v>
      </c>
      <c r="AL148" t="n">
        <v>13</v>
      </c>
      <c r="AM148" t="n">
        <v>13</v>
      </c>
      <c r="AN148" t="n">
        <v>2</v>
      </c>
      <c r="AO148" t="n">
        <v>2</v>
      </c>
      <c r="AP148" t="n">
        <v>10</v>
      </c>
      <c r="AQ148" t="n">
        <v>10</v>
      </c>
      <c r="AR148" t="inlineStr">
        <is>
          <t>No</t>
        </is>
      </c>
      <c r="AS148" t="inlineStr">
        <is>
          <t>Yes</t>
        </is>
      </c>
      <c r="AT148">
        <f>HYPERLINK("http://catalog.hathitrust.org/Record/000665077","HathiTrust Record")</f>
        <v/>
      </c>
      <c r="AU148">
        <f>HYPERLINK("https://creighton-primo.hosted.exlibrisgroup.com/primo-explore/search?tab=default_tab&amp;search_scope=EVERYTHING&amp;vid=01CRU&amp;lang=en_US&amp;offset=0&amp;query=any,contains,991000738509702656","Catalog Record")</f>
        <v/>
      </c>
      <c r="AV148">
        <f>HYPERLINK("http://www.worldcat.org/oclc/12804855","WorldCat Record")</f>
        <v/>
      </c>
      <c r="AW148" t="inlineStr">
        <is>
          <t>143957460:eng</t>
        </is>
      </c>
      <c r="AX148" t="inlineStr">
        <is>
          <t>12804855</t>
        </is>
      </c>
      <c r="AY148" t="inlineStr">
        <is>
          <t>991000738509702656</t>
        </is>
      </c>
      <c r="AZ148" t="inlineStr">
        <is>
          <t>991000738509702656</t>
        </is>
      </c>
      <c r="BA148" t="inlineStr">
        <is>
          <t>2256148390002656</t>
        </is>
      </c>
      <c r="BB148" t="inlineStr">
        <is>
          <t>BOOK</t>
        </is>
      </c>
      <c r="BD148" t="inlineStr">
        <is>
          <t>9780060155247</t>
        </is>
      </c>
      <c r="BE148" t="inlineStr">
        <is>
          <t>32285000036789</t>
        </is>
      </c>
      <c r="BF148" t="inlineStr">
        <is>
          <t>893614462</t>
        </is>
      </c>
    </row>
    <row r="149">
      <c r="B149" t="inlineStr">
        <is>
          <t>CURAL</t>
        </is>
      </c>
      <c r="C149" t="inlineStr">
        <is>
          <t>SHELVES</t>
        </is>
      </c>
      <c r="D149" t="inlineStr">
        <is>
          <t>KF224.S39 R8</t>
        </is>
      </c>
      <c r="E149" t="inlineStr">
        <is>
          <t>0                      KF 0224000S  39                 R  8</t>
        </is>
      </c>
      <c r="F149" t="inlineStr">
        <is>
          <t>Tragedy in Dedham : the story of the Sacco-Vanzetti case.</t>
        </is>
      </c>
      <c r="H149" t="inlineStr">
        <is>
          <t>No</t>
        </is>
      </c>
      <c r="I149" t="inlineStr">
        <is>
          <t>1</t>
        </is>
      </c>
      <c r="J149" t="inlineStr">
        <is>
          <t>No</t>
        </is>
      </c>
      <c r="K149" t="inlineStr">
        <is>
          <t>No</t>
        </is>
      </c>
      <c r="L149" t="inlineStr">
        <is>
          <t>0</t>
        </is>
      </c>
      <c r="M149" t="inlineStr">
        <is>
          <t>Russell, Francis, 1910-1989.</t>
        </is>
      </c>
      <c r="N149" t="inlineStr">
        <is>
          <t>New York : McGraw-Hill, [1962]</t>
        </is>
      </c>
      <c r="O149" t="inlineStr">
        <is>
          <t>1962</t>
        </is>
      </c>
      <c r="Q149" t="inlineStr">
        <is>
          <t>eng</t>
        </is>
      </c>
      <c r="R149" t="inlineStr">
        <is>
          <t>nyu</t>
        </is>
      </c>
      <c r="T149" t="inlineStr">
        <is>
          <t xml:space="preserve">KF </t>
        </is>
      </c>
      <c r="U149" t="n">
        <v>3</v>
      </c>
      <c r="V149" t="n">
        <v>3</v>
      </c>
      <c r="W149" t="inlineStr">
        <is>
          <t>2008-10-02</t>
        </is>
      </c>
      <c r="X149" t="inlineStr">
        <is>
          <t>2008-10-02</t>
        </is>
      </c>
      <c r="Y149" t="inlineStr">
        <is>
          <t>1991-09-06</t>
        </is>
      </c>
      <c r="Z149" t="inlineStr">
        <is>
          <t>1991-09-06</t>
        </is>
      </c>
      <c r="AA149" t="n">
        <v>854</v>
      </c>
      <c r="AB149" t="n">
        <v>814</v>
      </c>
      <c r="AC149" t="n">
        <v>1097</v>
      </c>
      <c r="AD149" t="n">
        <v>5</v>
      </c>
      <c r="AE149" t="n">
        <v>9</v>
      </c>
      <c r="AF149" t="n">
        <v>30</v>
      </c>
      <c r="AG149" t="n">
        <v>47</v>
      </c>
      <c r="AH149" t="n">
        <v>7</v>
      </c>
      <c r="AI149" t="n">
        <v>13</v>
      </c>
      <c r="AJ149" t="n">
        <v>6</v>
      </c>
      <c r="AK149" t="n">
        <v>8</v>
      </c>
      <c r="AL149" t="n">
        <v>14</v>
      </c>
      <c r="AM149" t="n">
        <v>19</v>
      </c>
      <c r="AN149" t="n">
        <v>4</v>
      </c>
      <c r="AO149" t="n">
        <v>7</v>
      </c>
      <c r="AP149" t="n">
        <v>5</v>
      </c>
      <c r="AQ149" t="n">
        <v>9</v>
      </c>
      <c r="AR149" t="inlineStr">
        <is>
          <t>Yes</t>
        </is>
      </c>
      <c r="AS149" t="inlineStr">
        <is>
          <t>No</t>
        </is>
      </c>
      <c r="AT149">
        <f>HYPERLINK("http://catalog.hathitrust.org/Record/000852425","HathiTrust Record")</f>
        <v/>
      </c>
      <c r="AU149">
        <f>HYPERLINK("https://creighton-primo.hosted.exlibrisgroup.com/primo-explore/search?tab=default_tab&amp;search_scope=EVERYTHING&amp;vid=01CRU&amp;lang=en_US&amp;offset=0&amp;query=any,contains,991002426419702656","Catalog Record")</f>
        <v/>
      </c>
      <c r="AV149">
        <f>HYPERLINK("http://www.worldcat.org/oclc/345010","WorldCat Record")</f>
        <v/>
      </c>
      <c r="AW149" t="inlineStr">
        <is>
          <t>198491087:eng</t>
        </is>
      </c>
      <c r="AX149" t="inlineStr">
        <is>
          <t>345010</t>
        </is>
      </c>
      <c r="AY149" t="inlineStr">
        <is>
          <t>991002426419702656</t>
        </is>
      </c>
      <c r="AZ149" t="inlineStr">
        <is>
          <t>991002426419702656</t>
        </is>
      </c>
      <c r="BA149" t="inlineStr">
        <is>
          <t>2269878720002656</t>
        </is>
      </c>
      <c r="BB149" t="inlineStr">
        <is>
          <t>BOOK</t>
        </is>
      </c>
      <c r="BE149" t="inlineStr">
        <is>
          <t>32285000733922</t>
        </is>
      </c>
      <c r="BF149" t="inlineStr">
        <is>
          <t>893704061</t>
        </is>
      </c>
    </row>
    <row r="150">
      <c r="B150" t="inlineStr">
        <is>
          <t>CURAL</t>
        </is>
      </c>
      <c r="C150" t="inlineStr">
        <is>
          <t>SHELVES</t>
        </is>
      </c>
      <c r="D150" t="inlineStr">
        <is>
          <t>KF224.W33 S57</t>
        </is>
      </c>
      <c r="E150" t="inlineStr">
        <is>
          <t>0                      KF 0224000W  33                 S  57</t>
        </is>
      </c>
      <c r="F150" t="inlineStr">
        <is>
          <t>To set the record straight : the break-in, the tapes, the conspirators, the pardon / John J. Sirica.</t>
        </is>
      </c>
      <c r="H150" t="inlineStr">
        <is>
          <t>No</t>
        </is>
      </c>
      <c r="I150" t="inlineStr">
        <is>
          <t>1</t>
        </is>
      </c>
      <c r="J150" t="inlineStr">
        <is>
          <t>Yes</t>
        </is>
      </c>
      <c r="K150" t="inlineStr">
        <is>
          <t>No</t>
        </is>
      </c>
      <c r="L150" t="inlineStr">
        <is>
          <t>0</t>
        </is>
      </c>
      <c r="M150" t="inlineStr">
        <is>
          <t>Sirica, John J.</t>
        </is>
      </c>
      <c r="N150" t="inlineStr">
        <is>
          <t>New York : Norton, c1979.</t>
        </is>
      </c>
      <c r="O150" t="inlineStr">
        <is>
          <t>1979</t>
        </is>
      </c>
      <c r="P150" t="inlineStr">
        <is>
          <t>1st ed.</t>
        </is>
      </c>
      <c r="Q150" t="inlineStr">
        <is>
          <t>eng</t>
        </is>
      </c>
      <c r="R150" t="inlineStr">
        <is>
          <t>nyu</t>
        </is>
      </c>
      <c r="T150" t="inlineStr">
        <is>
          <t xml:space="preserve">KF </t>
        </is>
      </c>
      <c r="U150" t="n">
        <v>7</v>
      </c>
      <c r="V150" t="n">
        <v>8</v>
      </c>
      <c r="W150" t="inlineStr">
        <is>
          <t>2007-04-02</t>
        </is>
      </c>
      <c r="X150" t="inlineStr">
        <is>
          <t>2007-04-02</t>
        </is>
      </c>
      <c r="Y150" t="inlineStr">
        <is>
          <t>1992-06-12</t>
        </is>
      </c>
      <c r="Z150" t="inlineStr">
        <is>
          <t>1992-06-12</t>
        </is>
      </c>
      <c r="AA150" t="n">
        <v>2323</v>
      </c>
      <c r="AB150" t="n">
        <v>2198</v>
      </c>
      <c r="AC150" t="n">
        <v>2240</v>
      </c>
      <c r="AD150" t="n">
        <v>10</v>
      </c>
      <c r="AE150" t="n">
        <v>11</v>
      </c>
      <c r="AF150" t="n">
        <v>61</v>
      </c>
      <c r="AG150" t="n">
        <v>62</v>
      </c>
      <c r="AH150" t="n">
        <v>22</v>
      </c>
      <c r="AI150" t="n">
        <v>22</v>
      </c>
      <c r="AJ150" t="n">
        <v>6</v>
      </c>
      <c r="AK150" t="n">
        <v>6</v>
      </c>
      <c r="AL150" t="n">
        <v>22</v>
      </c>
      <c r="AM150" t="n">
        <v>22</v>
      </c>
      <c r="AN150" t="n">
        <v>6</v>
      </c>
      <c r="AO150" t="n">
        <v>6</v>
      </c>
      <c r="AP150" t="n">
        <v>16</v>
      </c>
      <c r="AQ150" t="n">
        <v>17</v>
      </c>
      <c r="AR150" t="inlineStr">
        <is>
          <t>No</t>
        </is>
      </c>
      <c r="AS150" t="inlineStr">
        <is>
          <t>No</t>
        </is>
      </c>
      <c r="AU150">
        <f>HYPERLINK("https://creighton-primo.hosted.exlibrisgroup.com/primo-explore/search?tab=default_tab&amp;search_scope=EVERYTHING&amp;vid=01CRU&amp;lang=en_US&amp;offset=0&amp;query=any,contains,991001799619702656","Catalog Record")</f>
        <v/>
      </c>
      <c r="AV150">
        <f>HYPERLINK("http://www.worldcat.org/oclc/4804529","WorldCat Record")</f>
        <v/>
      </c>
      <c r="AW150" t="inlineStr">
        <is>
          <t>459702:eng</t>
        </is>
      </c>
      <c r="AX150" t="inlineStr">
        <is>
          <t>4804529</t>
        </is>
      </c>
      <c r="AY150" t="inlineStr">
        <is>
          <t>991001799619702656</t>
        </is>
      </c>
      <c r="AZ150" t="inlineStr">
        <is>
          <t>991001799619702656</t>
        </is>
      </c>
      <c r="BA150" t="inlineStr">
        <is>
          <t>2270308730002656</t>
        </is>
      </c>
      <c r="BB150" t="inlineStr">
        <is>
          <t>BOOK</t>
        </is>
      </c>
      <c r="BD150" t="inlineStr">
        <is>
          <t>9780393012347</t>
        </is>
      </c>
      <c r="BE150" t="inlineStr">
        <is>
          <t>32285001172831</t>
        </is>
      </c>
      <c r="BF150" t="inlineStr">
        <is>
          <t>893503711</t>
        </is>
      </c>
    </row>
    <row r="151">
      <c r="B151" t="inlineStr">
        <is>
          <t>CURAL</t>
        </is>
      </c>
      <c r="C151" t="inlineStr">
        <is>
          <t>SHELVES</t>
        </is>
      </c>
      <c r="D151" t="inlineStr">
        <is>
          <t>KF228.S9 S39 1986</t>
        </is>
      </c>
      <c r="E151" t="inlineStr">
        <is>
          <t>0                      KF 0228000S  9                  S  39          1986</t>
        </is>
      </c>
      <c r="F151" t="inlineStr">
        <is>
          <t>Swann's way : the school busing case and the Supreme Court / Bernard Schwartz.</t>
        </is>
      </c>
      <c r="H151" t="inlineStr">
        <is>
          <t>No</t>
        </is>
      </c>
      <c r="I151" t="inlineStr">
        <is>
          <t>1</t>
        </is>
      </c>
      <c r="J151" t="inlineStr">
        <is>
          <t>Yes</t>
        </is>
      </c>
      <c r="K151" t="inlineStr">
        <is>
          <t>No</t>
        </is>
      </c>
      <c r="L151" t="inlineStr">
        <is>
          <t>0</t>
        </is>
      </c>
      <c r="M151" t="inlineStr">
        <is>
          <t>Schwartz, Bernard, 1923-1997.</t>
        </is>
      </c>
      <c r="N151" t="inlineStr">
        <is>
          <t>New York : Oxford University Press, 1986.</t>
        </is>
      </c>
      <c r="O151" t="inlineStr">
        <is>
          <t>1986</t>
        </is>
      </c>
      <c r="Q151" t="inlineStr">
        <is>
          <t>eng</t>
        </is>
      </c>
      <c r="R151" t="inlineStr">
        <is>
          <t>nyu</t>
        </is>
      </c>
      <c r="T151" t="inlineStr">
        <is>
          <t xml:space="preserve">KF </t>
        </is>
      </c>
      <c r="U151" t="n">
        <v>3</v>
      </c>
      <c r="V151" t="n">
        <v>4</v>
      </c>
      <c r="W151" t="inlineStr">
        <is>
          <t>2008-11-12</t>
        </is>
      </c>
      <c r="X151" t="inlineStr">
        <is>
          <t>2008-11-12</t>
        </is>
      </c>
      <c r="Y151" t="inlineStr">
        <is>
          <t>1992-06-12</t>
        </is>
      </c>
      <c r="Z151" t="inlineStr">
        <is>
          <t>1992-06-12</t>
        </is>
      </c>
      <c r="AA151" t="n">
        <v>1006</v>
      </c>
      <c r="AB151" t="n">
        <v>946</v>
      </c>
      <c r="AC151" t="n">
        <v>953</v>
      </c>
      <c r="AD151" t="n">
        <v>4</v>
      </c>
      <c r="AE151" t="n">
        <v>4</v>
      </c>
      <c r="AF151" t="n">
        <v>48</v>
      </c>
      <c r="AG151" t="n">
        <v>48</v>
      </c>
      <c r="AH151" t="n">
        <v>12</v>
      </c>
      <c r="AI151" t="n">
        <v>12</v>
      </c>
      <c r="AJ151" t="n">
        <v>6</v>
      </c>
      <c r="AK151" t="n">
        <v>6</v>
      </c>
      <c r="AL151" t="n">
        <v>15</v>
      </c>
      <c r="AM151" t="n">
        <v>15</v>
      </c>
      <c r="AN151" t="n">
        <v>2</v>
      </c>
      <c r="AO151" t="n">
        <v>2</v>
      </c>
      <c r="AP151" t="n">
        <v>21</v>
      </c>
      <c r="AQ151" t="n">
        <v>21</v>
      </c>
      <c r="AR151" t="inlineStr">
        <is>
          <t>No</t>
        </is>
      </c>
      <c r="AS151" t="inlineStr">
        <is>
          <t>Yes</t>
        </is>
      </c>
      <c r="AT151">
        <f>HYPERLINK("http://catalog.hathitrust.org/Record/000471579","HathiTrust Record")</f>
        <v/>
      </c>
      <c r="AU151">
        <f>HYPERLINK("https://creighton-primo.hosted.exlibrisgroup.com/primo-explore/search?tab=default_tab&amp;search_scope=EVERYTHING&amp;vid=01CRU&amp;lang=en_US&amp;offset=0&amp;query=any,contains,991001632049702656","Catalog Record")</f>
        <v/>
      </c>
      <c r="AV151">
        <f>HYPERLINK("http://www.worldcat.org/oclc/12978361","WorldCat Record")</f>
        <v/>
      </c>
      <c r="AW151" t="inlineStr">
        <is>
          <t>143260957:eng</t>
        </is>
      </c>
      <c r="AX151" t="inlineStr">
        <is>
          <t>12978361</t>
        </is>
      </c>
      <c r="AY151" t="inlineStr">
        <is>
          <t>991001632049702656</t>
        </is>
      </c>
      <c r="AZ151" t="inlineStr">
        <is>
          <t>991001632049702656</t>
        </is>
      </c>
      <c r="BA151" t="inlineStr">
        <is>
          <t>2258262280002656</t>
        </is>
      </c>
      <c r="BB151" t="inlineStr">
        <is>
          <t>BOOK</t>
        </is>
      </c>
      <c r="BD151" t="inlineStr">
        <is>
          <t>9780195038880</t>
        </is>
      </c>
      <c r="BE151" t="inlineStr">
        <is>
          <t>32285001172914</t>
        </is>
      </c>
      <c r="BF151" t="inlineStr">
        <is>
          <t>893522698</t>
        </is>
      </c>
    </row>
    <row r="152">
      <c r="B152" t="inlineStr">
        <is>
          <t>CURAL</t>
        </is>
      </c>
      <c r="C152" t="inlineStr">
        <is>
          <t>SHELVES</t>
        </is>
      </c>
      <c r="D152" t="inlineStr">
        <is>
          <t>KF27.5 .C65 1987b</t>
        </is>
      </c>
      <c r="E152" t="inlineStr">
        <is>
          <t>0                      KF 0027500C  65          1987b</t>
        </is>
      </c>
      <c r="F152" t="inlineStr">
        <is>
          <t>Taking the stand : the testimony of Lieutenant Colonel Oliver L. North / with an introduction by Daniel Schorr.</t>
        </is>
      </c>
      <c r="H152" t="inlineStr">
        <is>
          <t>No</t>
        </is>
      </c>
      <c r="I152" t="inlineStr">
        <is>
          <t>1</t>
        </is>
      </c>
      <c r="J152" t="inlineStr">
        <is>
          <t>No</t>
        </is>
      </c>
      <c r="K152" t="inlineStr">
        <is>
          <t>No</t>
        </is>
      </c>
      <c r="L152" t="inlineStr">
        <is>
          <t>0</t>
        </is>
      </c>
      <c r="M152" t="inlineStr">
        <is>
          <t>United States. Congress. House. Select Committee to Investigate Covert Arms Transactions with Iran.</t>
        </is>
      </c>
      <c r="N152" t="inlineStr">
        <is>
          <t>New York : Pocket Books, c1987.</t>
        </is>
      </c>
      <c r="O152" t="inlineStr">
        <is>
          <t>1987</t>
        </is>
      </c>
      <c r="Q152" t="inlineStr">
        <is>
          <t>eng</t>
        </is>
      </c>
      <c r="R152" t="inlineStr">
        <is>
          <t>nyu</t>
        </is>
      </c>
      <c r="T152" t="inlineStr">
        <is>
          <t xml:space="preserve">KF </t>
        </is>
      </c>
      <c r="U152" t="n">
        <v>10</v>
      </c>
      <c r="V152" t="n">
        <v>10</v>
      </c>
      <c r="W152" t="inlineStr">
        <is>
          <t>1999-04-28</t>
        </is>
      </c>
      <c r="X152" t="inlineStr">
        <is>
          <t>1999-04-28</t>
        </is>
      </c>
      <c r="Y152" t="inlineStr">
        <is>
          <t>1992-06-12</t>
        </is>
      </c>
      <c r="Z152" t="inlineStr">
        <is>
          <t>1992-06-12</t>
        </is>
      </c>
      <c r="AA152" t="n">
        <v>449</v>
      </c>
      <c r="AB152" t="n">
        <v>423</v>
      </c>
      <c r="AC152" t="n">
        <v>466</v>
      </c>
      <c r="AD152" t="n">
        <v>5</v>
      </c>
      <c r="AE152" t="n">
        <v>5</v>
      </c>
      <c r="AF152" t="n">
        <v>9</v>
      </c>
      <c r="AG152" t="n">
        <v>12</v>
      </c>
      <c r="AH152" t="n">
        <v>3</v>
      </c>
      <c r="AI152" t="n">
        <v>4</v>
      </c>
      <c r="AJ152" t="n">
        <v>1</v>
      </c>
      <c r="AK152" t="n">
        <v>2</v>
      </c>
      <c r="AL152" t="n">
        <v>5</v>
      </c>
      <c r="AM152" t="n">
        <v>6</v>
      </c>
      <c r="AN152" t="n">
        <v>1</v>
      </c>
      <c r="AO152" t="n">
        <v>1</v>
      </c>
      <c r="AP152" t="n">
        <v>2</v>
      </c>
      <c r="AQ152" t="n">
        <v>2</v>
      </c>
      <c r="AR152" t="inlineStr">
        <is>
          <t>No</t>
        </is>
      </c>
      <c r="AS152" t="inlineStr">
        <is>
          <t>Yes</t>
        </is>
      </c>
      <c r="AT152">
        <f>HYPERLINK("http://catalog.hathitrust.org/Record/000874191","HathiTrust Record")</f>
        <v/>
      </c>
      <c r="AU152">
        <f>HYPERLINK("https://creighton-primo.hosted.exlibrisgroup.com/primo-explore/search?tab=default_tab&amp;search_scope=EVERYTHING&amp;vid=01CRU&amp;lang=en_US&amp;offset=0&amp;query=any,contains,991001096329702656","Catalog Record")</f>
        <v/>
      </c>
      <c r="AV152">
        <f>HYPERLINK("http://www.worldcat.org/oclc/16269492","WorldCat Record")</f>
        <v/>
      </c>
      <c r="AW152" t="inlineStr">
        <is>
          <t>12167068:eng</t>
        </is>
      </c>
      <c r="AX152" t="inlineStr">
        <is>
          <t>16269492</t>
        </is>
      </c>
      <c r="AY152" t="inlineStr">
        <is>
          <t>991001096329702656</t>
        </is>
      </c>
      <c r="AZ152" t="inlineStr">
        <is>
          <t>991001096329702656</t>
        </is>
      </c>
      <c r="BA152" t="inlineStr">
        <is>
          <t>2261741580002656</t>
        </is>
      </c>
      <c r="BB152" t="inlineStr">
        <is>
          <t>BOOK</t>
        </is>
      </c>
      <c r="BD152" t="inlineStr">
        <is>
          <t>9780671659387</t>
        </is>
      </c>
      <c r="BE152" t="inlineStr">
        <is>
          <t>32285001172708</t>
        </is>
      </c>
      <c r="BF152" t="inlineStr">
        <is>
          <t>893334041</t>
        </is>
      </c>
    </row>
    <row r="153">
      <c r="B153" t="inlineStr">
        <is>
          <t>CURAL</t>
        </is>
      </c>
      <c r="C153" t="inlineStr">
        <is>
          <t>SHELVES</t>
        </is>
      </c>
      <c r="D153" t="inlineStr">
        <is>
          <t>KF272 .S76</t>
        </is>
      </c>
      <c r="E153" t="inlineStr">
        <is>
          <t>0                      KF 0272000S  76</t>
        </is>
      </c>
      <c r="F153" t="inlineStr">
        <is>
          <t>Handbook of law study / Ferdinand F. Stone.</t>
        </is>
      </c>
      <c r="H153" t="inlineStr">
        <is>
          <t>No</t>
        </is>
      </c>
      <c r="I153" t="inlineStr">
        <is>
          <t>1</t>
        </is>
      </c>
      <c r="J153" t="inlineStr">
        <is>
          <t>No</t>
        </is>
      </c>
      <c r="K153" t="inlineStr">
        <is>
          <t>Yes</t>
        </is>
      </c>
      <c r="L153" t="inlineStr">
        <is>
          <t>0</t>
        </is>
      </c>
      <c r="M153" t="inlineStr">
        <is>
          <t>Stone, Ferdinand F. (Ferdinand Fairfax), 1908-1989.</t>
        </is>
      </c>
      <c r="N153" t="inlineStr">
        <is>
          <t>Boston : Little, Brown and Compant, c1952.</t>
        </is>
      </c>
      <c r="O153" t="inlineStr">
        <is>
          <t>1952</t>
        </is>
      </c>
      <c r="Q153" t="inlineStr">
        <is>
          <t>eng</t>
        </is>
      </c>
      <c r="R153" t="inlineStr">
        <is>
          <t>___</t>
        </is>
      </c>
      <c r="T153" t="inlineStr">
        <is>
          <t xml:space="preserve">KF </t>
        </is>
      </c>
      <c r="U153" t="n">
        <v>8</v>
      </c>
      <c r="V153" t="n">
        <v>8</v>
      </c>
      <c r="W153" t="inlineStr">
        <is>
          <t>2008-08-05</t>
        </is>
      </c>
      <c r="X153" t="inlineStr">
        <is>
          <t>2008-08-05</t>
        </is>
      </c>
      <c r="Y153" t="inlineStr">
        <is>
          <t>1990-03-29</t>
        </is>
      </c>
      <c r="Z153" t="inlineStr">
        <is>
          <t>1990-03-29</t>
        </is>
      </c>
      <c r="AA153" t="n">
        <v>108</v>
      </c>
      <c r="AB153" t="n">
        <v>90</v>
      </c>
      <c r="AC153" t="n">
        <v>419</v>
      </c>
      <c r="AD153" t="n">
        <v>2</v>
      </c>
      <c r="AE153" t="n">
        <v>4</v>
      </c>
      <c r="AF153" t="n">
        <v>8</v>
      </c>
      <c r="AG153" t="n">
        <v>30</v>
      </c>
      <c r="AH153" t="n">
        <v>0</v>
      </c>
      <c r="AI153" t="n">
        <v>4</v>
      </c>
      <c r="AJ153" t="n">
        <v>0</v>
      </c>
      <c r="AK153" t="n">
        <v>3</v>
      </c>
      <c r="AL153" t="n">
        <v>0</v>
      </c>
      <c r="AM153" t="n">
        <v>3</v>
      </c>
      <c r="AN153" t="n">
        <v>0</v>
      </c>
      <c r="AO153" t="n">
        <v>1</v>
      </c>
      <c r="AP153" t="n">
        <v>8</v>
      </c>
      <c r="AQ153" t="n">
        <v>21</v>
      </c>
      <c r="AR153" t="inlineStr">
        <is>
          <t>Yes</t>
        </is>
      </c>
      <c r="AS153" t="inlineStr">
        <is>
          <t>No</t>
        </is>
      </c>
      <c r="AT153">
        <f>HYPERLINK("http://catalog.hathitrust.org/Record/004429952","HathiTrust Record")</f>
        <v/>
      </c>
      <c r="AU153">
        <f>HYPERLINK("https://creighton-primo.hosted.exlibrisgroup.com/primo-explore/search?tab=default_tab&amp;search_scope=EVERYTHING&amp;vid=01CRU&amp;lang=en_US&amp;offset=0&amp;query=any,contains,991003192569702656","Catalog Record")</f>
        <v/>
      </c>
      <c r="AV153">
        <f>HYPERLINK("http://www.worldcat.org/oclc/717776","WorldCat Record")</f>
        <v/>
      </c>
      <c r="AW153" t="inlineStr">
        <is>
          <t>1692536:eng</t>
        </is>
      </c>
      <c r="AX153" t="inlineStr">
        <is>
          <t>717776</t>
        </is>
      </c>
      <c r="AY153" t="inlineStr">
        <is>
          <t>991003192569702656</t>
        </is>
      </c>
      <c r="AZ153" t="inlineStr">
        <is>
          <t>991003192569702656</t>
        </is>
      </c>
      <c r="BA153" t="inlineStr">
        <is>
          <t>2258756480002656</t>
        </is>
      </c>
      <c r="BB153" t="inlineStr">
        <is>
          <t>BOOK</t>
        </is>
      </c>
      <c r="BE153" t="inlineStr">
        <is>
          <t>32285000107242</t>
        </is>
      </c>
      <c r="BF153" t="inlineStr">
        <is>
          <t>893787053</t>
        </is>
      </c>
    </row>
    <row r="154">
      <c r="B154" t="inlineStr">
        <is>
          <t>CURAL</t>
        </is>
      </c>
      <c r="C154" t="inlineStr">
        <is>
          <t>SHELVES</t>
        </is>
      </c>
      <c r="D154" t="inlineStr">
        <is>
          <t>KF272.R43 P7</t>
        </is>
      </c>
      <c r="E154" t="inlineStr">
        <is>
          <t>0                      KF 0272000R  43                 P  7</t>
        </is>
      </c>
      <c r="F154" t="inlineStr">
        <is>
          <t>Present-day law schools in the United States and Canada, by Alfred Zantzinger Reed.</t>
        </is>
      </c>
      <c r="H154" t="inlineStr">
        <is>
          <t>No</t>
        </is>
      </c>
      <c r="I154" t="inlineStr">
        <is>
          <t>1</t>
        </is>
      </c>
      <c r="J154" t="inlineStr">
        <is>
          <t>No</t>
        </is>
      </c>
      <c r="K154" t="inlineStr">
        <is>
          <t>Yes</t>
        </is>
      </c>
      <c r="L154" t="inlineStr">
        <is>
          <t>0</t>
        </is>
      </c>
      <c r="M154" t="inlineStr">
        <is>
          <t>Reed, Alfred Zantzinger, 1875-1949.</t>
        </is>
      </c>
      <c r="O154" t="inlineStr">
        <is>
          <t>1928</t>
        </is>
      </c>
      <c r="Q154" t="inlineStr">
        <is>
          <t>eng</t>
        </is>
      </c>
      <c r="R154" t="inlineStr">
        <is>
          <t>nyu</t>
        </is>
      </c>
      <c r="S154" t="inlineStr">
        <is>
          <t>Carnegie Foundation for the Advancement of Teaching. Bulletin, no. 21</t>
        </is>
      </c>
      <c r="T154" t="inlineStr">
        <is>
          <t xml:space="preserve">KF </t>
        </is>
      </c>
      <c r="U154" t="n">
        <v>1</v>
      </c>
      <c r="V154" t="n">
        <v>1</v>
      </c>
      <c r="W154" t="inlineStr">
        <is>
          <t>2006-06-09</t>
        </is>
      </c>
      <c r="X154" t="inlineStr">
        <is>
          <t>2006-06-09</t>
        </is>
      </c>
      <c r="Y154" t="inlineStr">
        <is>
          <t>1997-04-11</t>
        </is>
      </c>
      <c r="Z154" t="inlineStr">
        <is>
          <t>1997-04-11</t>
        </is>
      </c>
      <c r="AA154" t="n">
        <v>264</v>
      </c>
      <c r="AB154" t="n">
        <v>230</v>
      </c>
      <c r="AC154" t="n">
        <v>459</v>
      </c>
      <c r="AD154" t="n">
        <v>3</v>
      </c>
      <c r="AE154" t="n">
        <v>5</v>
      </c>
      <c r="AF154" t="n">
        <v>17</v>
      </c>
      <c r="AG154" t="n">
        <v>30</v>
      </c>
      <c r="AH154" t="n">
        <v>2</v>
      </c>
      <c r="AI154" t="n">
        <v>5</v>
      </c>
      <c r="AJ154" t="n">
        <v>0</v>
      </c>
      <c r="AK154" t="n">
        <v>3</v>
      </c>
      <c r="AL154" t="n">
        <v>3</v>
      </c>
      <c r="AM154" t="n">
        <v>5</v>
      </c>
      <c r="AN154" t="n">
        <v>1</v>
      </c>
      <c r="AO154" t="n">
        <v>2</v>
      </c>
      <c r="AP154" t="n">
        <v>11</v>
      </c>
      <c r="AQ154" t="n">
        <v>17</v>
      </c>
      <c r="AR154" t="inlineStr">
        <is>
          <t>No</t>
        </is>
      </c>
      <c r="AS154" t="inlineStr">
        <is>
          <t>No</t>
        </is>
      </c>
      <c r="AU154">
        <f>HYPERLINK("https://creighton-primo.hosted.exlibrisgroup.com/primo-explore/search?tab=default_tab&amp;search_scope=EVERYTHING&amp;vid=01CRU&amp;lang=en_US&amp;offset=0&amp;query=any,contains,991000945519702656","Catalog Record")</f>
        <v/>
      </c>
      <c r="AV154">
        <f>HYPERLINK("http://www.worldcat.org/oclc/167016","WorldCat Record")</f>
        <v/>
      </c>
      <c r="AW154" t="inlineStr">
        <is>
          <t>1286418:eng</t>
        </is>
      </c>
      <c r="AX154" t="inlineStr">
        <is>
          <t>167016</t>
        </is>
      </c>
      <c r="AY154" t="inlineStr">
        <is>
          <t>991000945519702656</t>
        </is>
      </c>
      <c r="AZ154" t="inlineStr">
        <is>
          <t>991000945519702656</t>
        </is>
      </c>
      <c r="BA154" t="inlineStr">
        <is>
          <t>2272399030002656</t>
        </is>
      </c>
      <c r="BB154" t="inlineStr">
        <is>
          <t>BOOK</t>
        </is>
      </c>
      <c r="BE154" t="inlineStr">
        <is>
          <t>32285002524196</t>
        </is>
      </c>
      <c r="BF154" t="inlineStr">
        <is>
          <t>893797156</t>
        </is>
      </c>
    </row>
    <row r="155">
      <c r="B155" t="inlineStr">
        <is>
          <t>CURAL</t>
        </is>
      </c>
      <c r="C155" t="inlineStr">
        <is>
          <t>SHELVES</t>
        </is>
      </c>
      <c r="D155" t="inlineStr">
        <is>
          <t>KF273 .N97 1997</t>
        </is>
      </c>
      <c r="E155" t="inlineStr">
        <is>
          <t>0                      KF 0273000N  97          1997</t>
        </is>
      </c>
      <c r="F155" t="inlineStr">
        <is>
          <t>Starting off right in law school / Carolyn J. Nygren.</t>
        </is>
      </c>
      <c r="H155" t="inlineStr">
        <is>
          <t>No</t>
        </is>
      </c>
      <c r="I155" t="inlineStr">
        <is>
          <t>1</t>
        </is>
      </c>
      <c r="J155" t="inlineStr">
        <is>
          <t>No</t>
        </is>
      </c>
      <c r="K155" t="inlineStr">
        <is>
          <t>No</t>
        </is>
      </c>
      <c r="L155" t="inlineStr">
        <is>
          <t>0</t>
        </is>
      </c>
      <c r="M155" t="inlineStr">
        <is>
          <t>Nygren, Carolyn, 1942-</t>
        </is>
      </c>
      <c r="N155" t="inlineStr">
        <is>
          <t>Durham, N.C. : Carolina Academic Press, c1997.</t>
        </is>
      </c>
      <c r="O155" t="inlineStr">
        <is>
          <t>1997</t>
        </is>
      </c>
      <c r="Q155" t="inlineStr">
        <is>
          <t>eng</t>
        </is>
      </c>
      <c r="R155" t="inlineStr">
        <is>
          <t>ncu</t>
        </is>
      </c>
      <c r="T155" t="inlineStr">
        <is>
          <t xml:space="preserve">KF </t>
        </is>
      </c>
      <c r="U155" t="n">
        <v>3</v>
      </c>
      <c r="V155" t="n">
        <v>3</v>
      </c>
      <c r="W155" t="inlineStr">
        <is>
          <t>2010-05-24</t>
        </is>
      </c>
      <c r="X155" t="inlineStr">
        <is>
          <t>2010-05-24</t>
        </is>
      </c>
      <c r="Y155" t="inlineStr">
        <is>
          <t>2010-05-24</t>
        </is>
      </c>
      <c r="Z155" t="inlineStr">
        <is>
          <t>2010-05-24</t>
        </is>
      </c>
      <c r="AA155" t="n">
        <v>206</v>
      </c>
      <c r="AB155" t="n">
        <v>201</v>
      </c>
      <c r="AC155" t="n">
        <v>245</v>
      </c>
      <c r="AD155" t="n">
        <v>2</v>
      </c>
      <c r="AE155" t="n">
        <v>2</v>
      </c>
      <c r="AF155" t="n">
        <v>20</v>
      </c>
      <c r="AG155" t="n">
        <v>26</v>
      </c>
      <c r="AH155" t="n">
        <v>3</v>
      </c>
      <c r="AI155" t="n">
        <v>3</v>
      </c>
      <c r="AJ155" t="n">
        <v>1</v>
      </c>
      <c r="AK155" t="n">
        <v>1</v>
      </c>
      <c r="AL155" t="n">
        <v>0</v>
      </c>
      <c r="AM155" t="n">
        <v>1</v>
      </c>
      <c r="AN155" t="n">
        <v>0</v>
      </c>
      <c r="AO155" t="n">
        <v>0</v>
      </c>
      <c r="AP155" t="n">
        <v>17</v>
      </c>
      <c r="AQ155" t="n">
        <v>22</v>
      </c>
      <c r="AR155" t="inlineStr">
        <is>
          <t>No</t>
        </is>
      </c>
      <c r="AS155" t="inlineStr">
        <is>
          <t>No</t>
        </is>
      </c>
      <c r="AU155">
        <f>HYPERLINK("https://creighton-primo.hosted.exlibrisgroup.com/primo-explore/search?tab=default_tab&amp;search_scope=EVERYTHING&amp;vid=01CRU&amp;lang=en_US&amp;offset=0&amp;query=any,contains,991005397459702656","Catalog Record")</f>
        <v/>
      </c>
      <c r="AV155">
        <f>HYPERLINK("http://www.worldcat.org/oclc/36663043","WorldCat Record")</f>
        <v/>
      </c>
      <c r="AW155" t="inlineStr">
        <is>
          <t>648811:eng</t>
        </is>
      </c>
      <c r="AX155" t="inlineStr">
        <is>
          <t>36663043</t>
        </is>
      </c>
      <c r="AY155" t="inlineStr">
        <is>
          <t>991005397459702656</t>
        </is>
      </c>
      <c r="AZ155" t="inlineStr">
        <is>
          <t>991005397459702656</t>
        </is>
      </c>
      <c r="BA155" t="inlineStr">
        <is>
          <t>2260580450002656</t>
        </is>
      </c>
      <c r="BB155" t="inlineStr">
        <is>
          <t>BOOK</t>
        </is>
      </c>
      <c r="BD155" t="inlineStr">
        <is>
          <t>9780890898772</t>
        </is>
      </c>
      <c r="BE155" t="inlineStr">
        <is>
          <t>32285005585517</t>
        </is>
      </c>
      <c r="BF155" t="inlineStr">
        <is>
          <t>893254945</t>
        </is>
      </c>
    </row>
    <row r="156">
      <c r="B156" t="inlineStr">
        <is>
          <t>CURAL</t>
        </is>
      </c>
      <c r="C156" t="inlineStr">
        <is>
          <t>SHELVES</t>
        </is>
      </c>
      <c r="D156" t="inlineStr">
        <is>
          <t>KF2750 .M38 1983</t>
        </is>
      </c>
      <c r="E156" t="inlineStr">
        <is>
          <t>0                      KF 2750000M  38          1983</t>
        </is>
      </c>
      <c r="F156" t="inlineStr">
        <is>
          <t>Media abuses : rights and remedies : a guide to legal remedies / with a foreword by Leonard J. Theberge.</t>
        </is>
      </c>
      <c r="H156" t="inlineStr">
        <is>
          <t>No</t>
        </is>
      </c>
      <c r="I156" t="inlineStr">
        <is>
          <t>1</t>
        </is>
      </c>
      <c r="J156" t="inlineStr">
        <is>
          <t>No</t>
        </is>
      </c>
      <c r="K156" t="inlineStr">
        <is>
          <t>No</t>
        </is>
      </c>
      <c r="L156" t="inlineStr">
        <is>
          <t>0</t>
        </is>
      </c>
      <c r="N156" t="inlineStr">
        <is>
          <t>Washington, D.C. : Media Institute, c1983.</t>
        </is>
      </c>
      <c r="O156" t="inlineStr">
        <is>
          <t>1983</t>
        </is>
      </c>
      <c r="Q156" t="inlineStr">
        <is>
          <t>eng</t>
        </is>
      </c>
      <c r="R156" t="inlineStr">
        <is>
          <t>dcu</t>
        </is>
      </c>
      <c r="T156" t="inlineStr">
        <is>
          <t xml:space="preserve">KF </t>
        </is>
      </c>
      <c r="U156" t="n">
        <v>13</v>
      </c>
      <c r="V156" t="n">
        <v>13</v>
      </c>
      <c r="W156" t="inlineStr">
        <is>
          <t>2000-11-10</t>
        </is>
      </c>
      <c r="X156" t="inlineStr">
        <is>
          <t>2000-11-10</t>
        </is>
      </c>
      <c r="Y156" t="inlineStr">
        <is>
          <t>1992-06-24</t>
        </is>
      </c>
      <c r="Z156" t="inlineStr">
        <is>
          <t>1992-06-24</t>
        </is>
      </c>
      <c r="AA156" t="n">
        <v>218</v>
      </c>
      <c r="AB156" t="n">
        <v>208</v>
      </c>
      <c r="AC156" t="n">
        <v>208</v>
      </c>
      <c r="AD156" t="n">
        <v>4</v>
      </c>
      <c r="AE156" t="n">
        <v>4</v>
      </c>
      <c r="AF156" t="n">
        <v>17</v>
      </c>
      <c r="AG156" t="n">
        <v>17</v>
      </c>
      <c r="AH156" t="n">
        <v>5</v>
      </c>
      <c r="AI156" t="n">
        <v>5</v>
      </c>
      <c r="AJ156" t="n">
        <v>0</v>
      </c>
      <c r="AK156" t="n">
        <v>0</v>
      </c>
      <c r="AL156" t="n">
        <v>3</v>
      </c>
      <c r="AM156" t="n">
        <v>3</v>
      </c>
      <c r="AN156" t="n">
        <v>2</v>
      </c>
      <c r="AO156" t="n">
        <v>2</v>
      </c>
      <c r="AP156" t="n">
        <v>8</v>
      </c>
      <c r="AQ156" t="n">
        <v>8</v>
      </c>
      <c r="AR156" t="inlineStr">
        <is>
          <t>No</t>
        </is>
      </c>
      <c r="AS156" t="inlineStr">
        <is>
          <t>No</t>
        </is>
      </c>
      <c r="AU156">
        <f>HYPERLINK("https://creighton-primo.hosted.exlibrisgroup.com/primo-explore/search?tab=default_tab&amp;search_scope=EVERYTHING&amp;vid=01CRU&amp;lang=en_US&amp;offset=0&amp;query=any,contains,991000329889702656","Catalog Record")</f>
        <v/>
      </c>
      <c r="AV156">
        <f>HYPERLINK("http://www.worldcat.org/oclc/10190297","WorldCat Record")</f>
        <v/>
      </c>
      <c r="AW156" t="inlineStr">
        <is>
          <t>1780195495:eng</t>
        </is>
      </c>
      <c r="AX156" t="inlineStr">
        <is>
          <t>10190297</t>
        </is>
      </c>
      <c r="AY156" t="inlineStr">
        <is>
          <t>991000329889702656</t>
        </is>
      </c>
      <c r="AZ156" t="inlineStr">
        <is>
          <t>991000329889702656</t>
        </is>
      </c>
      <c r="BA156" t="inlineStr">
        <is>
          <t>2264784270002656</t>
        </is>
      </c>
      <c r="BB156" t="inlineStr">
        <is>
          <t>BOOK</t>
        </is>
      </c>
      <c r="BD156" t="inlineStr">
        <is>
          <t>9780937790205</t>
        </is>
      </c>
      <c r="BE156" t="inlineStr">
        <is>
          <t>32285001175214</t>
        </is>
      </c>
      <c r="BF156" t="inlineStr">
        <is>
          <t>893714495</t>
        </is>
      </c>
    </row>
    <row r="157">
      <c r="B157" t="inlineStr">
        <is>
          <t>CURAL</t>
        </is>
      </c>
      <c r="C157" t="inlineStr">
        <is>
          <t>SHELVES</t>
        </is>
      </c>
      <c r="D157" t="inlineStr">
        <is>
          <t>KF2750 .N4 1989</t>
        </is>
      </c>
      <c r="E157" t="inlineStr">
        <is>
          <t>0                      KF 2750000N  4           1989</t>
        </is>
      </c>
      <c r="F157" t="inlineStr">
        <is>
          <t>Law of mass communications : freedom and control of print and broadcast media / by Harold L. Nelson, Dwight L. Teeter, Jr., Don R. Le Duc.</t>
        </is>
      </c>
      <c r="H157" t="inlineStr">
        <is>
          <t>No</t>
        </is>
      </c>
      <c r="I157" t="inlineStr">
        <is>
          <t>1</t>
        </is>
      </c>
      <c r="J157" t="inlineStr">
        <is>
          <t>No</t>
        </is>
      </c>
      <c r="K157" t="inlineStr">
        <is>
          <t>No</t>
        </is>
      </c>
      <c r="L157" t="inlineStr">
        <is>
          <t>0</t>
        </is>
      </c>
      <c r="M157" t="inlineStr">
        <is>
          <t>Nelson, Harold L. (Harold Lewis)</t>
        </is>
      </c>
      <c r="N157" t="inlineStr">
        <is>
          <t>Westbury, N.Y. : Foundation Press, 1989.</t>
        </is>
      </c>
      <c r="O157" t="inlineStr">
        <is>
          <t>1989</t>
        </is>
      </c>
      <c r="P157" t="inlineStr">
        <is>
          <t>6th ed.</t>
        </is>
      </c>
      <c r="Q157" t="inlineStr">
        <is>
          <t>eng</t>
        </is>
      </c>
      <c r="R157" t="inlineStr">
        <is>
          <t>nyu</t>
        </is>
      </c>
      <c r="T157" t="inlineStr">
        <is>
          <t xml:space="preserve">KF </t>
        </is>
      </c>
      <c r="U157" t="n">
        <v>4</v>
      </c>
      <c r="V157" t="n">
        <v>4</v>
      </c>
      <c r="W157" t="inlineStr">
        <is>
          <t>2005-12-12</t>
        </is>
      </c>
      <c r="X157" t="inlineStr">
        <is>
          <t>2005-12-12</t>
        </is>
      </c>
      <c r="Y157" t="inlineStr">
        <is>
          <t>1990-09-24</t>
        </is>
      </c>
      <c r="Z157" t="inlineStr">
        <is>
          <t>1990-09-24</t>
        </is>
      </c>
      <c r="AA157" t="n">
        <v>177</v>
      </c>
      <c r="AB157" t="n">
        <v>146</v>
      </c>
      <c r="AC157" t="n">
        <v>563</v>
      </c>
      <c r="AD157" t="n">
        <v>2</v>
      </c>
      <c r="AE157" t="n">
        <v>9</v>
      </c>
      <c r="AF157" t="n">
        <v>9</v>
      </c>
      <c r="AG157" t="n">
        <v>36</v>
      </c>
      <c r="AH157" t="n">
        <v>1</v>
      </c>
      <c r="AI157" t="n">
        <v>6</v>
      </c>
      <c r="AJ157" t="n">
        <v>1</v>
      </c>
      <c r="AK157" t="n">
        <v>2</v>
      </c>
      <c r="AL157" t="n">
        <v>2</v>
      </c>
      <c r="AM157" t="n">
        <v>9</v>
      </c>
      <c r="AN157" t="n">
        <v>1</v>
      </c>
      <c r="AO157" t="n">
        <v>5</v>
      </c>
      <c r="AP157" t="n">
        <v>5</v>
      </c>
      <c r="AQ157" t="n">
        <v>17</v>
      </c>
      <c r="AR157" t="inlineStr">
        <is>
          <t>No</t>
        </is>
      </c>
      <c r="AS157" t="inlineStr">
        <is>
          <t>Yes</t>
        </is>
      </c>
      <c r="AT157">
        <f>HYPERLINK("http://catalog.hathitrust.org/Record/011353754","HathiTrust Record")</f>
        <v/>
      </c>
      <c r="AU157">
        <f>HYPERLINK("https://creighton-primo.hosted.exlibrisgroup.com/primo-explore/search?tab=default_tab&amp;search_scope=EVERYTHING&amp;vid=01CRU&amp;lang=en_US&amp;offset=0&amp;query=any,contains,991001468309702656","Catalog Record")</f>
        <v/>
      </c>
      <c r="AV157">
        <f>HYPERLINK("http://www.worldcat.org/oclc/19516367","WorldCat Record")</f>
        <v/>
      </c>
      <c r="AW157" t="inlineStr">
        <is>
          <t>796419430:eng</t>
        </is>
      </c>
      <c r="AX157" t="inlineStr">
        <is>
          <t>19516367</t>
        </is>
      </c>
      <c r="AY157" t="inlineStr">
        <is>
          <t>991001468309702656</t>
        </is>
      </c>
      <c r="AZ157" t="inlineStr">
        <is>
          <t>991001468309702656</t>
        </is>
      </c>
      <c r="BA157" t="inlineStr">
        <is>
          <t>2258351480002656</t>
        </is>
      </c>
      <c r="BB157" t="inlineStr">
        <is>
          <t>BOOK</t>
        </is>
      </c>
      <c r="BD157" t="inlineStr">
        <is>
          <t>9780882777153</t>
        </is>
      </c>
      <c r="BE157" t="inlineStr">
        <is>
          <t>32285000277854</t>
        </is>
      </c>
      <c r="BF157" t="inlineStr">
        <is>
          <t>893250263</t>
        </is>
      </c>
    </row>
    <row r="158">
      <c r="B158" t="inlineStr">
        <is>
          <t>CURAL</t>
        </is>
      </c>
      <c r="C158" t="inlineStr">
        <is>
          <t>SHELVES</t>
        </is>
      </c>
      <c r="D158" t="inlineStr">
        <is>
          <t>KF2750 .Z9S63</t>
        </is>
      </c>
      <c r="E158" t="inlineStr">
        <is>
          <t>0                      KF 2750000Z  9                  S  63</t>
        </is>
      </c>
      <c r="F158" t="inlineStr">
        <is>
          <t>Law for the newsman [by] Dale R. Spencer.</t>
        </is>
      </c>
      <c r="H158" t="inlineStr">
        <is>
          <t>No</t>
        </is>
      </c>
      <c r="I158" t="inlineStr">
        <is>
          <t>1</t>
        </is>
      </c>
      <c r="J158" t="inlineStr">
        <is>
          <t>No</t>
        </is>
      </c>
      <c r="K158" t="inlineStr">
        <is>
          <t>No</t>
        </is>
      </c>
      <c r="L158" t="inlineStr">
        <is>
          <t>0</t>
        </is>
      </c>
      <c r="M158" t="inlineStr">
        <is>
          <t>Spencer, Dale R.</t>
        </is>
      </c>
      <c r="N158" t="inlineStr">
        <is>
          <t>Columbia, Mo., Lucas Bros. [1971]</t>
        </is>
      </c>
      <c r="O158" t="inlineStr">
        <is>
          <t>1971</t>
        </is>
      </c>
      <c r="Q158" t="inlineStr">
        <is>
          <t>eng</t>
        </is>
      </c>
      <c r="R158" t="inlineStr">
        <is>
          <t>mou</t>
        </is>
      </c>
      <c r="T158" t="inlineStr">
        <is>
          <t xml:space="preserve">KF </t>
        </is>
      </c>
      <c r="U158" t="n">
        <v>1</v>
      </c>
      <c r="V158" t="n">
        <v>1</v>
      </c>
      <c r="W158" t="inlineStr">
        <is>
          <t>2010-05-03</t>
        </is>
      </c>
      <c r="X158" t="inlineStr">
        <is>
          <t>2010-05-03</t>
        </is>
      </c>
      <c r="Y158" t="inlineStr">
        <is>
          <t>1992-02-25</t>
        </is>
      </c>
      <c r="Z158" t="inlineStr">
        <is>
          <t>1992-02-25</t>
        </is>
      </c>
      <c r="AA158" t="n">
        <v>70</v>
      </c>
      <c r="AB158" t="n">
        <v>66</v>
      </c>
      <c r="AC158" t="n">
        <v>138</v>
      </c>
      <c r="AD158" t="n">
        <v>1</v>
      </c>
      <c r="AE158" t="n">
        <v>2</v>
      </c>
      <c r="AF158" t="n">
        <v>2</v>
      </c>
      <c r="AG158" t="n">
        <v>11</v>
      </c>
      <c r="AH158" t="n">
        <v>0</v>
      </c>
      <c r="AI158" t="n">
        <v>1</v>
      </c>
      <c r="AJ158" t="n">
        <v>0</v>
      </c>
      <c r="AK158" t="n">
        <v>1</v>
      </c>
      <c r="AL158" t="n">
        <v>0</v>
      </c>
      <c r="AM158" t="n">
        <v>2</v>
      </c>
      <c r="AN158" t="n">
        <v>0</v>
      </c>
      <c r="AO158" t="n">
        <v>1</v>
      </c>
      <c r="AP158" t="n">
        <v>2</v>
      </c>
      <c r="AQ158" t="n">
        <v>7</v>
      </c>
      <c r="AR158" t="inlineStr">
        <is>
          <t>No</t>
        </is>
      </c>
      <c r="AS158" t="inlineStr">
        <is>
          <t>No</t>
        </is>
      </c>
      <c r="AU158">
        <f>HYPERLINK("https://creighton-primo.hosted.exlibrisgroup.com/primo-explore/search?tab=default_tab&amp;search_scope=EVERYTHING&amp;vid=01CRU&amp;lang=en_US&amp;offset=0&amp;query=any,contains,991002228199702656","Catalog Record")</f>
        <v/>
      </c>
      <c r="AV158">
        <f>HYPERLINK("http://www.worldcat.org/oclc/292530","WorldCat Record")</f>
        <v/>
      </c>
      <c r="AW158" t="inlineStr">
        <is>
          <t>1479118:eng</t>
        </is>
      </c>
      <c r="AX158" t="inlineStr">
        <is>
          <t>292530</t>
        </is>
      </c>
      <c r="AY158" t="inlineStr">
        <is>
          <t>991002228199702656</t>
        </is>
      </c>
      <c r="AZ158" t="inlineStr">
        <is>
          <t>991002228199702656</t>
        </is>
      </c>
      <c r="BA158" t="inlineStr">
        <is>
          <t>2265428460002656</t>
        </is>
      </c>
      <c r="BB158" t="inlineStr">
        <is>
          <t>BOOK</t>
        </is>
      </c>
      <c r="BD158" t="inlineStr">
        <is>
          <t>9780875430713</t>
        </is>
      </c>
      <c r="BE158" t="inlineStr">
        <is>
          <t>32285000983071</t>
        </is>
      </c>
      <c r="BF158" t="inlineStr">
        <is>
          <t>893226598</t>
        </is>
      </c>
    </row>
    <row r="159">
      <c r="B159" t="inlineStr">
        <is>
          <t>CURAL</t>
        </is>
      </c>
      <c r="C159" t="inlineStr">
        <is>
          <t>SHELVES</t>
        </is>
      </c>
      <c r="D159" t="inlineStr">
        <is>
          <t>KF2750.A59 C36 1990</t>
        </is>
      </c>
      <c r="E159" t="inlineStr">
        <is>
          <t>0                      KF 2750000A  59                 C  36          1990</t>
        </is>
      </c>
      <c r="F159" t="inlineStr">
        <is>
          <t>The Supreme Court and the mass media : selected cases, summaries, and analyses / Douglas S. Campbell.</t>
        </is>
      </c>
      <c r="H159" t="inlineStr">
        <is>
          <t>No</t>
        </is>
      </c>
      <c r="I159" t="inlineStr">
        <is>
          <t>1</t>
        </is>
      </c>
      <c r="J159" t="inlineStr">
        <is>
          <t>No</t>
        </is>
      </c>
      <c r="K159" t="inlineStr">
        <is>
          <t>No</t>
        </is>
      </c>
      <c r="L159" t="inlineStr">
        <is>
          <t>0</t>
        </is>
      </c>
      <c r="M159" t="inlineStr">
        <is>
          <t>Campbell, Douglas S.</t>
        </is>
      </c>
      <c r="N159" t="inlineStr">
        <is>
          <t>New York : Praeger, 1990.</t>
        </is>
      </c>
      <c r="O159" t="inlineStr">
        <is>
          <t>1990</t>
        </is>
      </c>
      <c r="Q159" t="inlineStr">
        <is>
          <t>eng</t>
        </is>
      </c>
      <c r="R159" t="inlineStr">
        <is>
          <t>nyu</t>
        </is>
      </c>
      <c r="T159" t="inlineStr">
        <is>
          <t xml:space="preserve">KF </t>
        </is>
      </c>
      <c r="U159" t="n">
        <v>3</v>
      </c>
      <c r="V159" t="n">
        <v>3</v>
      </c>
      <c r="W159" t="inlineStr">
        <is>
          <t>2003-03-02</t>
        </is>
      </c>
      <c r="X159" t="inlineStr">
        <is>
          <t>2003-03-02</t>
        </is>
      </c>
      <c r="Y159" t="inlineStr">
        <is>
          <t>1990-10-17</t>
        </is>
      </c>
      <c r="Z159" t="inlineStr">
        <is>
          <t>1990-10-17</t>
        </is>
      </c>
      <c r="AA159" t="n">
        <v>588</v>
      </c>
      <c r="AB159" t="n">
        <v>540</v>
      </c>
      <c r="AC159" t="n">
        <v>553</v>
      </c>
      <c r="AD159" t="n">
        <v>4</v>
      </c>
      <c r="AE159" t="n">
        <v>4</v>
      </c>
      <c r="AF159" t="n">
        <v>32</v>
      </c>
      <c r="AG159" t="n">
        <v>33</v>
      </c>
      <c r="AH159" t="n">
        <v>11</v>
      </c>
      <c r="AI159" t="n">
        <v>11</v>
      </c>
      <c r="AJ159" t="n">
        <v>5</v>
      </c>
      <c r="AK159" t="n">
        <v>5</v>
      </c>
      <c r="AL159" t="n">
        <v>11</v>
      </c>
      <c r="AM159" t="n">
        <v>11</v>
      </c>
      <c r="AN159" t="n">
        <v>3</v>
      </c>
      <c r="AO159" t="n">
        <v>3</v>
      </c>
      <c r="AP159" t="n">
        <v>8</v>
      </c>
      <c r="AQ159" t="n">
        <v>9</v>
      </c>
      <c r="AR159" t="inlineStr">
        <is>
          <t>No</t>
        </is>
      </c>
      <c r="AS159" t="inlineStr">
        <is>
          <t>Yes</t>
        </is>
      </c>
      <c r="AT159">
        <f>HYPERLINK("http://catalog.hathitrust.org/Record/002182296","HathiTrust Record")</f>
        <v/>
      </c>
      <c r="AU159">
        <f>HYPERLINK("https://creighton-primo.hosted.exlibrisgroup.com/primo-explore/search?tab=default_tab&amp;search_scope=EVERYTHING&amp;vid=01CRU&amp;lang=en_US&amp;offset=0&amp;query=any,contains,991001604019702656","Catalog Record")</f>
        <v/>
      </c>
      <c r="AV159">
        <f>HYPERLINK("http://www.worldcat.org/oclc/20690322","WorldCat Record")</f>
        <v/>
      </c>
      <c r="AW159" t="inlineStr">
        <is>
          <t>365983212:eng</t>
        </is>
      </c>
      <c r="AX159" t="inlineStr">
        <is>
          <t>20690322</t>
        </is>
      </c>
      <c r="AY159" t="inlineStr">
        <is>
          <t>991001604019702656</t>
        </is>
      </c>
      <c r="AZ159" t="inlineStr">
        <is>
          <t>991001604019702656</t>
        </is>
      </c>
      <c r="BA159" t="inlineStr">
        <is>
          <t>2258009990002656</t>
        </is>
      </c>
      <c r="BB159" t="inlineStr">
        <is>
          <t>BOOK</t>
        </is>
      </c>
      <c r="BD159" t="inlineStr">
        <is>
          <t>9780275935498</t>
        </is>
      </c>
      <c r="BE159" t="inlineStr">
        <is>
          <t>32285000311455</t>
        </is>
      </c>
      <c r="BF159" t="inlineStr">
        <is>
          <t>893529039</t>
        </is>
      </c>
    </row>
    <row r="160">
      <c r="B160" t="inlineStr">
        <is>
          <t>CURAL</t>
        </is>
      </c>
      <c r="C160" t="inlineStr">
        <is>
          <t>SHELVES</t>
        </is>
      </c>
      <c r="D160" t="inlineStr">
        <is>
          <t>KF2750.Z95 F56 1984</t>
        </is>
      </c>
      <c r="E160" t="inlineStr">
        <is>
          <t>0                      KF 2750000Z  95                 F  56          1984</t>
        </is>
      </c>
      <c r="F160" t="inlineStr">
        <is>
          <t>Law &amp; the media in the midwest : a seven-state handbook covering Illinois, Iowa, Minnesota, Nebraska, North Dakota, South Dakota, and Wisconsin / John R. Finnegan, Sr., Patricia A. Hirl.</t>
        </is>
      </c>
      <c r="H160" t="inlineStr">
        <is>
          <t>No</t>
        </is>
      </c>
      <c r="I160" t="inlineStr">
        <is>
          <t>1</t>
        </is>
      </c>
      <c r="J160" t="inlineStr">
        <is>
          <t>Yes</t>
        </is>
      </c>
      <c r="K160" t="inlineStr">
        <is>
          <t>No</t>
        </is>
      </c>
      <c r="L160" t="inlineStr">
        <is>
          <t>0</t>
        </is>
      </c>
      <c r="M160" t="inlineStr">
        <is>
          <t>Finnegan, John R.</t>
        </is>
      </c>
      <c r="N160" t="inlineStr">
        <is>
          <t>St. Paul, Minn. : Butterworth Legal Publishers, c1984.</t>
        </is>
      </c>
      <c r="O160" t="inlineStr">
        <is>
          <t>1984</t>
        </is>
      </c>
      <c r="Q160" t="inlineStr">
        <is>
          <t>eng</t>
        </is>
      </c>
      <c r="R160" t="inlineStr">
        <is>
          <t>mnu</t>
        </is>
      </c>
      <c r="T160" t="inlineStr">
        <is>
          <t xml:space="preserve">KF </t>
        </is>
      </c>
      <c r="U160" t="n">
        <v>5</v>
      </c>
      <c r="V160" t="n">
        <v>8</v>
      </c>
      <c r="W160" t="inlineStr">
        <is>
          <t>2005-12-12</t>
        </is>
      </c>
      <c r="X160" t="inlineStr">
        <is>
          <t>2005-12-12</t>
        </is>
      </c>
      <c r="Y160" t="inlineStr">
        <is>
          <t>1990-07-30</t>
        </is>
      </c>
      <c r="Z160" t="inlineStr">
        <is>
          <t>1991-05-20</t>
        </is>
      </c>
      <c r="AA160" t="n">
        <v>81</v>
      </c>
      <c r="AB160" t="n">
        <v>81</v>
      </c>
      <c r="AC160" t="n">
        <v>82</v>
      </c>
      <c r="AD160" t="n">
        <v>6</v>
      </c>
      <c r="AE160" t="n">
        <v>6</v>
      </c>
      <c r="AF160" t="n">
        <v>12</v>
      </c>
      <c r="AG160" t="n">
        <v>12</v>
      </c>
      <c r="AH160" t="n">
        <v>2</v>
      </c>
      <c r="AI160" t="n">
        <v>2</v>
      </c>
      <c r="AJ160" t="n">
        <v>0</v>
      </c>
      <c r="AK160" t="n">
        <v>0</v>
      </c>
      <c r="AL160" t="n">
        <v>1</v>
      </c>
      <c r="AM160" t="n">
        <v>1</v>
      </c>
      <c r="AN160" t="n">
        <v>2</v>
      </c>
      <c r="AO160" t="n">
        <v>2</v>
      </c>
      <c r="AP160" t="n">
        <v>8</v>
      </c>
      <c r="AQ160" t="n">
        <v>8</v>
      </c>
      <c r="AR160" t="inlineStr">
        <is>
          <t>No</t>
        </is>
      </c>
      <c r="AS160" t="inlineStr">
        <is>
          <t>Yes</t>
        </is>
      </c>
      <c r="AT160">
        <f>HYPERLINK("http://catalog.hathitrust.org/Record/007550967","HathiTrust Record")</f>
        <v/>
      </c>
      <c r="AU160">
        <f>HYPERLINK("https://creighton-primo.hosted.exlibrisgroup.com/primo-explore/search?tab=default_tab&amp;search_scope=EVERYTHING&amp;vid=01CRU&amp;lang=en_US&amp;offset=0&amp;query=any,contains,991001629309702656","Catalog Record")</f>
        <v/>
      </c>
      <c r="AV160">
        <f>HYPERLINK("http://www.worldcat.org/oclc/11546789","WorldCat Record")</f>
        <v/>
      </c>
      <c r="AW160" t="inlineStr">
        <is>
          <t>1781732249:eng</t>
        </is>
      </c>
      <c r="AX160" t="inlineStr">
        <is>
          <t>11546789</t>
        </is>
      </c>
      <c r="AY160" t="inlineStr">
        <is>
          <t>991001629309702656</t>
        </is>
      </c>
      <c r="AZ160" t="inlineStr">
        <is>
          <t>991001629309702656</t>
        </is>
      </c>
      <c r="BA160" t="inlineStr">
        <is>
          <t>2260354560002656</t>
        </is>
      </c>
      <c r="BB160" t="inlineStr">
        <is>
          <t>BOOK</t>
        </is>
      </c>
      <c r="BD160" t="inlineStr">
        <is>
          <t>9780866781190</t>
        </is>
      </c>
      <c r="BE160" t="inlineStr">
        <is>
          <t>32285000229376</t>
        </is>
      </c>
      <c r="BF160" t="inlineStr">
        <is>
          <t>893420440</t>
        </is>
      </c>
    </row>
    <row r="161">
      <c r="B161" t="inlineStr">
        <is>
          <t>CURAL</t>
        </is>
      </c>
      <c r="C161" t="inlineStr">
        <is>
          <t>SHELVES</t>
        </is>
      </c>
      <c r="D161" t="inlineStr">
        <is>
          <t>KF2762.113 .A15 1989</t>
        </is>
      </c>
      <c r="E161" t="inlineStr">
        <is>
          <t>0                      KF 2762113A  15          1989</t>
        </is>
      </c>
      <c r="F161" t="inlineStr">
        <is>
          <t>A Legislative history of the Communications Act of 1934 / edited by Max D. Paglin.</t>
        </is>
      </c>
      <c r="H161" t="inlineStr">
        <is>
          <t>No</t>
        </is>
      </c>
      <c r="I161" t="inlineStr">
        <is>
          <t>1</t>
        </is>
      </c>
      <c r="J161" t="inlineStr">
        <is>
          <t>No</t>
        </is>
      </c>
      <c r="K161" t="inlineStr">
        <is>
          <t>No</t>
        </is>
      </c>
      <c r="L161" t="inlineStr">
        <is>
          <t>0</t>
        </is>
      </c>
      <c r="N161" t="inlineStr">
        <is>
          <t>New York : Oxford University Press, 1989.</t>
        </is>
      </c>
      <c r="O161" t="inlineStr">
        <is>
          <t>1989</t>
        </is>
      </c>
      <c r="Q161" t="inlineStr">
        <is>
          <t>eng</t>
        </is>
      </c>
      <c r="R161" t="inlineStr">
        <is>
          <t>nyu</t>
        </is>
      </c>
      <c r="T161" t="inlineStr">
        <is>
          <t xml:space="preserve">KF </t>
        </is>
      </c>
      <c r="U161" t="n">
        <v>4</v>
      </c>
      <c r="V161" t="n">
        <v>4</v>
      </c>
      <c r="W161" t="inlineStr">
        <is>
          <t>2008-07-28</t>
        </is>
      </c>
      <c r="X161" t="inlineStr">
        <is>
          <t>2008-07-28</t>
        </is>
      </c>
      <c r="Y161" t="inlineStr">
        <is>
          <t>1990-01-04</t>
        </is>
      </c>
      <c r="Z161" t="inlineStr">
        <is>
          <t>1990-01-04</t>
        </is>
      </c>
      <c r="AA161" t="n">
        <v>383</v>
      </c>
      <c r="AB161" t="n">
        <v>363</v>
      </c>
      <c r="AC161" t="n">
        <v>371</v>
      </c>
      <c r="AD161" t="n">
        <v>2</v>
      </c>
      <c r="AE161" t="n">
        <v>2</v>
      </c>
      <c r="AF161" t="n">
        <v>28</v>
      </c>
      <c r="AG161" t="n">
        <v>28</v>
      </c>
      <c r="AH161" t="n">
        <v>4</v>
      </c>
      <c r="AI161" t="n">
        <v>4</v>
      </c>
      <c r="AJ161" t="n">
        <v>1</v>
      </c>
      <c r="AK161" t="n">
        <v>1</v>
      </c>
      <c r="AL161" t="n">
        <v>5</v>
      </c>
      <c r="AM161" t="n">
        <v>5</v>
      </c>
      <c r="AN161" t="n">
        <v>0</v>
      </c>
      <c r="AO161" t="n">
        <v>0</v>
      </c>
      <c r="AP161" t="n">
        <v>19</v>
      </c>
      <c r="AQ161" t="n">
        <v>19</v>
      </c>
      <c r="AR161" t="inlineStr">
        <is>
          <t>No</t>
        </is>
      </c>
      <c r="AS161" t="inlineStr">
        <is>
          <t>No</t>
        </is>
      </c>
      <c r="AU161">
        <f>HYPERLINK("https://creighton-primo.hosted.exlibrisgroup.com/primo-explore/search?tab=default_tab&amp;search_scope=EVERYTHING&amp;vid=01CRU&amp;lang=en_US&amp;offset=0&amp;query=any,contains,991001256929702656","Catalog Record")</f>
        <v/>
      </c>
      <c r="AV161">
        <f>HYPERLINK("http://www.worldcat.org/oclc/17732250","WorldCat Record")</f>
        <v/>
      </c>
      <c r="AW161" t="inlineStr">
        <is>
          <t>55079217:eng</t>
        </is>
      </c>
      <c r="AX161" t="inlineStr">
        <is>
          <t>17732250</t>
        </is>
      </c>
      <c r="AY161" t="inlineStr">
        <is>
          <t>991001256929702656</t>
        </is>
      </c>
      <c r="AZ161" t="inlineStr">
        <is>
          <t>991001256929702656</t>
        </is>
      </c>
      <c r="BA161" t="inlineStr">
        <is>
          <t>2271013300002656</t>
        </is>
      </c>
      <c r="BB161" t="inlineStr">
        <is>
          <t>BOOK</t>
        </is>
      </c>
      <c r="BD161" t="inlineStr">
        <is>
          <t>9780195049152</t>
        </is>
      </c>
      <c r="BE161" t="inlineStr">
        <is>
          <t>32285000026350</t>
        </is>
      </c>
      <c r="BF161" t="inlineStr">
        <is>
          <t>893315645</t>
        </is>
      </c>
    </row>
    <row r="162">
      <c r="B162" t="inlineStr">
        <is>
          <t>CURAL</t>
        </is>
      </c>
      <c r="C162" t="inlineStr">
        <is>
          <t>SHELVES</t>
        </is>
      </c>
      <c r="D162" t="inlineStr">
        <is>
          <t>KF2812 .D66 1989</t>
        </is>
      </c>
      <c r="E162" t="inlineStr">
        <is>
          <t>0                      KF 2812000D  66          1989</t>
        </is>
      </c>
      <c r="F162" t="inlineStr">
        <is>
          <t>The battle to control broadcast news : who owns the First Amendment? / Hugh Carter Donahue.</t>
        </is>
      </c>
      <c r="H162" t="inlineStr">
        <is>
          <t>No</t>
        </is>
      </c>
      <c r="I162" t="inlineStr">
        <is>
          <t>1</t>
        </is>
      </c>
      <c r="J162" t="inlineStr">
        <is>
          <t>Yes</t>
        </is>
      </c>
      <c r="K162" t="inlineStr">
        <is>
          <t>No</t>
        </is>
      </c>
      <c r="L162" t="inlineStr">
        <is>
          <t>0</t>
        </is>
      </c>
      <c r="M162" t="inlineStr">
        <is>
          <t>Donahue, Hugh Carter.</t>
        </is>
      </c>
      <c r="N162" t="inlineStr">
        <is>
          <t>Cambridge, Mass. : MIT Press, c1989.</t>
        </is>
      </c>
      <c r="O162" t="inlineStr">
        <is>
          <t>1989</t>
        </is>
      </c>
      <c r="Q162" t="inlineStr">
        <is>
          <t>eng</t>
        </is>
      </c>
      <c r="R162" t="inlineStr">
        <is>
          <t>mau</t>
        </is>
      </c>
      <c r="T162" t="inlineStr">
        <is>
          <t xml:space="preserve">KF </t>
        </is>
      </c>
      <c r="U162" t="n">
        <v>11</v>
      </c>
      <c r="V162" t="n">
        <v>11</v>
      </c>
      <c r="W162" t="inlineStr">
        <is>
          <t>1994-09-19</t>
        </is>
      </c>
      <c r="X162" t="inlineStr">
        <is>
          <t>1994-09-19</t>
        </is>
      </c>
      <c r="Y162" t="inlineStr">
        <is>
          <t>1989-12-18</t>
        </is>
      </c>
      <c r="Z162" t="inlineStr">
        <is>
          <t>1992-06-18</t>
        </is>
      </c>
      <c r="AA162" t="n">
        <v>672</v>
      </c>
      <c r="AB162" t="n">
        <v>607</v>
      </c>
      <c r="AC162" t="n">
        <v>622</v>
      </c>
      <c r="AD162" t="n">
        <v>6</v>
      </c>
      <c r="AE162" t="n">
        <v>6</v>
      </c>
      <c r="AF162" t="n">
        <v>43</v>
      </c>
      <c r="AG162" t="n">
        <v>43</v>
      </c>
      <c r="AH162" t="n">
        <v>11</v>
      </c>
      <c r="AI162" t="n">
        <v>11</v>
      </c>
      <c r="AJ162" t="n">
        <v>8</v>
      </c>
      <c r="AK162" t="n">
        <v>8</v>
      </c>
      <c r="AL162" t="n">
        <v>14</v>
      </c>
      <c r="AM162" t="n">
        <v>14</v>
      </c>
      <c r="AN162" t="n">
        <v>4</v>
      </c>
      <c r="AO162" t="n">
        <v>4</v>
      </c>
      <c r="AP162" t="n">
        <v>13</v>
      </c>
      <c r="AQ162" t="n">
        <v>13</v>
      </c>
      <c r="AR162" t="inlineStr">
        <is>
          <t>No</t>
        </is>
      </c>
      <c r="AS162" t="inlineStr">
        <is>
          <t>No</t>
        </is>
      </c>
      <c r="AU162">
        <f>HYPERLINK("https://creighton-primo.hosted.exlibrisgroup.com/primo-explore/search?tab=default_tab&amp;search_scope=EVERYTHING&amp;vid=01CRU&amp;lang=en_US&amp;offset=0&amp;query=any,contains,991001639419702656","Catalog Record")</f>
        <v/>
      </c>
      <c r="AV162">
        <f>HYPERLINK("http://www.worldcat.org/oclc/18191686","WorldCat Record")</f>
        <v/>
      </c>
      <c r="AW162" t="inlineStr">
        <is>
          <t>17094107:eng</t>
        </is>
      </c>
      <c r="AX162" t="inlineStr">
        <is>
          <t>18191686</t>
        </is>
      </c>
      <c r="AY162" t="inlineStr">
        <is>
          <t>991001639419702656</t>
        </is>
      </c>
      <c r="AZ162" t="inlineStr">
        <is>
          <t>991001639419702656</t>
        </is>
      </c>
      <c r="BA162" t="inlineStr">
        <is>
          <t>2268924260002656</t>
        </is>
      </c>
      <c r="BB162" t="inlineStr">
        <is>
          <t>BOOK</t>
        </is>
      </c>
      <c r="BD162" t="inlineStr">
        <is>
          <t>9780262040990</t>
        </is>
      </c>
      <c r="BE162" t="inlineStr">
        <is>
          <t>32285000017987</t>
        </is>
      </c>
      <c r="BF162" t="inlineStr">
        <is>
          <t>893715570</t>
        </is>
      </c>
    </row>
    <row r="163">
      <c r="B163" t="inlineStr">
        <is>
          <t>CURAL</t>
        </is>
      </c>
      <c r="C163" t="inlineStr">
        <is>
          <t>SHELVES</t>
        </is>
      </c>
      <c r="D163" t="inlineStr">
        <is>
          <t>KF2812.Z9 D58 1989</t>
        </is>
      </c>
      <c r="E163" t="inlineStr">
        <is>
          <t>0                      KF 2812000Z  9                  D  58          1989</t>
        </is>
      </c>
      <c r="F163" t="inlineStr">
        <is>
          <t>The Diversity principle : friend or foe of the First Amendment? / edited by Craig R. Smith ; with a preface by Robert Kasten.</t>
        </is>
      </c>
      <c r="H163" t="inlineStr">
        <is>
          <t>No</t>
        </is>
      </c>
      <c r="I163" t="inlineStr">
        <is>
          <t>1</t>
        </is>
      </c>
      <c r="J163" t="inlineStr">
        <is>
          <t>No</t>
        </is>
      </c>
      <c r="K163" t="inlineStr">
        <is>
          <t>No</t>
        </is>
      </c>
      <c r="L163" t="inlineStr">
        <is>
          <t>0</t>
        </is>
      </c>
      <c r="N163" t="inlineStr">
        <is>
          <t>Washington, D.C. : Media Institute, c1989.</t>
        </is>
      </c>
      <c r="O163" t="inlineStr">
        <is>
          <t>1989</t>
        </is>
      </c>
      <c r="Q163" t="inlineStr">
        <is>
          <t>eng</t>
        </is>
      </c>
      <c r="R163" t="inlineStr">
        <is>
          <t>dcu</t>
        </is>
      </c>
      <c r="S163" t="inlineStr">
        <is>
          <t>Media policy series</t>
        </is>
      </c>
      <c r="T163" t="inlineStr">
        <is>
          <t xml:space="preserve">KF </t>
        </is>
      </c>
      <c r="U163" t="n">
        <v>2</v>
      </c>
      <c r="V163" t="n">
        <v>2</v>
      </c>
      <c r="W163" t="inlineStr">
        <is>
          <t>1994-09-27</t>
        </is>
      </c>
      <c r="X163" t="inlineStr">
        <is>
          <t>1994-09-27</t>
        </is>
      </c>
      <c r="Y163" t="inlineStr">
        <is>
          <t>1994-05-17</t>
        </is>
      </c>
      <c r="Z163" t="inlineStr">
        <is>
          <t>1994-05-17</t>
        </is>
      </c>
      <c r="AA163" t="n">
        <v>75</v>
      </c>
      <c r="AB163" t="n">
        <v>74</v>
      </c>
      <c r="AC163" t="n">
        <v>79</v>
      </c>
      <c r="AD163" t="n">
        <v>1</v>
      </c>
      <c r="AE163" t="n">
        <v>1</v>
      </c>
      <c r="AF163" t="n">
        <v>7</v>
      </c>
      <c r="AG163" t="n">
        <v>7</v>
      </c>
      <c r="AH163" t="n">
        <v>0</v>
      </c>
      <c r="AI163" t="n">
        <v>0</v>
      </c>
      <c r="AJ163" t="n">
        <v>1</v>
      </c>
      <c r="AK163" t="n">
        <v>1</v>
      </c>
      <c r="AL163" t="n">
        <v>4</v>
      </c>
      <c r="AM163" t="n">
        <v>4</v>
      </c>
      <c r="AN163" t="n">
        <v>0</v>
      </c>
      <c r="AO163" t="n">
        <v>0</v>
      </c>
      <c r="AP163" t="n">
        <v>3</v>
      </c>
      <c r="AQ163" t="n">
        <v>3</v>
      </c>
      <c r="AR163" t="inlineStr">
        <is>
          <t>No</t>
        </is>
      </c>
      <c r="AS163" t="inlineStr">
        <is>
          <t>No</t>
        </is>
      </c>
      <c r="AU163">
        <f>HYPERLINK("https://creighton-primo.hosted.exlibrisgroup.com/primo-explore/search?tab=default_tab&amp;search_scope=EVERYTHING&amp;vid=01CRU&amp;lang=en_US&amp;offset=0&amp;query=any,contains,991001793839702656","Catalog Record")</f>
        <v/>
      </c>
      <c r="AV163">
        <f>HYPERLINK("http://www.worldcat.org/oclc/22590460","WorldCat Record")</f>
        <v/>
      </c>
      <c r="AW163" t="inlineStr">
        <is>
          <t>24492515:eng</t>
        </is>
      </c>
      <c r="AX163" t="inlineStr">
        <is>
          <t>22590460</t>
        </is>
      </c>
      <c r="AY163" t="inlineStr">
        <is>
          <t>991001793839702656</t>
        </is>
      </c>
      <c r="AZ163" t="inlineStr">
        <is>
          <t>991001793839702656</t>
        </is>
      </c>
      <c r="BA163" t="inlineStr">
        <is>
          <t>2259643000002656</t>
        </is>
      </c>
      <c r="BB163" t="inlineStr">
        <is>
          <t>BOOK</t>
        </is>
      </c>
      <c r="BD163" t="inlineStr">
        <is>
          <t>9780937790403</t>
        </is>
      </c>
      <c r="BE163" t="inlineStr">
        <is>
          <t>32285001897023</t>
        </is>
      </c>
      <c r="BF163" t="inlineStr">
        <is>
          <t>893522860</t>
        </is>
      </c>
    </row>
    <row r="164">
      <c r="B164" t="inlineStr">
        <is>
          <t>CURAL</t>
        </is>
      </c>
      <c r="C164" t="inlineStr">
        <is>
          <t>SHELVES</t>
        </is>
      </c>
      <c r="D164" t="inlineStr">
        <is>
          <t>KF2905.3 .M4 1993</t>
        </is>
      </c>
      <c r="E164" t="inlineStr">
        <is>
          <t>0                      KF 2905300M  4           1993</t>
        </is>
      </c>
      <c r="F164" t="inlineStr">
        <is>
          <t>A Measure of malpractice : medical injury, malpractice litigation, and patient compensation / Paul C. Weiler ... [et al.].</t>
        </is>
      </c>
      <c r="H164" t="inlineStr">
        <is>
          <t>No</t>
        </is>
      </c>
      <c r="I164" t="inlineStr">
        <is>
          <t>1</t>
        </is>
      </c>
      <c r="J164" t="inlineStr">
        <is>
          <t>Yes</t>
        </is>
      </c>
      <c r="K164" t="inlineStr">
        <is>
          <t>No</t>
        </is>
      </c>
      <c r="L164" t="inlineStr">
        <is>
          <t>0</t>
        </is>
      </c>
      <c r="N164" t="inlineStr">
        <is>
          <t>Cambridge, Mass. : Harvard University Press, 1993.</t>
        </is>
      </c>
      <c r="O164" t="inlineStr">
        <is>
          <t>1993</t>
        </is>
      </c>
      <c r="Q164" t="inlineStr">
        <is>
          <t>eng</t>
        </is>
      </c>
      <c r="R164" t="inlineStr">
        <is>
          <t>mau</t>
        </is>
      </c>
      <c r="T164" t="inlineStr">
        <is>
          <t xml:space="preserve">KF </t>
        </is>
      </c>
      <c r="U164" t="n">
        <v>4</v>
      </c>
      <c r="V164" t="n">
        <v>13</v>
      </c>
      <c r="W164" t="inlineStr">
        <is>
          <t>2001-07-10</t>
        </is>
      </c>
      <c r="X164" t="inlineStr">
        <is>
          <t>2008-11-25</t>
        </is>
      </c>
      <c r="Y164" t="inlineStr">
        <is>
          <t>1996-06-06</t>
        </is>
      </c>
      <c r="Z164" t="inlineStr">
        <is>
          <t>1996-06-06</t>
        </is>
      </c>
      <c r="AA164" t="n">
        <v>402</v>
      </c>
      <c r="AB164" t="n">
        <v>337</v>
      </c>
      <c r="AC164" t="n">
        <v>339</v>
      </c>
      <c r="AD164" t="n">
        <v>4</v>
      </c>
      <c r="AE164" t="n">
        <v>4</v>
      </c>
      <c r="AF164" t="n">
        <v>26</v>
      </c>
      <c r="AG164" t="n">
        <v>26</v>
      </c>
      <c r="AH164" t="n">
        <v>4</v>
      </c>
      <c r="AI164" t="n">
        <v>4</v>
      </c>
      <c r="AJ164" t="n">
        <v>0</v>
      </c>
      <c r="AK164" t="n">
        <v>0</v>
      </c>
      <c r="AL164" t="n">
        <v>2</v>
      </c>
      <c r="AM164" t="n">
        <v>2</v>
      </c>
      <c r="AN164" t="n">
        <v>1</v>
      </c>
      <c r="AO164" t="n">
        <v>1</v>
      </c>
      <c r="AP164" t="n">
        <v>20</v>
      </c>
      <c r="AQ164" t="n">
        <v>20</v>
      </c>
      <c r="AR164" t="inlineStr">
        <is>
          <t>No</t>
        </is>
      </c>
      <c r="AS164" t="inlineStr">
        <is>
          <t>Yes</t>
        </is>
      </c>
      <c r="AT164">
        <f>HYPERLINK("http://catalog.hathitrust.org/Record/002647718","HathiTrust Record")</f>
        <v/>
      </c>
      <c r="AU164">
        <f>HYPERLINK("https://creighton-primo.hosted.exlibrisgroup.com/primo-explore/search?tab=default_tab&amp;search_scope=EVERYTHING&amp;vid=01CRU&amp;lang=en_US&amp;offset=0&amp;query=any,contains,991001653559702656","Catalog Record")</f>
        <v/>
      </c>
      <c r="AV164">
        <f>HYPERLINK("http://www.worldcat.org/oclc/26213672","WorldCat Record")</f>
        <v/>
      </c>
      <c r="AW164" t="inlineStr">
        <is>
          <t>836922203:eng</t>
        </is>
      </c>
      <c r="AX164" t="inlineStr">
        <is>
          <t>26213672</t>
        </is>
      </c>
      <c r="AY164" t="inlineStr">
        <is>
          <t>991001653559702656</t>
        </is>
      </c>
      <c r="AZ164" t="inlineStr">
        <is>
          <t>991001653559702656</t>
        </is>
      </c>
      <c r="BA164" t="inlineStr">
        <is>
          <t>2265643620002656</t>
        </is>
      </c>
      <c r="BB164" t="inlineStr">
        <is>
          <t>BOOK</t>
        </is>
      </c>
      <c r="BD164" t="inlineStr">
        <is>
          <t>9780674558809</t>
        </is>
      </c>
      <c r="BE164" t="inlineStr">
        <is>
          <t>32285002189305</t>
        </is>
      </c>
      <c r="BF164" t="inlineStr">
        <is>
          <t>893596599</t>
        </is>
      </c>
    </row>
    <row r="165">
      <c r="B165" t="inlineStr">
        <is>
          <t>CURAL</t>
        </is>
      </c>
      <c r="C165" t="inlineStr">
        <is>
          <t>SHELVES</t>
        </is>
      </c>
      <c r="D165" t="inlineStr">
        <is>
          <t>KF2905.3.A75 S85 1993</t>
        </is>
      </c>
      <c r="E165" t="inlineStr">
        <is>
          <t>0                      KF 2905300A  75                 S  85          1993</t>
        </is>
      </c>
      <c r="F165" t="inlineStr">
        <is>
          <t>Suing for medical malpractice / Frank A. Sloan ... [et al.].</t>
        </is>
      </c>
      <c r="H165" t="inlineStr">
        <is>
          <t>No</t>
        </is>
      </c>
      <c r="I165" t="inlineStr">
        <is>
          <t>1</t>
        </is>
      </c>
      <c r="J165" t="inlineStr">
        <is>
          <t>Yes</t>
        </is>
      </c>
      <c r="K165" t="inlineStr">
        <is>
          <t>No</t>
        </is>
      </c>
      <c r="L165" t="inlineStr">
        <is>
          <t>0</t>
        </is>
      </c>
      <c r="N165" t="inlineStr">
        <is>
          <t>Chicago : University of Chicago Press, c1993.</t>
        </is>
      </c>
      <c r="O165" t="inlineStr">
        <is>
          <t>1993</t>
        </is>
      </c>
      <c r="Q165" t="inlineStr">
        <is>
          <t>eng</t>
        </is>
      </c>
      <c r="R165" t="inlineStr">
        <is>
          <t>ilu</t>
        </is>
      </c>
      <c r="T165" t="inlineStr">
        <is>
          <t xml:space="preserve">KF </t>
        </is>
      </c>
      <c r="U165" t="n">
        <v>4</v>
      </c>
      <c r="V165" t="n">
        <v>10</v>
      </c>
      <c r="W165" t="inlineStr">
        <is>
          <t>2007-03-15</t>
        </is>
      </c>
      <c r="X165" t="inlineStr">
        <is>
          <t>2010-07-17</t>
        </is>
      </c>
      <c r="Y165" t="inlineStr">
        <is>
          <t>1995-03-21</t>
        </is>
      </c>
      <c r="Z165" t="inlineStr">
        <is>
          <t>1995-03-21</t>
        </is>
      </c>
      <c r="AA165" t="n">
        <v>288</v>
      </c>
      <c r="AB165" t="n">
        <v>266</v>
      </c>
      <c r="AC165" t="n">
        <v>266</v>
      </c>
      <c r="AD165" t="n">
        <v>3</v>
      </c>
      <c r="AE165" t="n">
        <v>3</v>
      </c>
      <c r="AF165" t="n">
        <v>25</v>
      </c>
      <c r="AG165" t="n">
        <v>25</v>
      </c>
      <c r="AH165" t="n">
        <v>3</v>
      </c>
      <c r="AI165" t="n">
        <v>3</v>
      </c>
      <c r="AJ165" t="n">
        <v>3</v>
      </c>
      <c r="AK165" t="n">
        <v>3</v>
      </c>
      <c r="AL165" t="n">
        <v>4</v>
      </c>
      <c r="AM165" t="n">
        <v>4</v>
      </c>
      <c r="AN165" t="n">
        <v>1</v>
      </c>
      <c r="AO165" t="n">
        <v>1</v>
      </c>
      <c r="AP165" t="n">
        <v>16</v>
      </c>
      <c r="AQ165" t="n">
        <v>16</v>
      </c>
      <c r="AR165" t="inlineStr">
        <is>
          <t>No</t>
        </is>
      </c>
      <c r="AS165" t="inlineStr">
        <is>
          <t>No</t>
        </is>
      </c>
      <c r="AU165">
        <f>HYPERLINK("https://creighton-primo.hosted.exlibrisgroup.com/primo-explore/search?tab=default_tab&amp;search_scope=EVERYTHING&amp;vid=01CRU&amp;lang=en_US&amp;offset=0&amp;query=any,contains,991001656289702656","Catalog Record")</f>
        <v/>
      </c>
      <c r="AV165">
        <f>HYPERLINK("http://www.worldcat.org/oclc/27147648","WorldCat Record")</f>
        <v/>
      </c>
      <c r="AW165" t="inlineStr">
        <is>
          <t>3856725260:eng</t>
        </is>
      </c>
      <c r="AX165" t="inlineStr">
        <is>
          <t>27147648</t>
        </is>
      </c>
      <c r="AY165" t="inlineStr">
        <is>
          <t>991001656289702656</t>
        </is>
      </c>
      <c r="AZ165" t="inlineStr">
        <is>
          <t>991001656289702656</t>
        </is>
      </c>
      <c r="BA165" t="inlineStr">
        <is>
          <t>2256080490002656</t>
        </is>
      </c>
      <c r="BB165" t="inlineStr">
        <is>
          <t>BOOK</t>
        </is>
      </c>
      <c r="BD165" t="inlineStr">
        <is>
          <t>9780226762791</t>
        </is>
      </c>
      <c r="BE165" t="inlineStr">
        <is>
          <t>32285002003704</t>
        </is>
      </c>
      <c r="BF165" t="inlineStr">
        <is>
          <t>893261893</t>
        </is>
      </c>
    </row>
    <row r="166">
      <c r="B166" t="inlineStr">
        <is>
          <t>CURAL</t>
        </is>
      </c>
      <c r="C166" t="inlineStr">
        <is>
          <t>SHELVES</t>
        </is>
      </c>
      <c r="D166" t="inlineStr">
        <is>
          <t>KF2915.M5 D48 1985</t>
        </is>
      </c>
      <c r="E166" t="inlineStr">
        <is>
          <t>0                      KF 2915000M  5                  D  48          1985</t>
        </is>
      </c>
      <c r="F166" t="inlineStr">
        <is>
          <t>Regulating birth : midwives, medicine, &amp; the law / Raymond G. DeVries.</t>
        </is>
      </c>
      <c r="H166" t="inlineStr">
        <is>
          <t>No</t>
        </is>
      </c>
      <c r="I166" t="inlineStr">
        <is>
          <t>1</t>
        </is>
      </c>
      <c r="J166" t="inlineStr">
        <is>
          <t>Yes</t>
        </is>
      </c>
      <c r="K166" t="inlineStr">
        <is>
          <t>No</t>
        </is>
      </c>
      <c r="L166" t="inlineStr">
        <is>
          <t>0</t>
        </is>
      </c>
      <c r="M166" t="inlineStr">
        <is>
          <t>De Vries, Raymond G.</t>
        </is>
      </c>
      <c r="N166" t="inlineStr">
        <is>
          <t>Philadelphia : Temple University Press, c1985.</t>
        </is>
      </c>
      <c r="O166" t="inlineStr">
        <is>
          <t>1985</t>
        </is>
      </c>
      <c r="Q166" t="inlineStr">
        <is>
          <t>eng</t>
        </is>
      </c>
      <c r="R166" t="inlineStr">
        <is>
          <t>pau</t>
        </is>
      </c>
      <c r="S166" t="inlineStr">
        <is>
          <t>Health, society, and policy</t>
        </is>
      </c>
      <c r="T166" t="inlineStr">
        <is>
          <t xml:space="preserve">KF </t>
        </is>
      </c>
      <c r="U166" t="n">
        <v>4</v>
      </c>
      <c r="V166" t="n">
        <v>7</v>
      </c>
      <c r="W166" t="inlineStr">
        <is>
          <t>2008-10-04</t>
        </is>
      </c>
      <c r="X166" t="inlineStr">
        <is>
          <t>2008-11-30</t>
        </is>
      </c>
      <c r="Y166" t="inlineStr">
        <is>
          <t>1992-04-28</t>
        </is>
      </c>
      <c r="Z166" t="inlineStr">
        <is>
          <t>2000-07-26</t>
        </is>
      </c>
      <c r="AA166" t="n">
        <v>541</v>
      </c>
      <c r="AB166" t="n">
        <v>493</v>
      </c>
      <c r="AC166" t="n">
        <v>500</v>
      </c>
      <c r="AD166" t="n">
        <v>4</v>
      </c>
      <c r="AE166" t="n">
        <v>4</v>
      </c>
      <c r="AF166" t="n">
        <v>36</v>
      </c>
      <c r="AG166" t="n">
        <v>36</v>
      </c>
      <c r="AH166" t="n">
        <v>7</v>
      </c>
      <c r="AI166" t="n">
        <v>7</v>
      </c>
      <c r="AJ166" t="n">
        <v>4</v>
      </c>
      <c r="AK166" t="n">
        <v>4</v>
      </c>
      <c r="AL166" t="n">
        <v>11</v>
      </c>
      <c r="AM166" t="n">
        <v>11</v>
      </c>
      <c r="AN166" t="n">
        <v>1</v>
      </c>
      <c r="AO166" t="n">
        <v>1</v>
      </c>
      <c r="AP166" t="n">
        <v>18</v>
      </c>
      <c r="AQ166" t="n">
        <v>18</v>
      </c>
      <c r="AR166" t="inlineStr">
        <is>
          <t>No</t>
        </is>
      </c>
      <c r="AS166" t="inlineStr">
        <is>
          <t>Yes</t>
        </is>
      </c>
      <c r="AT166">
        <f>HYPERLINK("http://catalog.hathitrust.org/Record/000350790","HathiTrust Record")</f>
        <v/>
      </c>
      <c r="AU166">
        <f>HYPERLINK("https://creighton-primo.hosted.exlibrisgroup.com/primo-explore/search?tab=default_tab&amp;search_scope=EVERYTHING&amp;vid=01CRU&amp;lang=en_US&amp;offset=0&amp;query=any,contains,991001680579702656","Catalog Record")</f>
        <v/>
      </c>
      <c r="AV166">
        <f>HYPERLINK("http://www.worldcat.org/oclc/11133016","WorldCat Record")</f>
        <v/>
      </c>
      <c r="AW166" t="inlineStr">
        <is>
          <t>312604902:eng</t>
        </is>
      </c>
      <c r="AX166" t="inlineStr">
        <is>
          <t>11133016</t>
        </is>
      </c>
      <c r="AY166" t="inlineStr">
        <is>
          <t>991001680579702656</t>
        </is>
      </c>
      <c r="AZ166" t="inlineStr">
        <is>
          <t>991001680579702656</t>
        </is>
      </c>
      <c r="BA166" t="inlineStr">
        <is>
          <t>2255343090002656</t>
        </is>
      </c>
      <c r="BB166" t="inlineStr">
        <is>
          <t>BOOK</t>
        </is>
      </c>
      <c r="BD166" t="inlineStr">
        <is>
          <t>9780877223795</t>
        </is>
      </c>
      <c r="BE166" t="inlineStr">
        <is>
          <t>32285001089977</t>
        </is>
      </c>
      <c r="BF166" t="inlineStr">
        <is>
          <t>893772794</t>
        </is>
      </c>
    </row>
    <row r="167">
      <c r="B167" t="inlineStr">
        <is>
          <t>CURAL</t>
        </is>
      </c>
      <c r="C167" t="inlineStr">
        <is>
          <t>SHELVES</t>
        </is>
      </c>
      <c r="D167" t="inlineStr">
        <is>
          <t>KF2920.3 .C37 1982</t>
        </is>
      </c>
      <c r="E167" t="inlineStr">
        <is>
          <t>0                      KF 2920300C  37          1982</t>
        </is>
      </c>
      <c r="F167" t="inlineStr">
        <is>
          <t>Duties and liabilities of public accountants / Denzil Y. Causey, Jr.</t>
        </is>
      </c>
      <c r="H167" t="inlineStr">
        <is>
          <t>No</t>
        </is>
      </c>
      <c r="I167" t="inlineStr">
        <is>
          <t>1</t>
        </is>
      </c>
      <c r="J167" t="inlineStr">
        <is>
          <t>No</t>
        </is>
      </c>
      <c r="K167" t="inlineStr">
        <is>
          <t>No</t>
        </is>
      </c>
      <c r="L167" t="inlineStr">
        <is>
          <t>0</t>
        </is>
      </c>
      <c r="M167" t="inlineStr">
        <is>
          <t>Causey, Denzil Y.</t>
        </is>
      </c>
      <c r="N167" t="inlineStr">
        <is>
          <t>Homewood, Ill. : Dow Jones-Irwin, c1982.</t>
        </is>
      </c>
      <c r="O167" t="inlineStr">
        <is>
          <t>1982</t>
        </is>
      </c>
      <c r="P167" t="inlineStr">
        <is>
          <t>Rev. ed.</t>
        </is>
      </c>
      <c r="Q167" t="inlineStr">
        <is>
          <t>eng</t>
        </is>
      </c>
      <c r="R167" t="inlineStr">
        <is>
          <t>ilu</t>
        </is>
      </c>
      <c r="T167" t="inlineStr">
        <is>
          <t xml:space="preserve">KF </t>
        </is>
      </c>
      <c r="U167" t="n">
        <v>5</v>
      </c>
      <c r="V167" t="n">
        <v>5</v>
      </c>
      <c r="W167" t="inlineStr">
        <is>
          <t>2004-11-11</t>
        </is>
      </c>
      <c r="X167" t="inlineStr">
        <is>
          <t>2004-11-11</t>
        </is>
      </c>
      <c r="Y167" t="inlineStr">
        <is>
          <t>1992-06-24</t>
        </is>
      </c>
      <c r="Z167" t="inlineStr">
        <is>
          <t>1992-06-24</t>
        </is>
      </c>
      <c r="AA167" t="n">
        <v>358</v>
      </c>
      <c r="AB167" t="n">
        <v>318</v>
      </c>
      <c r="AC167" t="n">
        <v>682</v>
      </c>
      <c r="AD167" t="n">
        <v>5</v>
      </c>
      <c r="AE167" t="n">
        <v>7</v>
      </c>
      <c r="AF167" t="n">
        <v>15</v>
      </c>
      <c r="AG167" t="n">
        <v>40</v>
      </c>
      <c r="AH167" t="n">
        <v>2</v>
      </c>
      <c r="AI167" t="n">
        <v>11</v>
      </c>
      <c r="AJ167" t="n">
        <v>3</v>
      </c>
      <c r="AK167" t="n">
        <v>3</v>
      </c>
      <c r="AL167" t="n">
        <v>7</v>
      </c>
      <c r="AM167" t="n">
        <v>16</v>
      </c>
      <c r="AN167" t="n">
        <v>4</v>
      </c>
      <c r="AO167" t="n">
        <v>5</v>
      </c>
      <c r="AP167" t="n">
        <v>3</v>
      </c>
      <c r="AQ167" t="n">
        <v>13</v>
      </c>
      <c r="AR167" t="inlineStr">
        <is>
          <t>No</t>
        </is>
      </c>
      <c r="AS167" t="inlineStr">
        <is>
          <t>No</t>
        </is>
      </c>
      <c r="AU167">
        <f>HYPERLINK("https://creighton-primo.hosted.exlibrisgroup.com/primo-explore/search?tab=default_tab&amp;search_scope=EVERYTHING&amp;vid=01CRU&amp;lang=en_US&amp;offset=0&amp;query=any,contains,991000063259702656","Catalog Record")</f>
        <v/>
      </c>
      <c r="AV167">
        <f>HYPERLINK("http://www.worldcat.org/oclc/8752355","WorldCat Record")</f>
        <v/>
      </c>
      <c r="AW167" t="inlineStr">
        <is>
          <t>7219170:eng</t>
        </is>
      </c>
      <c r="AX167" t="inlineStr">
        <is>
          <t>8752355</t>
        </is>
      </c>
      <c r="AY167" t="inlineStr">
        <is>
          <t>991000063259702656</t>
        </is>
      </c>
      <c r="AZ167" t="inlineStr">
        <is>
          <t>991000063259702656</t>
        </is>
      </c>
      <c r="BA167" t="inlineStr">
        <is>
          <t>2267714700002656</t>
        </is>
      </c>
      <c r="BB167" t="inlineStr">
        <is>
          <t>BOOK</t>
        </is>
      </c>
      <c r="BD167" t="inlineStr">
        <is>
          <t>9780870943256</t>
        </is>
      </c>
      <c r="BE167" t="inlineStr">
        <is>
          <t>32285001175594</t>
        </is>
      </c>
      <c r="BF167" t="inlineStr">
        <is>
          <t>893419159</t>
        </is>
      </c>
    </row>
    <row r="168">
      <c r="B168" t="inlineStr">
        <is>
          <t>CURAL</t>
        </is>
      </c>
      <c r="C168" t="inlineStr">
        <is>
          <t>SHELVES</t>
        </is>
      </c>
      <c r="D168" t="inlineStr">
        <is>
          <t>KF2921.J63 A4 1960</t>
        </is>
      </c>
      <c r="E168" t="inlineStr">
        <is>
          <t>0                      KF 2921000J  63                 A  4           1960</t>
        </is>
      </c>
      <c r="F168" t="inlineStr">
        <is>
          <t>Alcoholic beverage control; an official study.</t>
        </is>
      </c>
      <c r="H168" t="inlineStr">
        <is>
          <t>No</t>
        </is>
      </c>
      <c r="I168" t="inlineStr">
        <is>
          <t>1</t>
        </is>
      </c>
      <c r="J168" t="inlineStr">
        <is>
          <t>No</t>
        </is>
      </c>
      <c r="K168" t="inlineStr">
        <is>
          <t>No</t>
        </is>
      </c>
      <c r="L168" t="inlineStr">
        <is>
          <t>0</t>
        </is>
      </c>
      <c r="M168" t="inlineStr">
        <is>
          <t>Joint Committee of the States to Study Alcoholic Beverage Laws.</t>
        </is>
      </c>
      <c r="O168" t="inlineStr">
        <is>
          <t>1960</t>
        </is>
      </c>
      <c r="P168" t="inlineStr">
        <is>
          <t>Rev. and up-dated.</t>
        </is>
      </c>
      <c r="Q168" t="inlineStr">
        <is>
          <t>eng</t>
        </is>
      </c>
      <c r="R168" t="inlineStr">
        <is>
          <t xml:space="preserve">xx </t>
        </is>
      </c>
      <c r="T168" t="inlineStr">
        <is>
          <t xml:space="preserve">KF </t>
        </is>
      </c>
      <c r="U168" t="n">
        <v>1</v>
      </c>
      <c r="V168" t="n">
        <v>1</v>
      </c>
      <c r="W168" t="inlineStr">
        <is>
          <t>2005-04-05</t>
        </is>
      </c>
      <c r="X168" t="inlineStr">
        <is>
          <t>2005-04-05</t>
        </is>
      </c>
      <c r="Y168" t="inlineStr">
        <is>
          <t>1997-04-16</t>
        </is>
      </c>
      <c r="Z168" t="inlineStr">
        <is>
          <t>1997-04-16</t>
        </is>
      </c>
      <c r="AA168" t="n">
        <v>139</v>
      </c>
      <c r="AB168" t="n">
        <v>134</v>
      </c>
      <c r="AC168" t="n">
        <v>208</v>
      </c>
      <c r="AD168" t="n">
        <v>1</v>
      </c>
      <c r="AE168" t="n">
        <v>2</v>
      </c>
      <c r="AF168" t="n">
        <v>5</v>
      </c>
      <c r="AG168" t="n">
        <v>9</v>
      </c>
      <c r="AH168" t="n">
        <v>0</v>
      </c>
      <c r="AI168" t="n">
        <v>1</v>
      </c>
      <c r="AJ168" t="n">
        <v>1</v>
      </c>
      <c r="AK168" t="n">
        <v>1</v>
      </c>
      <c r="AL168" t="n">
        <v>1</v>
      </c>
      <c r="AM168" t="n">
        <v>4</v>
      </c>
      <c r="AN168" t="n">
        <v>0</v>
      </c>
      <c r="AO168" t="n">
        <v>1</v>
      </c>
      <c r="AP168" t="n">
        <v>3</v>
      </c>
      <c r="AQ168" t="n">
        <v>3</v>
      </c>
      <c r="AR168" t="inlineStr">
        <is>
          <t>No</t>
        </is>
      </c>
      <c r="AS168" t="inlineStr">
        <is>
          <t>No</t>
        </is>
      </c>
      <c r="AU168">
        <f>HYPERLINK("https://creighton-primo.hosted.exlibrisgroup.com/primo-explore/search?tab=default_tab&amp;search_scope=EVERYTHING&amp;vid=01CRU&amp;lang=en_US&amp;offset=0&amp;query=any,contains,991004074039702656","Catalog Record")</f>
        <v/>
      </c>
      <c r="AV168">
        <f>HYPERLINK("http://www.worldcat.org/oclc/2313471","WorldCat Record")</f>
        <v/>
      </c>
      <c r="AW168" t="inlineStr">
        <is>
          <t>2667140:eng</t>
        </is>
      </c>
      <c r="AX168" t="inlineStr">
        <is>
          <t>2313471</t>
        </is>
      </c>
      <c r="AY168" t="inlineStr">
        <is>
          <t>991004074039702656</t>
        </is>
      </c>
      <c r="AZ168" t="inlineStr">
        <is>
          <t>991004074039702656</t>
        </is>
      </c>
      <c r="BA168" t="inlineStr">
        <is>
          <t>2260111620002656</t>
        </is>
      </c>
      <c r="BB168" t="inlineStr">
        <is>
          <t>BOOK</t>
        </is>
      </c>
      <c r="BE168" t="inlineStr">
        <is>
          <t>32285002550654</t>
        </is>
      </c>
      <c r="BF168" t="inlineStr">
        <is>
          <t>893253215</t>
        </is>
      </c>
    </row>
    <row r="169">
      <c r="B169" t="inlineStr">
        <is>
          <t>CURAL</t>
        </is>
      </c>
      <c r="C169" t="inlineStr">
        <is>
          <t>SHELVES</t>
        </is>
      </c>
      <c r="D169" t="inlineStr">
        <is>
          <t>KF297 .G64</t>
        </is>
      </c>
      <c r="E169" t="inlineStr">
        <is>
          <t>0                      KF 0297000G  64</t>
        </is>
      </c>
      <c r="F169" t="inlineStr">
        <is>
          <t>Going to law school? : Readings on a legal career / Thomas Ehrlich, Geoffrey C. Hazard, Jr.</t>
        </is>
      </c>
      <c r="H169" t="inlineStr">
        <is>
          <t>No</t>
        </is>
      </c>
      <c r="I169" t="inlineStr">
        <is>
          <t>1</t>
        </is>
      </c>
      <c r="J169" t="inlineStr">
        <is>
          <t>Yes</t>
        </is>
      </c>
      <c r="K169" t="inlineStr">
        <is>
          <t>No</t>
        </is>
      </c>
      <c r="L169" t="inlineStr">
        <is>
          <t>0</t>
        </is>
      </c>
      <c r="N169" t="inlineStr">
        <is>
          <t>Boston : Little, Brown, 1975.</t>
        </is>
      </c>
      <c r="O169" t="inlineStr">
        <is>
          <t>1975</t>
        </is>
      </c>
      <c r="Q169" t="inlineStr">
        <is>
          <t>eng</t>
        </is>
      </c>
      <c r="R169" t="inlineStr">
        <is>
          <t>mau</t>
        </is>
      </c>
      <c r="T169" t="inlineStr">
        <is>
          <t xml:space="preserve">KF </t>
        </is>
      </c>
      <c r="U169" t="n">
        <v>18</v>
      </c>
      <c r="V169" t="n">
        <v>19</v>
      </c>
      <c r="W169" t="inlineStr">
        <is>
          <t>2009-09-27</t>
        </is>
      </c>
      <c r="X169" t="inlineStr">
        <is>
          <t>2009-09-27</t>
        </is>
      </c>
      <c r="Y169" t="inlineStr">
        <is>
          <t>1990-01-25</t>
        </is>
      </c>
      <c r="Z169" t="inlineStr">
        <is>
          <t>1992-08-05</t>
        </is>
      </c>
      <c r="AA169" t="n">
        <v>316</v>
      </c>
      <c r="AB169" t="n">
        <v>295</v>
      </c>
      <c r="AC169" t="n">
        <v>311</v>
      </c>
      <c r="AD169" t="n">
        <v>4</v>
      </c>
      <c r="AE169" t="n">
        <v>4</v>
      </c>
      <c r="AF169" t="n">
        <v>29</v>
      </c>
      <c r="AG169" t="n">
        <v>31</v>
      </c>
      <c r="AH169" t="n">
        <v>1</v>
      </c>
      <c r="AI169" t="n">
        <v>2</v>
      </c>
      <c r="AJ169" t="n">
        <v>1</v>
      </c>
      <c r="AK169" t="n">
        <v>2</v>
      </c>
      <c r="AL169" t="n">
        <v>8</v>
      </c>
      <c r="AM169" t="n">
        <v>8</v>
      </c>
      <c r="AN169" t="n">
        <v>2</v>
      </c>
      <c r="AO169" t="n">
        <v>2</v>
      </c>
      <c r="AP169" t="n">
        <v>19</v>
      </c>
      <c r="AQ169" t="n">
        <v>19</v>
      </c>
      <c r="AR169" t="inlineStr">
        <is>
          <t>No</t>
        </is>
      </c>
      <c r="AS169" t="inlineStr">
        <is>
          <t>Yes</t>
        </is>
      </c>
      <c r="AT169">
        <f>HYPERLINK("http://catalog.hathitrust.org/Record/000030580","HathiTrust Record")</f>
        <v/>
      </c>
      <c r="AU169">
        <f>HYPERLINK("https://creighton-primo.hosted.exlibrisgroup.com/primo-explore/search?tab=default_tab&amp;search_scope=EVERYTHING&amp;vid=01CRU&amp;lang=en_US&amp;offset=0&amp;query=any,contains,991001740359702656","Catalog Record")</f>
        <v/>
      </c>
      <c r="AV169">
        <f>HYPERLINK("http://www.worldcat.org/oclc/1974986","WorldCat Record")</f>
        <v/>
      </c>
      <c r="AW169" t="inlineStr">
        <is>
          <t>996707579:eng</t>
        </is>
      </c>
      <c r="AX169" t="inlineStr">
        <is>
          <t>1974986</t>
        </is>
      </c>
      <c r="AY169" t="inlineStr">
        <is>
          <t>991001740359702656</t>
        </is>
      </c>
      <c r="AZ169" t="inlineStr">
        <is>
          <t>991001740359702656</t>
        </is>
      </c>
      <c r="BA169" t="inlineStr">
        <is>
          <t>2262817500002656</t>
        </is>
      </c>
      <c r="BB169" t="inlineStr">
        <is>
          <t>BOOK</t>
        </is>
      </c>
      <c r="BE169" t="inlineStr">
        <is>
          <t>32285000005842</t>
        </is>
      </c>
      <c r="BF169" t="inlineStr">
        <is>
          <t>893590598</t>
        </is>
      </c>
    </row>
    <row r="170">
      <c r="B170" t="inlineStr">
        <is>
          <t>CURAL</t>
        </is>
      </c>
      <c r="C170" t="inlineStr">
        <is>
          <t>SHELVES</t>
        </is>
      </c>
      <c r="D170" t="inlineStr">
        <is>
          <t>KF297 .M3</t>
        </is>
      </c>
      <c r="E170" t="inlineStr">
        <is>
          <t>0                      KF 0297000M  3</t>
        </is>
      </c>
      <c r="F170" t="inlineStr">
        <is>
          <t>The lawyers.</t>
        </is>
      </c>
      <c r="H170" t="inlineStr">
        <is>
          <t>No</t>
        </is>
      </c>
      <c r="I170" t="inlineStr">
        <is>
          <t>1</t>
        </is>
      </c>
      <c r="J170" t="inlineStr">
        <is>
          <t>Yes</t>
        </is>
      </c>
      <c r="K170" t="inlineStr">
        <is>
          <t>No</t>
        </is>
      </c>
      <c r="L170" t="inlineStr">
        <is>
          <t>0</t>
        </is>
      </c>
      <c r="M170" t="inlineStr">
        <is>
          <t>Mayer, Martin, 1928-</t>
        </is>
      </c>
      <c r="N170" t="inlineStr">
        <is>
          <t>New York : Harper &amp; Row, [1967]</t>
        </is>
      </c>
      <c r="O170" t="inlineStr">
        <is>
          <t>1967</t>
        </is>
      </c>
      <c r="P170" t="inlineStr">
        <is>
          <t>[1st ed.]</t>
        </is>
      </c>
      <c r="Q170" t="inlineStr">
        <is>
          <t>eng</t>
        </is>
      </c>
      <c r="R170" t="inlineStr">
        <is>
          <t>nyu</t>
        </is>
      </c>
      <c r="T170" t="inlineStr">
        <is>
          <t xml:space="preserve">KF </t>
        </is>
      </c>
      <c r="U170" t="n">
        <v>5</v>
      </c>
      <c r="V170" t="n">
        <v>6</v>
      </c>
      <c r="W170" t="inlineStr">
        <is>
          <t>1994-07-23</t>
        </is>
      </c>
      <c r="X170" t="inlineStr">
        <is>
          <t>1995-01-17</t>
        </is>
      </c>
      <c r="Y170" t="inlineStr">
        <is>
          <t>1992-02-26</t>
        </is>
      </c>
      <c r="Z170" t="inlineStr">
        <is>
          <t>1997-03-21</t>
        </is>
      </c>
      <c r="AA170" t="n">
        <v>987</v>
      </c>
      <c r="AB170" t="n">
        <v>927</v>
      </c>
      <c r="AC170" t="n">
        <v>991</v>
      </c>
      <c r="AD170" t="n">
        <v>8</v>
      </c>
      <c r="AE170" t="n">
        <v>9</v>
      </c>
      <c r="AF170" t="n">
        <v>46</v>
      </c>
      <c r="AG170" t="n">
        <v>49</v>
      </c>
      <c r="AH170" t="n">
        <v>6</v>
      </c>
      <c r="AI170" t="n">
        <v>6</v>
      </c>
      <c r="AJ170" t="n">
        <v>7</v>
      </c>
      <c r="AK170" t="n">
        <v>7</v>
      </c>
      <c r="AL170" t="n">
        <v>16</v>
      </c>
      <c r="AM170" t="n">
        <v>16</v>
      </c>
      <c r="AN170" t="n">
        <v>3</v>
      </c>
      <c r="AO170" t="n">
        <v>3</v>
      </c>
      <c r="AP170" t="n">
        <v>21</v>
      </c>
      <c r="AQ170" t="n">
        <v>24</v>
      </c>
      <c r="AR170" t="inlineStr">
        <is>
          <t>No</t>
        </is>
      </c>
      <c r="AS170" t="inlineStr">
        <is>
          <t>Yes</t>
        </is>
      </c>
      <c r="AT170">
        <f>HYPERLINK("http://catalog.hathitrust.org/Record/001278421","HathiTrust Record")</f>
        <v/>
      </c>
      <c r="AU170">
        <f>HYPERLINK("https://creighton-primo.hosted.exlibrisgroup.com/primo-explore/search?tab=default_tab&amp;search_scope=EVERYTHING&amp;vid=01CRU&amp;lang=en_US&amp;offset=0&amp;query=any,contains,991001649529702656","Catalog Record")</f>
        <v/>
      </c>
      <c r="AV170">
        <f>HYPERLINK("http://www.worldcat.org/oclc/510192","WorldCat Record")</f>
        <v/>
      </c>
      <c r="AW170" t="inlineStr">
        <is>
          <t>1471573:eng</t>
        </is>
      </c>
      <c r="AX170" t="inlineStr">
        <is>
          <t>510192</t>
        </is>
      </c>
      <c r="AY170" t="inlineStr">
        <is>
          <t>991001649529702656</t>
        </is>
      </c>
      <c r="AZ170" t="inlineStr">
        <is>
          <t>991001649529702656</t>
        </is>
      </c>
      <c r="BA170" t="inlineStr">
        <is>
          <t>2260018380002656</t>
        </is>
      </c>
      <c r="BB170" t="inlineStr">
        <is>
          <t>BOOK</t>
        </is>
      </c>
      <c r="BE170" t="inlineStr">
        <is>
          <t>32285000975986</t>
        </is>
      </c>
      <c r="BF170" t="inlineStr">
        <is>
          <t>893891698</t>
        </is>
      </c>
    </row>
    <row r="171">
      <c r="B171" t="inlineStr">
        <is>
          <t>CURAL</t>
        </is>
      </c>
      <c r="C171" t="inlineStr">
        <is>
          <t>SHELVES</t>
        </is>
      </c>
      <c r="D171" t="inlineStr">
        <is>
          <t>KF297 .S47 1986</t>
        </is>
      </c>
      <c r="E171" t="inlineStr">
        <is>
          <t>0                      KF 0297000S  47          1986</t>
        </is>
      </c>
      <c r="F171" t="inlineStr">
        <is>
          <t>Lawyers for hire : salaried professionals at work / Eve Spangler.</t>
        </is>
      </c>
      <c r="H171" t="inlineStr">
        <is>
          <t>No</t>
        </is>
      </c>
      <c r="I171" t="inlineStr">
        <is>
          <t>1</t>
        </is>
      </c>
      <c r="J171" t="inlineStr">
        <is>
          <t>Yes</t>
        </is>
      </c>
      <c r="K171" t="inlineStr">
        <is>
          <t>No</t>
        </is>
      </c>
      <c r="L171" t="inlineStr">
        <is>
          <t>0</t>
        </is>
      </c>
      <c r="M171" t="inlineStr">
        <is>
          <t>Spangler, Eve, 1946-</t>
        </is>
      </c>
      <c r="N171" t="inlineStr">
        <is>
          <t>New Haven : Yale University Press, c1986.</t>
        </is>
      </c>
      <c r="O171" t="inlineStr">
        <is>
          <t>1986</t>
        </is>
      </c>
      <c r="Q171" t="inlineStr">
        <is>
          <t>eng</t>
        </is>
      </c>
      <c r="R171" t="inlineStr">
        <is>
          <t>ctu</t>
        </is>
      </c>
      <c r="T171" t="inlineStr">
        <is>
          <t xml:space="preserve">KF </t>
        </is>
      </c>
      <c r="U171" t="n">
        <v>4</v>
      </c>
      <c r="V171" t="n">
        <v>4</v>
      </c>
      <c r="W171" t="inlineStr">
        <is>
          <t>2008-10-14</t>
        </is>
      </c>
      <c r="X171" t="inlineStr">
        <is>
          <t>2008-10-14</t>
        </is>
      </c>
      <c r="Y171" t="inlineStr">
        <is>
          <t>1990-01-02</t>
        </is>
      </c>
      <c r="Z171" t="inlineStr">
        <is>
          <t>1991-07-03</t>
        </is>
      </c>
      <c r="AA171" t="n">
        <v>449</v>
      </c>
      <c r="AB171" t="n">
        <v>399</v>
      </c>
      <c r="AC171" t="n">
        <v>400</v>
      </c>
      <c r="AD171" t="n">
        <v>4</v>
      </c>
      <c r="AE171" t="n">
        <v>4</v>
      </c>
      <c r="AF171" t="n">
        <v>27</v>
      </c>
      <c r="AG171" t="n">
        <v>27</v>
      </c>
      <c r="AH171" t="n">
        <v>1</v>
      </c>
      <c r="AI171" t="n">
        <v>1</v>
      </c>
      <c r="AJ171" t="n">
        <v>6</v>
      </c>
      <c r="AK171" t="n">
        <v>6</v>
      </c>
      <c r="AL171" t="n">
        <v>6</v>
      </c>
      <c r="AM171" t="n">
        <v>6</v>
      </c>
      <c r="AN171" t="n">
        <v>1</v>
      </c>
      <c r="AO171" t="n">
        <v>1</v>
      </c>
      <c r="AP171" t="n">
        <v>17</v>
      </c>
      <c r="AQ171" t="n">
        <v>17</v>
      </c>
      <c r="AR171" t="inlineStr">
        <is>
          <t>No</t>
        </is>
      </c>
      <c r="AS171" t="inlineStr">
        <is>
          <t>No</t>
        </is>
      </c>
      <c r="AU171">
        <f>HYPERLINK("https://creighton-primo.hosted.exlibrisgroup.com/primo-explore/search?tab=default_tab&amp;search_scope=EVERYTHING&amp;vid=01CRU&amp;lang=en_US&amp;offset=0&amp;query=any,contains,991001630739702656","Catalog Record")</f>
        <v/>
      </c>
      <c r="AV171">
        <f>HYPERLINK("http://www.worldcat.org/oclc/12262013","WorldCat Record")</f>
        <v/>
      </c>
      <c r="AW171" t="inlineStr">
        <is>
          <t>836721298:eng</t>
        </is>
      </c>
      <c r="AX171" t="inlineStr">
        <is>
          <t>12262013</t>
        </is>
      </c>
      <c r="AY171" t="inlineStr">
        <is>
          <t>991001630739702656</t>
        </is>
      </c>
      <c r="AZ171" t="inlineStr">
        <is>
          <t>991001630739702656</t>
        </is>
      </c>
      <c r="BA171" t="inlineStr">
        <is>
          <t>2270668630002656</t>
        </is>
      </c>
      <c r="BB171" t="inlineStr">
        <is>
          <t>BOOK</t>
        </is>
      </c>
      <c r="BD171" t="inlineStr">
        <is>
          <t>9780300034622</t>
        </is>
      </c>
      <c r="BE171" t="inlineStr">
        <is>
          <t>32285000019587</t>
        </is>
      </c>
      <c r="BF171" t="inlineStr">
        <is>
          <t>893891687</t>
        </is>
      </c>
    </row>
    <row r="172">
      <c r="B172" t="inlineStr">
        <is>
          <t>CURAL</t>
        </is>
      </c>
      <c r="C172" t="inlineStr">
        <is>
          <t>SHELVES</t>
        </is>
      </c>
      <c r="D172" t="inlineStr">
        <is>
          <t>KF2979 .B36 1987</t>
        </is>
      </c>
      <c r="E172" t="inlineStr">
        <is>
          <t>0                      KF 2979000B  36          1987</t>
        </is>
      </c>
      <c r="F172" t="inlineStr">
        <is>
          <t>Protecting intellectual property rights : issues and controversies / Robert P. Benko.</t>
        </is>
      </c>
      <c r="H172" t="inlineStr">
        <is>
          <t>No</t>
        </is>
      </c>
      <c r="I172" t="inlineStr">
        <is>
          <t>1</t>
        </is>
      </c>
      <c r="J172" t="inlineStr">
        <is>
          <t>No</t>
        </is>
      </c>
      <c r="K172" t="inlineStr">
        <is>
          <t>No</t>
        </is>
      </c>
      <c r="L172" t="inlineStr">
        <is>
          <t>0</t>
        </is>
      </c>
      <c r="M172" t="inlineStr">
        <is>
          <t>Benko, Robert P.</t>
        </is>
      </c>
      <c r="N172" t="inlineStr">
        <is>
          <t>Washington, D.C. : American Enterprise Institute for Public Policy Research, c1987.</t>
        </is>
      </c>
      <c r="O172" t="inlineStr">
        <is>
          <t>1987</t>
        </is>
      </c>
      <c r="Q172" t="inlineStr">
        <is>
          <t>eng</t>
        </is>
      </c>
      <c r="R172" t="inlineStr">
        <is>
          <t>dcu</t>
        </is>
      </c>
      <c r="S172" t="inlineStr">
        <is>
          <t>AEI studies ; 453</t>
        </is>
      </c>
      <c r="T172" t="inlineStr">
        <is>
          <t xml:space="preserve">KF </t>
        </is>
      </c>
      <c r="U172" t="n">
        <v>9</v>
      </c>
      <c r="V172" t="n">
        <v>9</v>
      </c>
      <c r="W172" t="inlineStr">
        <is>
          <t>2010-10-08</t>
        </is>
      </c>
      <c r="X172" t="inlineStr">
        <is>
          <t>2010-10-08</t>
        </is>
      </c>
      <c r="Y172" t="inlineStr">
        <is>
          <t>1991-11-25</t>
        </is>
      </c>
      <c r="Z172" t="inlineStr">
        <is>
          <t>1991-11-25</t>
        </is>
      </c>
      <c r="AA172" t="n">
        <v>421</v>
      </c>
      <c r="AB172" t="n">
        <v>372</v>
      </c>
      <c r="AC172" t="n">
        <v>390</v>
      </c>
      <c r="AD172" t="n">
        <v>5</v>
      </c>
      <c r="AE172" t="n">
        <v>5</v>
      </c>
      <c r="AF172" t="n">
        <v>24</v>
      </c>
      <c r="AG172" t="n">
        <v>24</v>
      </c>
      <c r="AH172" t="n">
        <v>5</v>
      </c>
      <c r="AI172" t="n">
        <v>5</v>
      </c>
      <c r="AJ172" t="n">
        <v>3</v>
      </c>
      <c r="AK172" t="n">
        <v>3</v>
      </c>
      <c r="AL172" t="n">
        <v>7</v>
      </c>
      <c r="AM172" t="n">
        <v>7</v>
      </c>
      <c r="AN172" t="n">
        <v>3</v>
      </c>
      <c r="AO172" t="n">
        <v>3</v>
      </c>
      <c r="AP172" t="n">
        <v>9</v>
      </c>
      <c r="AQ172" t="n">
        <v>9</v>
      </c>
      <c r="AR172" t="inlineStr">
        <is>
          <t>No</t>
        </is>
      </c>
      <c r="AS172" t="inlineStr">
        <is>
          <t>Yes</t>
        </is>
      </c>
      <c r="AT172">
        <f>HYPERLINK("http://catalog.hathitrust.org/Record/000826867","HathiTrust Record")</f>
        <v/>
      </c>
      <c r="AU172">
        <f>HYPERLINK("https://creighton-primo.hosted.exlibrisgroup.com/primo-explore/search?tab=default_tab&amp;search_scope=EVERYTHING&amp;vid=01CRU&amp;lang=en_US&amp;offset=0&amp;query=any,contains,991000977319702656","Catalog Record")</f>
        <v/>
      </c>
      <c r="AV172">
        <f>HYPERLINK("http://www.worldcat.org/oclc/15016747","WorldCat Record")</f>
        <v/>
      </c>
      <c r="AW172" t="inlineStr">
        <is>
          <t>8550617:eng</t>
        </is>
      </c>
      <c r="AX172" t="inlineStr">
        <is>
          <t>15016747</t>
        </is>
      </c>
      <c r="AY172" t="inlineStr">
        <is>
          <t>991000977319702656</t>
        </is>
      </c>
      <c r="AZ172" t="inlineStr">
        <is>
          <t>991000977319702656</t>
        </is>
      </c>
      <c r="BA172" t="inlineStr">
        <is>
          <t>2264330640002656</t>
        </is>
      </c>
      <c r="BB172" t="inlineStr">
        <is>
          <t>BOOK</t>
        </is>
      </c>
      <c r="BD172" t="inlineStr">
        <is>
          <t>9780844736228</t>
        </is>
      </c>
      <c r="BE172" t="inlineStr">
        <is>
          <t>32285000844208</t>
        </is>
      </c>
      <c r="BF172" t="inlineStr">
        <is>
          <t>893444534</t>
        </is>
      </c>
    </row>
    <row r="173">
      <c r="B173" t="inlineStr">
        <is>
          <t>CURAL</t>
        </is>
      </c>
      <c r="C173" t="inlineStr">
        <is>
          <t>SHELVES</t>
        </is>
      </c>
      <c r="D173" t="inlineStr">
        <is>
          <t>KF298 .B42</t>
        </is>
      </c>
      <c r="E173" t="inlineStr">
        <is>
          <t>0                      KF 0298000B  42</t>
        </is>
      </c>
      <c r="F173" t="inlineStr">
        <is>
          <t>Political behavioralism and modern jurisprudence: a working theory and study in judicial decision-making [by] Theodore L. Becker.</t>
        </is>
      </c>
      <c r="H173" t="inlineStr">
        <is>
          <t>No</t>
        </is>
      </c>
      <c r="I173" t="inlineStr">
        <is>
          <t>1</t>
        </is>
      </c>
      <c r="J173" t="inlineStr">
        <is>
          <t>No</t>
        </is>
      </c>
      <c r="K173" t="inlineStr">
        <is>
          <t>No</t>
        </is>
      </c>
      <c r="L173" t="inlineStr">
        <is>
          <t>0</t>
        </is>
      </c>
      <c r="M173" t="inlineStr">
        <is>
          <t>Becker, Theodore L. (Theodore Lewis), 1932-</t>
        </is>
      </c>
      <c r="N173" t="inlineStr">
        <is>
          <t>Chicago, Rand McNally [c1964]</t>
        </is>
      </c>
      <c r="O173" t="inlineStr">
        <is>
          <t>1964</t>
        </is>
      </c>
      <c r="Q173" t="inlineStr">
        <is>
          <t>eng</t>
        </is>
      </c>
      <c r="R173" t="inlineStr">
        <is>
          <t>ilu</t>
        </is>
      </c>
      <c r="T173" t="inlineStr">
        <is>
          <t xml:space="preserve">KF </t>
        </is>
      </c>
      <c r="U173" t="n">
        <v>1</v>
      </c>
      <c r="V173" t="n">
        <v>1</v>
      </c>
      <c r="W173" t="inlineStr">
        <is>
          <t>2005-09-13</t>
        </is>
      </c>
      <c r="X173" t="inlineStr">
        <is>
          <t>2005-09-13</t>
        </is>
      </c>
      <c r="Y173" t="inlineStr">
        <is>
          <t>1997-04-11</t>
        </is>
      </c>
      <c r="Z173" t="inlineStr">
        <is>
          <t>1997-04-11</t>
        </is>
      </c>
      <c r="AA173" t="n">
        <v>439</v>
      </c>
      <c r="AB173" t="n">
        <v>383</v>
      </c>
      <c r="AC173" t="n">
        <v>389</v>
      </c>
      <c r="AD173" t="n">
        <v>3</v>
      </c>
      <c r="AE173" t="n">
        <v>3</v>
      </c>
      <c r="AF173" t="n">
        <v>28</v>
      </c>
      <c r="AG173" t="n">
        <v>28</v>
      </c>
      <c r="AH173" t="n">
        <v>3</v>
      </c>
      <c r="AI173" t="n">
        <v>3</v>
      </c>
      <c r="AJ173" t="n">
        <v>5</v>
      </c>
      <c r="AK173" t="n">
        <v>5</v>
      </c>
      <c r="AL173" t="n">
        <v>16</v>
      </c>
      <c r="AM173" t="n">
        <v>16</v>
      </c>
      <c r="AN173" t="n">
        <v>1</v>
      </c>
      <c r="AO173" t="n">
        <v>1</v>
      </c>
      <c r="AP173" t="n">
        <v>9</v>
      </c>
      <c r="AQ173" t="n">
        <v>9</v>
      </c>
      <c r="AR173" t="inlineStr">
        <is>
          <t>No</t>
        </is>
      </c>
      <c r="AS173" t="inlineStr">
        <is>
          <t>Yes</t>
        </is>
      </c>
      <c r="AT173">
        <f>HYPERLINK("http://catalog.hathitrust.org/Record/001625535","HathiTrust Record")</f>
        <v/>
      </c>
      <c r="AU173">
        <f>HYPERLINK("https://creighton-primo.hosted.exlibrisgroup.com/primo-explore/search?tab=default_tab&amp;search_scope=EVERYTHING&amp;vid=01CRU&amp;lang=en_US&amp;offset=0&amp;query=any,contains,991002869809702656","Catalog Record")</f>
        <v/>
      </c>
      <c r="AV173">
        <f>HYPERLINK("http://www.worldcat.org/oclc/498372","WorldCat Record")</f>
        <v/>
      </c>
      <c r="AW173" t="inlineStr">
        <is>
          <t>1592251:eng</t>
        </is>
      </c>
      <c r="AX173" t="inlineStr">
        <is>
          <t>498372</t>
        </is>
      </c>
      <c r="AY173" t="inlineStr">
        <is>
          <t>991002869809702656</t>
        </is>
      </c>
      <c r="AZ173" t="inlineStr">
        <is>
          <t>991002869809702656</t>
        </is>
      </c>
      <c r="BA173" t="inlineStr">
        <is>
          <t>2272532640002656</t>
        </is>
      </c>
      <c r="BB173" t="inlineStr">
        <is>
          <t>BOOK</t>
        </is>
      </c>
      <c r="BE173" t="inlineStr">
        <is>
          <t>32285002524246</t>
        </is>
      </c>
      <c r="BF173" t="inlineStr">
        <is>
          <t>893317376</t>
        </is>
      </c>
    </row>
    <row r="174">
      <c r="B174" t="inlineStr">
        <is>
          <t>CURAL</t>
        </is>
      </c>
      <c r="C174" t="inlineStr">
        <is>
          <t>SHELVES</t>
        </is>
      </c>
      <c r="D174" t="inlineStr">
        <is>
          <t>KF2980 .S55</t>
        </is>
      </c>
      <c r="E174" t="inlineStr">
        <is>
          <t>0                      KF 2980000S  55</t>
        </is>
      </c>
      <c r="F174" t="inlineStr">
        <is>
          <t>Copyright, patents, and trademarks : the protection of intellectual and industrial property / by Richard Wincor and Irving Mandell.</t>
        </is>
      </c>
      <c r="H174" t="inlineStr">
        <is>
          <t>No</t>
        </is>
      </c>
      <c r="I174" t="inlineStr">
        <is>
          <t>1</t>
        </is>
      </c>
      <c r="J174" t="inlineStr">
        <is>
          <t>No</t>
        </is>
      </c>
      <c r="K174" t="inlineStr">
        <is>
          <t>No</t>
        </is>
      </c>
      <c r="L174" t="inlineStr">
        <is>
          <t>0</t>
        </is>
      </c>
      <c r="M174" t="inlineStr">
        <is>
          <t>Wincor, Richard.</t>
        </is>
      </c>
      <c r="N174" t="inlineStr">
        <is>
          <t>Dobbs Ferry, N.Y. : Oceana Publications, 1980.</t>
        </is>
      </c>
      <c r="O174" t="inlineStr">
        <is>
          <t>1980</t>
        </is>
      </c>
      <c r="Q174" t="inlineStr">
        <is>
          <t>eng</t>
        </is>
      </c>
      <c r="R174" t="inlineStr">
        <is>
          <t>nyu</t>
        </is>
      </c>
      <c r="S174" t="inlineStr">
        <is>
          <t>Legal almanac series ; no. 14</t>
        </is>
      </c>
      <c r="T174" t="inlineStr">
        <is>
          <t xml:space="preserve">KF </t>
        </is>
      </c>
      <c r="U174" t="n">
        <v>8</v>
      </c>
      <c r="V174" t="n">
        <v>8</v>
      </c>
      <c r="W174" t="inlineStr">
        <is>
          <t>2004-12-11</t>
        </is>
      </c>
      <c r="X174" t="inlineStr">
        <is>
          <t>2004-12-11</t>
        </is>
      </c>
      <c r="Y174" t="inlineStr">
        <is>
          <t>1991-11-25</t>
        </is>
      </c>
      <c r="Z174" t="inlineStr">
        <is>
          <t>1991-11-25</t>
        </is>
      </c>
      <c r="AA174" t="n">
        <v>382</v>
      </c>
      <c r="AB174" t="n">
        <v>363</v>
      </c>
      <c r="AC174" t="n">
        <v>371</v>
      </c>
      <c r="AD174" t="n">
        <v>3</v>
      </c>
      <c r="AE174" t="n">
        <v>3</v>
      </c>
      <c r="AF174" t="n">
        <v>13</v>
      </c>
      <c r="AG174" t="n">
        <v>13</v>
      </c>
      <c r="AH174" t="n">
        <v>1</v>
      </c>
      <c r="AI174" t="n">
        <v>1</v>
      </c>
      <c r="AJ174" t="n">
        <v>1</v>
      </c>
      <c r="AK174" t="n">
        <v>1</v>
      </c>
      <c r="AL174" t="n">
        <v>2</v>
      </c>
      <c r="AM174" t="n">
        <v>2</v>
      </c>
      <c r="AN174" t="n">
        <v>1</v>
      </c>
      <c r="AO174" t="n">
        <v>1</v>
      </c>
      <c r="AP174" t="n">
        <v>10</v>
      </c>
      <c r="AQ174" t="n">
        <v>10</v>
      </c>
      <c r="AR174" t="inlineStr">
        <is>
          <t>No</t>
        </is>
      </c>
      <c r="AS174" t="inlineStr">
        <is>
          <t>Yes</t>
        </is>
      </c>
      <c r="AT174">
        <f>HYPERLINK("http://catalog.hathitrust.org/Record/007302394","HathiTrust Record")</f>
        <v/>
      </c>
      <c r="AU174">
        <f>HYPERLINK("https://creighton-primo.hosted.exlibrisgroup.com/primo-explore/search?tab=default_tab&amp;search_scope=EVERYTHING&amp;vid=01CRU&amp;lang=en_US&amp;offset=0&amp;query=any,contains,991004981599702656","Catalog Record")</f>
        <v/>
      </c>
      <c r="AV174">
        <f>HYPERLINK("http://www.worldcat.org/oclc/6422925","WorldCat Record")</f>
        <v/>
      </c>
      <c r="AW174" t="inlineStr">
        <is>
          <t>451780:eng</t>
        </is>
      </c>
      <c r="AX174" t="inlineStr">
        <is>
          <t>6422925</t>
        </is>
      </c>
      <c r="AY174" t="inlineStr">
        <is>
          <t>991004981599702656</t>
        </is>
      </c>
      <c r="AZ174" t="inlineStr">
        <is>
          <t>991004981599702656</t>
        </is>
      </c>
      <c r="BA174" t="inlineStr">
        <is>
          <t>2269148790002656</t>
        </is>
      </c>
      <c r="BB174" t="inlineStr">
        <is>
          <t>BOOK</t>
        </is>
      </c>
      <c r="BD174" t="inlineStr">
        <is>
          <t>9780379111385</t>
        </is>
      </c>
      <c r="BE174" t="inlineStr">
        <is>
          <t>32285000844182</t>
        </is>
      </c>
      <c r="BF174" t="inlineStr">
        <is>
          <t>893532998</t>
        </is>
      </c>
    </row>
    <row r="175">
      <c r="B175" t="inlineStr">
        <is>
          <t>CURAL</t>
        </is>
      </c>
      <c r="C175" t="inlineStr">
        <is>
          <t>SHELVES</t>
        </is>
      </c>
      <c r="D175" t="inlineStr">
        <is>
          <t>KF2995 .G55</t>
        </is>
      </c>
      <c r="E175" t="inlineStr">
        <is>
          <t>0                      KF 2995000G  55</t>
        </is>
      </c>
      <c r="F175" t="inlineStr">
        <is>
          <t>Writers' and artists' rights : basic benefits and protections to authors, artists, composers, sculptors, photographers, choreographers, and movie-makers under the new American copyright law / Don Glassman.</t>
        </is>
      </c>
      <c r="H175" t="inlineStr">
        <is>
          <t>No</t>
        </is>
      </c>
      <c r="I175" t="inlineStr">
        <is>
          <t>1</t>
        </is>
      </c>
      <c r="J175" t="inlineStr">
        <is>
          <t>No</t>
        </is>
      </c>
      <c r="K175" t="inlineStr">
        <is>
          <t>No</t>
        </is>
      </c>
      <c r="L175" t="inlineStr">
        <is>
          <t>0</t>
        </is>
      </c>
      <c r="M175" t="inlineStr">
        <is>
          <t>Glassman, Donald, 1903-</t>
        </is>
      </c>
      <c r="N175" t="inlineStr">
        <is>
          <t>Washington : Writers Press, c1978.</t>
        </is>
      </c>
      <c r="O175" t="inlineStr">
        <is>
          <t>1978</t>
        </is>
      </c>
      <c r="Q175" t="inlineStr">
        <is>
          <t>eng</t>
        </is>
      </c>
      <c r="R175" t="inlineStr">
        <is>
          <t>dcu</t>
        </is>
      </c>
      <c r="T175" t="inlineStr">
        <is>
          <t xml:space="preserve">KF </t>
        </is>
      </c>
      <c r="U175" t="n">
        <v>1</v>
      </c>
      <c r="V175" t="n">
        <v>1</v>
      </c>
      <c r="W175" t="inlineStr">
        <is>
          <t>2008-11-26</t>
        </is>
      </c>
      <c r="X175" t="inlineStr">
        <is>
          <t>2008-11-26</t>
        </is>
      </c>
      <c r="Y175" t="inlineStr">
        <is>
          <t>1991-11-25</t>
        </is>
      </c>
      <c r="Z175" t="inlineStr">
        <is>
          <t>1991-11-25</t>
        </is>
      </c>
      <c r="AA175" t="n">
        <v>200</v>
      </c>
      <c r="AB175" t="n">
        <v>180</v>
      </c>
      <c r="AC175" t="n">
        <v>181</v>
      </c>
      <c r="AD175" t="n">
        <v>2</v>
      </c>
      <c r="AE175" t="n">
        <v>2</v>
      </c>
      <c r="AF175" t="n">
        <v>14</v>
      </c>
      <c r="AG175" t="n">
        <v>14</v>
      </c>
      <c r="AH175" t="n">
        <v>2</v>
      </c>
      <c r="AI175" t="n">
        <v>2</v>
      </c>
      <c r="AJ175" t="n">
        <v>1</v>
      </c>
      <c r="AK175" t="n">
        <v>1</v>
      </c>
      <c r="AL175" t="n">
        <v>5</v>
      </c>
      <c r="AM175" t="n">
        <v>5</v>
      </c>
      <c r="AN175" t="n">
        <v>1</v>
      </c>
      <c r="AO175" t="n">
        <v>1</v>
      </c>
      <c r="AP175" t="n">
        <v>7</v>
      </c>
      <c r="AQ175" t="n">
        <v>7</v>
      </c>
      <c r="AR175" t="inlineStr">
        <is>
          <t>No</t>
        </is>
      </c>
      <c r="AS175" t="inlineStr">
        <is>
          <t>No</t>
        </is>
      </c>
      <c r="AU175">
        <f>HYPERLINK("https://creighton-primo.hosted.exlibrisgroup.com/primo-explore/search?tab=default_tab&amp;search_scope=EVERYTHING&amp;vid=01CRU&amp;lang=en_US&amp;offset=0&amp;query=any,contains,991004574729702656","Catalog Record")</f>
        <v/>
      </c>
      <c r="AV175">
        <f>HYPERLINK("http://www.worldcat.org/oclc/4037147","WorldCat Record")</f>
        <v/>
      </c>
      <c r="AW175" t="inlineStr">
        <is>
          <t>815153155:eng</t>
        </is>
      </c>
      <c r="AX175" t="inlineStr">
        <is>
          <t>4037147</t>
        </is>
      </c>
      <c r="AY175" t="inlineStr">
        <is>
          <t>991004574729702656</t>
        </is>
      </c>
      <c r="AZ175" t="inlineStr">
        <is>
          <t>991004574729702656</t>
        </is>
      </c>
      <c r="BA175" t="inlineStr">
        <is>
          <t>2270858340002656</t>
        </is>
      </c>
      <c r="BB175" t="inlineStr">
        <is>
          <t>BOOK</t>
        </is>
      </c>
      <c r="BD175" t="inlineStr">
        <is>
          <t>9780931536014</t>
        </is>
      </c>
      <c r="BE175" t="inlineStr">
        <is>
          <t>32285000844133</t>
        </is>
      </c>
      <c r="BF175" t="inlineStr">
        <is>
          <t>893500746</t>
        </is>
      </c>
    </row>
    <row r="176">
      <c r="B176" t="inlineStr">
        <is>
          <t>CURAL</t>
        </is>
      </c>
      <c r="C176" t="inlineStr">
        <is>
          <t>SHELVES</t>
        </is>
      </c>
      <c r="D176" t="inlineStr">
        <is>
          <t>KF3020.Z9 J45 1996</t>
        </is>
      </c>
      <c r="E176" t="inlineStr">
        <is>
          <t>0                      KF 3020000Z  9                  J  45          1996</t>
        </is>
      </c>
      <c r="F176" t="inlineStr">
        <is>
          <t>Does your project have a copyright problem? : a decision-making guide for librarians / by Mary Brandt Jensen.</t>
        </is>
      </c>
      <c r="H176" t="inlineStr">
        <is>
          <t>No</t>
        </is>
      </c>
      <c r="I176" t="inlineStr">
        <is>
          <t>1</t>
        </is>
      </c>
      <c r="J176" t="inlineStr">
        <is>
          <t>No</t>
        </is>
      </c>
      <c r="K176" t="inlineStr">
        <is>
          <t>No</t>
        </is>
      </c>
      <c r="L176" t="inlineStr">
        <is>
          <t>0</t>
        </is>
      </c>
      <c r="M176" t="inlineStr">
        <is>
          <t>Jensen, Mary Brandt.</t>
        </is>
      </c>
      <c r="N176" t="inlineStr">
        <is>
          <t>Jefferson, N.C. : McFarland &amp; Co., 1996.</t>
        </is>
      </c>
      <c r="O176" t="inlineStr">
        <is>
          <t>1996</t>
        </is>
      </c>
      <c r="Q176" t="inlineStr">
        <is>
          <t>eng</t>
        </is>
      </c>
      <c r="R176" t="inlineStr">
        <is>
          <t>ncu</t>
        </is>
      </c>
      <c r="T176" t="inlineStr">
        <is>
          <t xml:space="preserve">KF </t>
        </is>
      </c>
      <c r="U176" t="n">
        <v>3</v>
      </c>
      <c r="V176" t="n">
        <v>3</v>
      </c>
      <c r="W176" t="inlineStr">
        <is>
          <t>2003-11-03</t>
        </is>
      </c>
      <c r="X176" t="inlineStr">
        <is>
          <t>2003-11-03</t>
        </is>
      </c>
      <c r="Y176" t="inlineStr">
        <is>
          <t>1997-02-03</t>
        </is>
      </c>
      <c r="Z176" t="inlineStr">
        <is>
          <t>1997-02-03</t>
        </is>
      </c>
      <c r="AA176" t="n">
        <v>582</v>
      </c>
      <c r="AB176" t="n">
        <v>549</v>
      </c>
      <c r="AC176" t="n">
        <v>557</v>
      </c>
      <c r="AD176" t="n">
        <v>7</v>
      </c>
      <c r="AE176" t="n">
        <v>7</v>
      </c>
      <c r="AF176" t="n">
        <v>26</v>
      </c>
      <c r="AG176" t="n">
        <v>26</v>
      </c>
      <c r="AH176" t="n">
        <v>5</v>
      </c>
      <c r="AI176" t="n">
        <v>5</v>
      </c>
      <c r="AJ176" t="n">
        <v>2</v>
      </c>
      <c r="AK176" t="n">
        <v>2</v>
      </c>
      <c r="AL176" t="n">
        <v>7</v>
      </c>
      <c r="AM176" t="n">
        <v>7</v>
      </c>
      <c r="AN176" t="n">
        <v>3</v>
      </c>
      <c r="AO176" t="n">
        <v>3</v>
      </c>
      <c r="AP176" t="n">
        <v>12</v>
      </c>
      <c r="AQ176" t="n">
        <v>12</v>
      </c>
      <c r="AR176" t="inlineStr">
        <is>
          <t>No</t>
        </is>
      </c>
      <c r="AS176" t="inlineStr">
        <is>
          <t>Yes</t>
        </is>
      </c>
      <c r="AT176">
        <f>HYPERLINK("http://catalog.hathitrust.org/Record/003115812","HathiTrust Record")</f>
        <v/>
      </c>
      <c r="AU176">
        <f>HYPERLINK("https://creighton-primo.hosted.exlibrisgroup.com/primo-explore/search?tab=default_tab&amp;search_scope=EVERYTHING&amp;vid=01CRU&amp;lang=en_US&amp;offset=0&amp;query=any,contains,991005424439702656","Catalog Record")</f>
        <v/>
      </c>
      <c r="AV176">
        <f>HYPERLINK("http://www.worldcat.org/oclc/35128167","WorldCat Record")</f>
        <v/>
      </c>
      <c r="AW176" t="inlineStr">
        <is>
          <t>836992649:eng</t>
        </is>
      </c>
      <c r="AX176" t="inlineStr">
        <is>
          <t>35128167</t>
        </is>
      </c>
      <c r="AY176" t="inlineStr">
        <is>
          <t>991005424439702656</t>
        </is>
      </c>
      <c r="AZ176" t="inlineStr">
        <is>
          <t>991005424439702656</t>
        </is>
      </c>
      <c r="BA176" t="inlineStr">
        <is>
          <t>2271028140002656</t>
        </is>
      </c>
      <c r="BB176" t="inlineStr">
        <is>
          <t>BOOK</t>
        </is>
      </c>
      <c r="BD176" t="inlineStr">
        <is>
          <t>9780786402823</t>
        </is>
      </c>
      <c r="BE176" t="inlineStr">
        <is>
          <t>32285002413507</t>
        </is>
      </c>
      <c r="BF176" t="inlineStr">
        <is>
          <t>893877521</t>
        </is>
      </c>
    </row>
    <row r="177">
      <c r="B177" t="inlineStr">
        <is>
          <t>CURAL</t>
        </is>
      </c>
      <c r="C177" t="inlineStr">
        <is>
          <t>SHELVES</t>
        </is>
      </c>
      <c r="D177" t="inlineStr">
        <is>
          <t>KF3030.1 .P37 1985</t>
        </is>
      </c>
      <c r="E177" t="inlineStr">
        <is>
          <t>0                      KF 3030100P  37          1985</t>
        </is>
      </c>
      <c r="F177" t="inlineStr">
        <is>
          <t>The fair use privilege in copyright law / William F. Patry.</t>
        </is>
      </c>
      <c r="H177" t="inlineStr">
        <is>
          <t>No</t>
        </is>
      </c>
      <c r="I177" t="inlineStr">
        <is>
          <t>1</t>
        </is>
      </c>
      <c r="J177" t="inlineStr">
        <is>
          <t>No</t>
        </is>
      </c>
      <c r="K177" t="inlineStr">
        <is>
          <t>No</t>
        </is>
      </c>
      <c r="L177" t="inlineStr">
        <is>
          <t>0</t>
        </is>
      </c>
      <c r="M177" t="inlineStr">
        <is>
          <t>Patry, William F.</t>
        </is>
      </c>
      <c r="N177" t="inlineStr">
        <is>
          <t>Washington, D.C. : Bureau of National Affairs, c1985.</t>
        </is>
      </c>
      <c r="O177" t="inlineStr">
        <is>
          <t>1985</t>
        </is>
      </c>
      <c r="Q177" t="inlineStr">
        <is>
          <t>eng</t>
        </is>
      </c>
      <c r="R177" t="inlineStr">
        <is>
          <t>dcu</t>
        </is>
      </c>
      <c r="T177" t="inlineStr">
        <is>
          <t xml:space="preserve">KF </t>
        </is>
      </c>
      <c r="U177" t="n">
        <v>2</v>
      </c>
      <c r="V177" t="n">
        <v>2</v>
      </c>
      <c r="W177" t="inlineStr">
        <is>
          <t>1996-07-12</t>
        </is>
      </c>
      <c r="X177" t="inlineStr">
        <is>
          <t>1996-07-12</t>
        </is>
      </c>
      <c r="Y177" t="inlineStr">
        <is>
          <t>1990-01-29</t>
        </is>
      </c>
      <c r="Z177" t="inlineStr">
        <is>
          <t>1990-01-29</t>
        </is>
      </c>
      <c r="AA177" t="n">
        <v>406</v>
      </c>
      <c r="AB177" t="n">
        <v>354</v>
      </c>
      <c r="AC177" t="n">
        <v>482</v>
      </c>
      <c r="AD177" t="n">
        <v>3</v>
      </c>
      <c r="AE177" t="n">
        <v>3</v>
      </c>
      <c r="AF177" t="n">
        <v>20</v>
      </c>
      <c r="AG177" t="n">
        <v>32</v>
      </c>
      <c r="AH177" t="n">
        <v>2</v>
      </c>
      <c r="AI177" t="n">
        <v>4</v>
      </c>
      <c r="AJ177" t="n">
        <v>1</v>
      </c>
      <c r="AK177" t="n">
        <v>4</v>
      </c>
      <c r="AL177" t="n">
        <v>1</v>
      </c>
      <c r="AM177" t="n">
        <v>4</v>
      </c>
      <c r="AN177" t="n">
        <v>1</v>
      </c>
      <c r="AO177" t="n">
        <v>1</v>
      </c>
      <c r="AP177" t="n">
        <v>16</v>
      </c>
      <c r="AQ177" t="n">
        <v>23</v>
      </c>
      <c r="AR177" t="inlineStr">
        <is>
          <t>No</t>
        </is>
      </c>
      <c r="AS177" t="inlineStr">
        <is>
          <t>Yes</t>
        </is>
      </c>
      <c r="AT177">
        <f>HYPERLINK("http://catalog.hathitrust.org/Record/000461202","HathiTrust Record")</f>
        <v/>
      </c>
      <c r="AU177">
        <f>HYPERLINK("https://creighton-primo.hosted.exlibrisgroup.com/primo-explore/search?tab=default_tab&amp;search_scope=EVERYTHING&amp;vid=01CRU&amp;lang=en_US&amp;offset=0&amp;query=any,contains,991000584399702656","Catalog Record")</f>
        <v/>
      </c>
      <c r="AV177">
        <f>HYPERLINK("http://www.worldcat.org/oclc/11755830","WorldCat Record")</f>
        <v/>
      </c>
      <c r="AW177" t="inlineStr">
        <is>
          <t>4307819:eng</t>
        </is>
      </c>
      <c r="AX177" t="inlineStr">
        <is>
          <t>11755830</t>
        </is>
      </c>
      <c r="AY177" t="inlineStr">
        <is>
          <t>991000584399702656</t>
        </is>
      </c>
      <c r="AZ177" t="inlineStr">
        <is>
          <t>991000584399702656</t>
        </is>
      </c>
      <c r="BA177" t="inlineStr">
        <is>
          <t>2270718230002656</t>
        </is>
      </c>
      <c r="BB177" t="inlineStr">
        <is>
          <t>BOOK</t>
        </is>
      </c>
      <c r="BD177" t="inlineStr">
        <is>
          <t>9780871794512</t>
        </is>
      </c>
      <c r="BE177" t="inlineStr">
        <is>
          <t>32285000036805</t>
        </is>
      </c>
      <c r="BF177" t="inlineStr">
        <is>
          <t>893897023</t>
        </is>
      </c>
    </row>
    <row r="178">
      <c r="B178" t="inlineStr">
        <is>
          <t>CURAL</t>
        </is>
      </c>
      <c r="C178" t="inlineStr">
        <is>
          <t>SHELVES</t>
        </is>
      </c>
      <c r="D178" t="inlineStr">
        <is>
          <t>KF3030.4 .S56 1984</t>
        </is>
      </c>
      <c r="E178" t="inlineStr">
        <is>
          <t>0                      KF 3030400S  56          1984</t>
        </is>
      </c>
      <c r="F178" t="inlineStr">
        <is>
          <t>Off-air videotaping in education : copyright issues, decisions, implications / Esther R. Sinofsky.</t>
        </is>
      </c>
      <c r="H178" t="inlineStr">
        <is>
          <t>No</t>
        </is>
      </c>
      <c r="I178" t="inlineStr">
        <is>
          <t>1</t>
        </is>
      </c>
      <c r="J178" t="inlineStr">
        <is>
          <t>No</t>
        </is>
      </c>
      <c r="K178" t="inlineStr">
        <is>
          <t>No</t>
        </is>
      </c>
      <c r="L178" t="inlineStr">
        <is>
          <t>0</t>
        </is>
      </c>
      <c r="M178" t="inlineStr">
        <is>
          <t>Sinofsky, Esther Rita.</t>
        </is>
      </c>
      <c r="N178" t="inlineStr">
        <is>
          <t>New York : R.R. Bowker Co., 1984.</t>
        </is>
      </c>
      <c r="O178" t="inlineStr">
        <is>
          <t>1984</t>
        </is>
      </c>
      <c r="Q178" t="inlineStr">
        <is>
          <t>eng</t>
        </is>
      </c>
      <c r="R178" t="inlineStr">
        <is>
          <t>nyu</t>
        </is>
      </c>
      <c r="T178" t="inlineStr">
        <is>
          <t xml:space="preserve">KF </t>
        </is>
      </c>
      <c r="U178" t="n">
        <v>2</v>
      </c>
      <c r="V178" t="n">
        <v>2</v>
      </c>
      <c r="W178" t="inlineStr">
        <is>
          <t>2001-01-23</t>
        </is>
      </c>
      <c r="X178" t="inlineStr">
        <is>
          <t>2001-01-23</t>
        </is>
      </c>
      <c r="Y178" t="inlineStr">
        <is>
          <t>1990-07-30</t>
        </is>
      </c>
      <c r="Z178" t="inlineStr">
        <is>
          <t>1990-07-30</t>
        </is>
      </c>
      <c r="AA178" t="n">
        <v>650</v>
      </c>
      <c r="AB178" t="n">
        <v>618</v>
      </c>
      <c r="AC178" t="n">
        <v>624</v>
      </c>
      <c r="AD178" t="n">
        <v>8</v>
      </c>
      <c r="AE178" t="n">
        <v>8</v>
      </c>
      <c r="AF178" t="n">
        <v>27</v>
      </c>
      <c r="AG178" t="n">
        <v>27</v>
      </c>
      <c r="AH178" t="n">
        <v>7</v>
      </c>
      <c r="AI178" t="n">
        <v>7</v>
      </c>
      <c r="AJ178" t="n">
        <v>5</v>
      </c>
      <c r="AK178" t="n">
        <v>5</v>
      </c>
      <c r="AL178" t="n">
        <v>9</v>
      </c>
      <c r="AM178" t="n">
        <v>9</v>
      </c>
      <c r="AN178" t="n">
        <v>4</v>
      </c>
      <c r="AO178" t="n">
        <v>4</v>
      </c>
      <c r="AP178" t="n">
        <v>7</v>
      </c>
      <c r="AQ178" t="n">
        <v>7</v>
      </c>
      <c r="AR178" t="inlineStr">
        <is>
          <t>No</t>
        </is>
      </c>
      <c r="AS178" t="inlineStr">
        <is>
          <t>Yes</t>
        </is>
      </c>
      <c r="AT178">
        <f>HYPERLINK("http://catalog.hathitrust.org/Record/000340858","HathiTrust Record")</f>
        <v/>
      </c>
      <c r="AU178">
        <f>HYPERLINK("https://creighton-primo.hosted.exlibrisgroup.com/primo-explore/search?tab=default_tab&amp;search_scope=EVERYTHING&amp;vid=01CRU&amp;lang=en_US&amp;offset=0&amp;query=any,contains,991005404409702656","Catalog Record")</f>
        <v/>
      </c>
      <c r="AV178">
        <f>HYPERLINK("http://www.worldcat.org/oclc/11090255","WorldCat Record")</f>
        <v/>
      </c>
      <c r="AW178" t="inlineStr">
        <is>
          <t>233762438:eng</t>
        </is>
      </c>
      <c r="AX178" t="inlineStr">
        <is>
          <t>11090255</t>
        </is>
      </c>
      <c r="AY178" t="inlineStr">
        <is>
          <t>991005404409702656</t>
        </is>
      </c>
      <c r="AZ178" t="inlineStr">
        <is>
          <t>991005404409702656</t>
        </is>
      </c>
      <c r="BA178" t="inlineStr">
        <is>
          <t>2269222110002656</t>
        </is>
      </c>
      <c r="BB178" t="inlineStr">
        <is>
          <t>BOOK</t>
        </is>
      </c>
      <c r="BD178" t="inlineStr">
        <is>
          <t>9780835217552</t>
        </is>
      </c>
      <c r="BE178" t="inlineStr">
        <is>
          <t>32285000229392</t>
        </is>
      </c>
      <c r="BF178" t="inlineStr">
        <is>
          <t>893802250</t>
        </is>
      </c>
    </row>
    <row r="179">
      <c r="B179" t="inlineStr">
        <is>
          <t>CURAL</t>
        </is>
      </c>
      <c r="C179" t="inlineStr">
        <is>
          <t>SHELVES</t>
        </is>
      </c>
      <c r="D179" t="inlineStr">
        <is>
          <t>KF306 .E84 1986</t>
        </is>
      </c>
      <c r="E179" t="inlineStr">
        <is>
          <t>0                      KF 0306000E  84          1986</t>
        </is>
      </c>
      <c r="F179" t="inlineStr">
        <is>
          <t>Ethics and the legal profession / edited by Michael Davis and Frederick A. Elliston.</t>
        </is>
      </c>
      <c r="H179" t="inlineStr">
        <is>
          <t>No</t>
        </is>
      </c>
      <c r="I179" t="inlineStr">
        <is>
          <t>1</t>
        </is>
      </c>
      <c r="J179" t="inlineStr">
        <is>
          <t>Yes</t>
        </is>
      </c>
      <c r="K179" t="inlineStr">
        <is>
          <t>No</t>
        </is>
      </c>
      <c r="L179" t="inlineStr">
        <is>
          <t>0</t>
        </is>
      </c>
      <c r="N179" t="inlineStr">
        <is>
          <t>Buffalo, N.Y. : Prometheus Books, 1986.</t>
        </is>
      </c>
      <c r="O179" t="inlineStr">
        <is>
          <t>1986</t>
        </is>
      </c>
      <c r="Q179" t="inlineStr">
        <is>
          <t>eng</t>
        </is>
      </c>
      <c r="R179" t="inlineStr">
        <is>
          <t>nyu</t>
        </is>
      </c>
      <c r="T179" t="inlineStr">
        <is>
          <t xml:space="preserve">KF </t>
        </is>
      </c>
      <c r="U179" t="n">
        <v>11</v>
      </c>
      <c r="V179" t="n">
        <v>13</v>
      </c>
      <c r="W179" t="inlineStr">
        <is>
          <t>2009-10-20</t>
        </is>
      </c>
      <c r="X179" t="inlineStr">
        <is>
          <t>2009-10-20</t>
        </is>
      </c>
      <c r="Y179" t="inlineStr">
        <is>
          <t>1992-04-09</t>
        </is>
      </c>
      <c r="Z179" t="inlineStr">
        <is>
          <t>1993-01-04</t>
        </is>
      </c>
      <c r="AA179" t="n">
        <v>340</v>
      </c>
      <c r="AB179" t="n">
        <v>292</v>
      </c>
      <c r="AC179" t="n">
        <v>353</v>
      </c>
      <c r="AD179" t="n">
        <v>4</v>
      </c>
      <c r="AE179" t="n">
        <v>4</v>
      </c>
      <c r="AF179" t="n">
        <v>27</v>
      </c>
      <c r="AG179" t="n">
        <v>31</v>
      </c>
      <c r="AH179" t="n">
        <v>5</v>
      </c>
      <c r="AI179" t="n">
        <v>6</v>
      </c>
      <c r="AJ179" t="n">
        <v>0</v>
      </c>
      <c r="AK179" t="n">
        <v>0</v>
      </c>
      <c r="AL179" t="n">
        <v>8</v>
      </c>
      <c r="AM179" t="n">
        <v>8</v>
      </c>
      <c r="AN179" t="n">
        <v>1</v>
      </c>
      <c r="AO179" t="n">
        <v>1</v>
      </c>
      <c r="AP179" t="n">
        <v>16</v>
      </c>
      <c r="AQ179" t="n">
        <v>19</v>
      </c>
      <c r="AR179" t="inlineStr">
        <is>
          <t>No</t>
        </is>
      </c>
      <c r="AS179" t="inlineStr">
        <is>
          <t>No</t>
        </is>
      </c>
      <c r="AU179">
        <f>HYPERLINK("https://creighton-primo.hosted.exlibrisgroup.com/primo-explore/search?tab=default_tab&amp;search_scope=EVERYTHING&amp;vid=01CRU&amp;lang=en_US&amp;offset=0&amp;query=any,contains,991001636089702656","Catalog Record")</f>
        <v/>
      </c>
      <c r="AV179">
        <f>HYPERLINK("http://www.worldcat.org/oclc/15595109","WorldCat Record")</f>
        <v/>
      </c>
      <c r="AW179" t="inlineStr">
        <is>
          <t>54836412:eng</t>
        </is>
      </c>
      <c r="AX179" t="inlineStr">
        <is>
          <t>15595109</t>
        </is>
      </c>
      <c r="AY179" t="inlineStr">
        <is>
          <t>991001636089702656</t>
        </is>
      </c>
      <c r="AZ179" t="inlineStr">
        <is>
          <t>991001636089702656</t>
        </is>
      </c>
      <c r="BA179" t="inlineStr">
        <is>
          <t>2255383300002656</t>
        </is>
      </c>
      <c r="BB179" t="inlineStr">
        <is>
          <t>BOOK</t>
        </is>
      </c>
      <c r="BD179" t="inlineStr">
        <is>
          <t>9780879753313</t>
        </is>
      </c>
      <c r="BE179" t="inlineStr">
        <is>
          <t>32285001058402</t>
        </is>
      </c>
      <c r="BF179" t="inlineStr">
        <is>
          <t>893885432</t>
        </is>
      </c>
    </row>
    <row r="180">
      <c r="B180" t="inlineStr">
        <is>
          <t>CURAL</t>
        </is>
      </c>
      <c r="C180" t="inlineStr">
        <is>
          <t>SHELVES</t>
        </is>
      </c>
      <c r="D180" t="inlineStr">
        <is>
          <t>KF3197 .P658 1989</t>
        </is>
      </c>
      <c r="E180" t="inlineStr">
        <is>
          <t>0                      KF 3197000P  658         1989</t>
        </is>
      </c>
      <c r="F180" t="inlineStr">
        <is>
          <t>Trade secrets : a guide to protecting proprietary business information / James H.A. Pooley.</t>
        </is>
      </c>
      <c r="H180" t="inlineStr">
        <is>
          <t>No</t>
        </is>
      </c>
      <c r="I180" t="inlineStr">
        <is>
          <t>1</t>
        </is>
      </c>
      <c r="J180" t="inlineStr">
        <is>
          <t>No</t>
        </is>
      </c>
      <c r="K180" t="inlineStr">
        <is>
          <t>No</t>
        </is>
      </c>
      <c r="L180" t="inlineStr">
        <is>
          <t>0</t>
        </is>
      </c>
      <c r="M180" t="inlineStr">
        <is>
          <t>Pooley, James.</t>
        </is>
      </c>
      <c r="N180" t="inlineStr">
        <is>
          <t>New York : American Management Association, 1989, c1987.</t>
        </is>
      </c>
      <c r="O180" t="inlineStr">
        <is>
          <t>1989</t>
        </is>
      </c>
      <c r="Q180" t="inlineStr">
        <is>
          <t>eng</t>
        </is>
      </c>
      <c r="R180" t="inlineStr">
        <is>
          <t>nyu</t>
        </is>
      </c>
      <c r="T180" t="inlineStr">
        <is>
          <t xml:space="preserve">KF </t>
        </is>
      </c>
      <c r="U180" t="n">
        <v>8</v>
      </c>
      <c r="V180" t="n">
        <v>8</v>
      </c>
      <c r="W180" t="inlineStr">
        <is>
          <t>2002-04-03</t>
        </is>
      </c>
      <c r="X180" t="inlineStr">
        <is>
          <t>2002-04-03</t>
        </is>
      </c>
      <c r="Y180" t="inlineStr">
        <is>
          <t>1991-11-25</t>
        </is>
      </c>
      <c r="Z180" t="inlineStr">
        <is>
          <t>1991-11-25</t>
        </is>
      </c>
      <c r="AA180" t="n">
        <v>197</v>
      </c>
      <c r="AB180" t="n">
        <v>188</v>
      </c>
      <c r="AC180" t="n">
        <v>188</v>
      </c>
      <c r="AD180" t="n">
        <v>2</v>
      </c>
      <c r="AE180" t="n">
        <v>2</v>
      </c>
      <c r="AF180" t="n">
        <v>12</v>
      </c>
      <c r="AG180" t="n">
        <v>12</v>
      </c>
      <c r="AH180" t="n">
        <v>2</v>
      </c>
      <c r="AI180" t="n">
        <v>2</v>
      </c>
      <c r="AJ180" t="n">
        <v>2</v>
      </c>
      <c r="AK180" t="n">
        <v>2</v>
      </c>
      <c r="AL180" t="n">
        <v>5</v>
      </c>
      <c r="AM180" t="n">
        <v>5</v>
      </c>
      <c r="AN180" t="n">
        <v>1</v>
      </c>
      <c r="AO180" t="n">
        <v>1</v>
      </c>
      <c r="AP180" t="n">
        <v>5</v>
      </c>
      <c r="AQ180" t="n">
        <v>5</v>
      </c>
      <c r="AR180" t="inlineStr">
        <is>
          <t>No</t>
        </is>
      </c>
      <c r="AS180" t="inlineStr">
        <is>
          <t>No</t>
        </is>
      </c>
      <c r="AU180">
        <f>HYPERLINK("https://creighton-primo.hosted.exlibrisgroup.com/primo-explore/search?tab=default_tab&amp;search_scope=EVERYTHING&amp;vid=01CRU&amp;lang=en_US&amp;offset=0&amp;query=any,contains,991001479949702656","Catalog Record")</f>
        <v/>
      </c>
      <c r="AV180">
        <f>HYPERLINK("http://www.worldcat.org/oclc/19623602","WorldCat Record")</f>
        <v/>
      </c>
      <c r="AW180" t="inlineStr">
        <is>
          <t>3856349836:eng</t>
        </is>
      </c>
      <c r="AX180" t="inlineStr">
        <is>
          <t>19623602</t>
        </is>
      </c>
      <c r="AY180" t="inlineStr">
        <is>
          <t>991001479949702656</t>
        </is>
      </c>
      <c r="AZ180" t="inlineStr">
        <is>
          <t>991001479949702656</t>
        </is>
      </c>
      <c r="BA180" t="inlineStr">
        <is>
          <t>2260896070002656</t>
        </is>
      </c>
      <c r="BB180" t="inlineStr">
        <is>
          <t>BOOK</t>
        </is>
      </c>
      <c r="BD180" t="inlineStr">
        <is>
          <t>9780814477243</t>
        </is>
      </c>
      <c r="BE180" t="inlineStr">
        <is>
          <t>32285000844109</t>
        </is>
      </c>
      <c r="BF180" t="inlineStr">
        <is>
          <t>893797601</t>
        </is>
      </c>
    </row>
    <row r="181">
      <c r="B181" t="inlineStr">
        <is>
          <t>CURAL</t>
        </is>
      </c>
      <c r="C181" t="inlineStr">
        <is>
          <t>SHELVES</t>
        </is>
      </c>
      <c r="D181" t="inlineStr">
        <is>
          <t>KF3319 .H83 1984</t>
        </is>
      </c>
      <c r="E181" t="inlineStr">
        <is>
          <t>0                      KF 3319000H  83          1984</t>
        </is>
      </c>
      <c r="F181" t="inlineStr">
        <is>
          <t>The law of the workplace : rights of employers and employees / James W. Hunt.</t>
        </is>
      </c>
      <c r="H181" t="inlineStr">
        <is>
          <t>No</t>
        </is>
      </c>
      <c r="I181" t="inlineStr">
        <is>
          <t>1</t>
        </is>
      </c>
      <c r="J181" t="inlineStr">
        <is>
          <t>No</t>
        </is>
      </c>
      <c r="K181" t="inlineStr">
        <is>
          <t>No</t>
        </is>
      </c>
      <c r="L181" t="inlineStr">
        <is>
          <t>0</t>
        </is>
      </c>
      <c r="M181" t="inlineStr">
        <is>
          <t>Hunt, James W.</t>
        </is>
      </c>
      <c r="N181" t="inlineStr">
        <is>
          <t>Washington, D.C. : Bureau of National Affairs, c1984.</t>
        </is>
      </c>
      <c r="O181" t="inlineStr">
        <is>
          <t>1984</t>
        </is>
      </c>
      <c r="Q181" t="inlineStr">
        <is>
          <t>eng</t>
        </is>
      </c>
      <c r="R181" t="inlineStr">
        <is>
          <t>dcu</t>
        </is>
      </c>
      <c r="T181" t="inlineStr">
        <is>
          <t xml:space="preserve">KF </t>
        </is>
      </c>
      <c r="U181" t="n">
        <v>4</v>
      </c>
      <c r="V181" t="n">
        <v>4</v>
      </c>
      <c r="W181" t="inlineStr">
        <is>
          <t>2002-03-19</t>
        </is>
      </c>
      <c r="X181" t="inlineStr">
        <is>
          <t>2002-03-19</t>
        </is>
      </c>
      <c r="Y181" t="inlineStr">
        <is>
          <t>1992-06-29</t>
        </is>
      </c>
      <c r="Z181" t="inlineStr">
        <is>
          <t>1992-06-29</t>
        </is>
      </c>
      <c r="AA181" t="n">
        <v>363</v>
      </c>
      <c r="AB181" t="n">
        <v>337</v>
      </c>
      <c r="AC181" t="n">
        <v>588</v>
      </c>
      <c r="AD181" t="n">
        <v>3</v>
      </c>
      <c r="AE181" t="n">
        <v>5</v>
      </c>
      <c r="AF181" t="n">
        <v>22</v>
      </c>
      <c r="AG181" t="n">
        <v>34</v>
      </c>
      <c r="AH181" t="n">
        <v>1</v>
      </c>
      <c r="AI181" t="n">
        <v>4</v>
      </c>
      <c r="AJ181" t="n">
        <v>1</v>
      </c>
      <c r="AK181" t="n">
        <v>5</v>
      </c>
      <c r="AL181" t="n">
        <v>3</v>
      </c>
      <c r="AM181" t="n">
        <v>8</v>
      </c>
      <c r="AN181" t="n">
        <v>2</v>
      </c>
      <c r="AO181" t="n">
        <v>3</v>
      </c>
      <c r="AP181" t="n">
        <v>15</v>
      </c>
      <c r="AQ181" t="n">
        <v>18</v>
      </c>
      <c r="AR181" t="inlineStr">
        <is>
          <t>No</t>
        </is>
      </c>
      <c r="AS181" t="inlineStr">
        <is>
          <t>Yes</t>
        </is>
      </c>
      <c r="AT181">
        <f>HYPERLINK("http://catalog.hathitrust.org/Record/006209905","HathiTrust Record")</f>
        <v/>
      </c>
      <c r="AU181">
        <f>HYPERLINK("https://creighton-primo.hosted.exlibrisgroup.com/primo-explore/search?tab=default_tab&amp;search_scope=EVERYTHING&amp;vid=01CRU&amp;lang=en_US&amp;offset=0&amp;query=any,contains,991000416639702656","Catalog Record")</f>
        <v/>
      </c>
      <c r="AV181">
        <f>HYPERLINK("http://www.worldcat.org/oclc/10724891","WorldCat Record")</f>
        <v/>
      </c>
      <c r="AW181" t="inlineStr">
        <is>
          <t>3406311:eng</t>
        </is>
      </c>
      <c r="AX181" t="inlineStr">
        <is>
          <t>10724891</t>
        </is>
      </c>
      <c r="AY181" t="inlineStr">
        <is>
          <t>991000416639702656</t>
        </is>
      </c>
      <c r="AZ181" t="inlineStr">
        <is>
          <t>991000416639702656</t>
        </is>
      </c>
      <c r="BA181" t="inlineStr">
        <is>
          <t>2263361580002656</t>
        </is>
      </c>
      <c r="BB181" t="inlineStr">
        <is>
          <t>BOOK</t>
        </is>
      </c>
      <c r="BD181" t="inlineStr">
        <is>
          <t>9780871794468</t>
        </is>
      </c>
      <c r="BE181" t="inlineStr">
        <is>
          <t>32285001175917</t>
        </is>
      </c>
      <c r="BF181" t="inlineStr">
        <is>
          <t>893796621</t>
        </is>
      </c>
    </row>
    <row r="182">
      <c r="B182" t="inlineStr">
        <is>
          <t>CURAL</t>
        </is>
      </c>
      <c r="C182" t="inlineStr">
        <is>
          <t>SHELVES</t>
        </is>
      </c>
      <c r="D182" t="inlineStr">
        <is>
          <t>KF3457 .M5 1979</t>
        </is>
      </c>
      <c r="E182" t="inlineStr">
        <is>
          <t>0                      KF 3457000M  5           1979</t>
        </is>
      </c>
      <c r="F182" t="inlineStr">
        <is>
          <t>Employee selection within the law / Mary Green Miner, John B. Miner.</t>
        </is>
      </c>
      <c r="H182" t="inlineStr">
        <is>
          <t>No</t>
        </is>
      </c>
      <c r="I182" t="inlineStr">
        <is>
          <t>1</t>
        </is>
      </c>
      <c r="J182" t="inlineStr">
        <is>
          <t>Yes</t>
        </is>
      </c>
      <c r="K182" t="inlineStr">
        <is>
          <t>No</t>
        </is>
      </c>
      <c r="L182" t="inlineStr">
        <is>
          <t>0</t>
        </is>
      </c>
      <c r="M182" t="inlineStr">
        <is>
          <t>Miner, Mary Green.</t>
        </is>
      </c>
      <c r="N182" t="inlineStr">
        <is>
          <t>Washington : Bureau of National Affairs, c1979.</t>
        </is>
      </c>
      <c r="O182" t="inlineStr">
        <is>
          <t>1979</t>
        </is>
      </c>
      <c r="Q182" t="inlineStr">
        <is>
          <t>eng</t>
        </is>
      </c>
      <c r="R182" t="inlineStr">
        <is>
          <t>dcu</t>
        </is>
      </c>
      <c r="T182" t="inlineStr">
        <is>
          <t xml:space="preserve">KF </t>
        </is>
      </c>
      <c r="U182" t="n">
        <v>3</v>
      </c>
      <c r="V182" t="n">
        <v>5</v>
      </c>
      <c r="W182" t="inlineStr">
        <is>
          <t>2006-03-30</t>
        </is>
      </c>
      <c r="X182" t="inlineStr">
        <is>
          <t>2006-03-30</t>
        </is>
      </c>
      <c r="Y182" t="inlineStr">
        <is>
          <t>1992-03-24</t>
        </is>
      </c>
      <c r="Z182" t="inlineStr">
        <is>
          <t>1996-05-22</t>
        </is>
      </c>
      <c r="AA182" t="n">
        <v>300</v>
      </c>
      <c r="AB182" t="n">
        <v>289</v>
      </c>
      <c r="AC182" t="n">
        <v>552</v>
      </c>
      <c r="AD182" t="n">
        <v>5</v>
      </c>
      <c r="AE182" t="n">
        <v>6</v>
      </c>
      <c r="AF182" t="n">
        <v>23</v>
      </c>
      <c r="AG182" t="n">
        <v>38</v>
      </c>
      <c r="AH182" t="n">
        <v>2</v>
      </c>
      <c r="AI182" t="n">
        <v>6</v>
      </c>
      <c r="AJ182" t="n">
        <v>2</v>
      </c>
      <c r="AK182" t="n">
        <v>3</v>
      </c>
      <c r="AL182" t="n">
        <v>10</v>
      </c>
      <c r="AM182" t="n">
        <v>13</v>
      </c>
      <c r="AN182" t="n">
        <v>2</v>
      </c>
      <c r="AO182" t="n">
        <v>3</v>
      </c>
      <c r="AP182" t="n">
        <v>10</v>
      </c>
      <c r="AQ182" t="n">
        <v>18</v>
      </c>
      <c r="AR182" t="inlineStr">
        <is>
          <t>No</t>
        </is>
      </c>
      <c r="AS182" t="inlineStr">
        <is>
          <t>No</t>
        </is>
      </c>
      <c r="AU182">
        <f>HYPERLINK("https://creighton-primo.hosted.exlibrisgroup.com/primo-explore/search?tab=default_tab&amp;search_scope=EVERYTHING&amp;vid=01CRU&amp;lang=en_US&amp;offset=0&amp;query=any,contains,991001804089702656","Catalog Record")</f>
        <v/>
      </c>
      <c r="AV182">
        <f>HYPERLINK("http://www.worldcat.org/oclc/5007559","WorldCat Record")</f>
        <v/>
      </c>
      <c r="AW182" t="inlineStr">
        <is>
          <t>518242:eng</t>
        </is>
      </c>
      <c r="AX182" t="inlineStr">
        <is>
          <t>5007559</t>
        </is>
      </c>
      <c r="AY182" t="inlineStr">
        <is>
          <t>991001804089702656</t>
        </is>
      </c>
      <c r="AZ182" t="inlineStr">
        <is>
          <t>991001804089702656</t>
        </is>
      </c>
      <c r="BA182" t="inlineStr">
        <is>
          <t>2271670540002656</t>
        </is>
      </c>
      <c r="BB182" t="inlineStr">
        <is>
          <t>BOOK</t>
        </is>
      </c>
      <c r="BD182" t="inlineStr">
        <is>
          <t>9780871792648</t>
        </is>
      </c>
      <c r="BE182" t="inlineStr">
        <is>
          <t>32285001040012</t>
        </is>
      </c>
      <c r="BF182" t="inlineStr">
        <is>
          <t>893684667</t>
        </is>
      </c>
    </row>
    <row r="183">
      <c r="B183" t="inlineStr">
        <is>
          <t>CURAL</t>
        </is>
      </c>
      <c r="C183" t="inlineStr">
        <is>
          <t>SHELVES</t>
        </is>
      </c>
      <c r="D183" t="inlineStr">
        <is>
          <t>KF3464 .B83 1985</t>
        </is>
      </c>
      <c r="E183" t="inlineStr">
        <is>
          <t>0                      KF 3464000B  83          1985</t>
        </is>
      </c>
      <c r="F183" t="inlineStr">
        <is>
          <t>Discrimination, jobs, and politics : the struggle for equal employment opportunity in the United States since the New Deal / Paul Burstein.</t>
        </is>
      </c>
      <c r="H183" t="inlineStr">
        <is>
          <t>No</t>
        </is>
      </c>
      <c r="I183" t="inlineStr">
        <is>
          <t>1</t>
        </is>
      </c>
      <c r="J183" t="inlineStr">
        <is>
          <t>No</t>
        </is>
      </c>
      <c r="K183" t="inlineStr">
        <is>
          <t>Yes</t>
        </is>
      </c>
      <c r="L183" t="inlineStr">
        <is>
          <t>0</t>
        </is>
      </c>
      <c r="M183" t="inlineStr">
        <is>
          <t>Burstein, Paul.</t>
        </is>
      </c>
      <c r="N183" t="inlineStr">
        <is>
          <t>Chicago : University of Chicago Press, c1985.</t>
        </is>
      </c>
      <c r="O183" t="inlineStr">
        <is>
          <t>1985</t>
        </is>
      </c>
      <c r="Q183" t="inlineStr">
        <is>
          <t>eng</t>
        </is>
      </c>
      <c r="R183" t="inlineStr">
        <is>
          <t>ilu</t>
        </is>
      </c>
      <c r="T183" t="inlineStr">
        <is>
          <t xml:space="preserve">KF </t>
        </is>
      </c>
      <c r="U183" t="n">
        <v>13</v>
      </c>
      <c r="V183" t="n">
        <v>13</v>
      </c>
      <c r="W183" t="inlineStr">
        <is>
          <t>2006-05-05</t>
        </is>
      </c>
      <c r="X183" t="inlineStr">
        <is>
          <t>2006-05-05</t>
        </is>
      </c>
      <c r="Y183" t="inlineStr">
        <is>
          <t>1992-04-14</t>
        </is>
      </c>
      <c r="Z183" t="inlineStr">
        <is>
          <t>1992-04-14</t>
        </is>
      </c>
      <c r="AA183" t="n">
        <v>728</v>
      </c>
      <c r="AB183" t="n">
        <v>636</v>
      </c>
      <c r="AC183" t="n">
        <v>717</v>
      </c>
      <c r="AD183" t="n">
        <v>3</v>
      </c>
      <c r="AE183" t="n">
        <v>4</v>
      </c>
      <c r="AF183" t="n">
        <v>40</v>
      </c>
      <c r="AG183" t="n">
        <v>45</v>
      </c>
      <c r="AH183" t="n">
        <v>9</v>
      </c>
      <c r="AI183" t="n">
        <v>10</v>
      </c>
      <c r="AJ183" t="n">
        <v>7</v>
      </c>
      <c r="AK183" t="n">
        <v>7</v>
      </c>
      <c r="AL183" t="n">
        <v>19</v>
      </c>
      <c r="AM183" t="n">
        <v>19</v>
      </c>
      <c r="AN183" t="n">
        <v>2</v>
      </c>
      <c r="AO183" t="n">
        <v>2</v>
      </c>
      <c r="AP183" t="n">
        <v>13</v>
      </c>
      <c r="AQ183" t="n">
        <v>17</v>
      </c>
      <c r="AR183" t="inlineStr">
        <is>
          <t>No</t>
        </is>
      </c>
      <c r="AS183" t="inlineStr">
        <is>
          <t>No</t>
        </is>
      </c>
      <c r="AU183">
        <f>HYPERLINK("https://creighton-primo.hosted.exlibrisgroup.com/primo-explore/search?tab=default_tab&amp;search_scope=EVERYTHING&amp;vid=01CRU&amp;lang=en_US&amp;offset=0&amp;query=any,contains,991000605589702656","Catalog Record")</f>
        <v/>
      </c>
      <c r="AV183">
        <f>HYPERLINK("http://www.worldcat.org/oclc/11866510","WorldCat Record")</f>
        <v/>
      </c>
      <c r="AW183" t="inlineStr">
        <is>
          <t>836706188:eng</t>
        </is>
      </c>
      <c r="AX183" t="inlineStr">
        <is>
          <t>11866510</t>
        </is>
      </c>
      <c r="AY183" t="inlineStr">
        <is>
          <t>991000605589702656</t>
        </is>
      </c>
      <c r="AZ183" t="inlineStr">
        <is>
          <t>991000605589702656</t>
        </is>
      </c>
      <c r="BA183" t="inlineStr">
        <is>
          <t>2265078190002656</t>
        </is>
      </c>
      <c r="BB183" t="inlineStr">
        <is>
          <t>BOOK</t>
        </is>
      </c>
      <c r="BD183" t="inlineStr">
        <is>
          <t>9780226081359</t>
        </is>
      </c>
      <c r="BE183" t="inlineStr">
        <is>
          <t>32285001068237</t>
        </is>
      </c>
      <c r="BF183" t="inlineStr">
        <is>
          <t>893890852</t>
        </is>
      </c>
    </row>
    <row r="184">
      <c r="B184" t="inlineStr">
        <is>
          <t>CURAL</t>
        </is>
      </c>
      <c r="C184" t="inlineStr">
        <is>
          <t>SHELVES</t>
        </is>
      </c>
      <c r="D184" t="inlineStr">
        <is>
          <t>KF3464 .P47</t>
        </is>
      </c>
      <c r="E184" t="inlineStr">
        <is>
          <t>0                      KF 3464000P  47</t>
        </is>
      </c>
      <c r="F184" t="inlineStr">
        <is>
          <t>Dealing with employment discrimination / Richard Peres.</t>
        </is>
      </c>
      <c r="H184" t="inlineStr">
        <is>
          <t>No</t>
        </is>
      </c>
      <c r="I184" t="inlineStr">
        <is>
          <t>1</t>
        </is>
      </c>
      <c r="J184" t="inlineStr">
        <is>
          <t>No</t>
        </is>
      </c>
      <c r="K184" t="inlineStr">
        <is>
          <t>No</t>
        </is>
      </c>
      <c r="L184" t="inlineStr">
        <is>
          <t>0</t>
        </is>
      </c>
      <c r="M184" t="inlineStr">
        <is>
          <t>Peres, Richard, 1947-</t>
        </is>
      </c>
      <c r="N184" t="inlineStr">
        <is>
          <t>New York : McGraw-Hill, c1978.</t>
        </is>
      </c>
      <c r="O184" t="inlineStr">
        <is>
          <t>1978</t>
        </is>
      </c>
      <c r="Q184" t="inlineStr">
        <is>
          <t>eng</t>
        </is>
      </c>
      <c r="R184" t="inlineStr">
        <is>
          <t>nyu</t>
        </is>
      </c>
      <c r="T184" t="inlineStr">
        <is>
          <t xml:space="preserve">KF </t>
        </is>
      </c>
      <c r="U184" t="n">
        <v>13</v>
      </c>
      <c r="V184" t="n">
        <v>13</v>
      </c>
      <c r="W184" t="inlineStr">
        <is>
          <t>2006-05-02</t>
        </is>
      </c>
      <c r="X184" t="inlineStr">
        <is>
          <t>2006-05-02</t>
        </is>
      </c>
      <c r="Y184" t="inlineStr">
        <is>
          <t>1991-10-29</t>
        </is>
      </c>
      <c r="Z184" t="inlineStr">
        <is>
          <t>1991-10-29</t>
        </is>
      </c>
      <c r="AA184" t="n">
        <v>525</v>
      </c>
      <c r="AB184" t="n">
        <v>475</v>
      </c>
      <c r="AC184" t="n">
        <v>477</v>
      </c>
      <c r="AD184" t="n">
        <v>3</v>
      </c>
      <c r="AE184" t="n">
        <v>3</v>
      </c>
      <c r="AF184" t="n">
        <v>22</v>
      </c>
      <c r="AG184" t="n">
        <v>22</v>
      </c>
      <c r="AH184" t="n">
        <v>7</v>
      </c>
      <c r="AI184" t="n">
        <v>7</v>
      </c>
      <c r="AJ184" t="n">
        <v>6</v>
      </c>
      <c r="AK184" t="n">
        <v>6</v>
      </c>
      <c r="AL184" t="n">
        <v>8</v>
      </c>
      <c r="AM184" t="n">
        <v>8</v>
      </c>
      <c r="AN184" t="n">
        <v>1</v>
      </c>
      <c r="AO184" t="n">
        <v>1</v>
      </c>
      <c r="AP184" t="n">
        <v>3</v>
      </c>
      <c r="AQ184" t="n">
        <v>3</v>
      </c>
      <c r="AR184" t="inlineStr">
        <is>
          <t>No</t>
        </is>
      </c>
      <c r="AS184" t="inlineStr">
        <is>
          <t>Yes</t>
        </is>
      </c>
      <c r="AT184">
        <f>HYPERLINK("http://catalog.hathitrust.org/Record/000253460","HathiTrust Record")</f>
        <v/>
      </c>
      <c r="AU184">
        <f>HYPERLINK("https://creighton-primo.hosted.exlibrisgroup.com/primo-explore/search?tab=default_tab&amp;search_scope=EVERYTHING&amp;vid=01CRU&amp;lang=en_US&amp;offset=0&amp;query=any,contains,991004334429702656","Catalog Record")</f>
        <v/>
      </c>
      <c r="AV184">
        <f>HYPERLINK("http://www.worldcat.org/oclc/3071951","WorldCat Record")</f>
        <v/>
      </c>
      <c r="AW184" t="inlineStr">
        <is>
          <t>147332572:eng</t>
        </is>
      </c>
      <c r="AX184" t="inlineStr">
        <is>
          <t>3071951</t>
        </is>
      </c>
      <c r="AY184" t="inlineStr">
        <is>
          <t>991004334429702656</t>
        </is>
      </c>
      <c r="AZ184" t="inlineStr">
        <is>
          <t>991004334429702656</t>
        </is>
      </c>
      <c r="BA184" t="inlineStr">
        <is>
          <t>2267991970002656</t>
        </is>
      </c>
      <c r="BB184" t="inlineStr">
        <is>
          <t>BOOK</t>
        </is>
      </c>
      <c r="BD184" t="inlineStr">
        <is>
          <t>9780070493179</t>
        </is>
      </c>
      <c r="BE184" t="inlineStr">
        <is>
          <t>32285000802917</t>
        </is>
      </c>
      <c r="BF184" t="inlineStr">
        <is>
          <t>893343709</t>
        </is>
      </c>
    </row>
    <row r="185">
      <c r="B185" t="inlineStr">
        <is>
          <t>CURAL</t>
        </is>
      </c>
      <c r="C185" t="inlineStr">
        <is>
          <t>SHELVES</t>
        </is>
      </c>
      <c r="D185" t="inlineStr">
        <is>
          <t>KF3467 .M37 1989</t>
        </is>
      </c>
      <c r="E185" t="inlineStr">
        <is>
          <t>0                      KF 3467000M  37          1989</t>
        </is>
      </c>
      <c r="F185" t="inlineStr">
        <is>
          <t>Litigation, courts, and women workers / Karen J. Maschke.</t>
        </is>
      </c>
      <c r="H185" t="inlineStr">
        <is>
          <t>No</t>
        </is>
      </c>
      <c r="I185" t="inlineStr">
        <is>
          <t>1</t>
        </is>
      </c>
      <c r="J185" t="inlineStr">
        <is>
          <t>Yes</t>
        </is>
      </c>
      <c r="K185" t="inlineStr">
        <is>
          <t>No</t>
        </is>
      </c>
      <c r="L185" t="inlineStr">
        <is>
          <t>0</t>
        </is>
      </c>
      <c r="M185" t="inlineStr">
        <is>
          <t>Maschke, Karen J.</t>
        </is>
      </c>
      <c r="N185" t="inlineStr">
        <is>
          <t>New York : Praeger, 1989.</t>
        </is>
      </c>
      <c r="O185" t="inlineStr">
        <is>
          <t>1989</t>
        </is>
      </c>
      <c r="Q185" t="inlineStr">
        <is>
          <t>eng</t>
        </is>
      </c>
      <c r="R185" t="inlineStr">
        <is>
          <t>nyu</t>
        </is>
      </c>
      <c r="T185" t="inlineStr">
        <is>
          <t xml:space="preserve">KF </t>
        </is>
      </c>
      <c r="U185" t="n">
        <v>6</v>
      </c>
      <c r="V185" t="n">
        <v>9</v>
      </c>
      <c r="W185" t="inlineStr">
        <is>
          <t>2007-12-06</t>
        </is>
      </c>
      <c r="X185" t="inlineStr">
        <is>
          <t>2007-12-06</t>
        </is>
      </c>
      <c r="Y185" t="inlineStr">
        <is>
          <t>1990-07-18</t>
        </is>
      </c>
      <c r="Z185" t="inlineStr">
        <is>
          <t>1992-03-24</t>
        </is>
      </c>
      <c r="AA185" t="n">
        <v>449</v>
      </c>
      <c r="AB185" t="n">
        <v>416</v>
      </c>
      <c r="AC185" t="n">
        <v>423</v>
      </c>
      <c r="AD185" t="n">
        <v>5</v>
      </c>
      <c r="AE185" t="n">
        <v>5</v>
      </c>
      <c r="AF185" t="n">
        <v>31</v>
      </c>
      <c r="AG185" t="n">
        <v>31</v>
      </c>
      <c r="AH185" t="n">
        <v>7</v>
      </c>
      <c r="AI185" t="n">
        <v>7</v>
      </c>
      <c r="AJ185" t="n">
        <v>6</v>
      </c>
      <c r="AK185" t="n">
        <v>6</v>
      </c>
      <c r="AL185" t="n">
        <v>10</v>
      </c>
      <c r="AM185" t="n">
        <v>10</v>
      </c>
      <c r="AN185" t="n">
        <v>3</v>
      </c>
      <c r="AO185" t="n">
        <v>3</v>
      </c>
      <c r="AP185" t="n">
        <v>12</v>
      </c>
      <c r="AQ185" t="n">
        <v>12</v>
      </c>
      <c r="AR185" t="inlineStr">
        <is>
          <t>No</t>
        </is>
      </c>
      <c r="AS185" t="inlineStr">
        <is>
          <t>Yes</t>
        </is>
      </c>
      <c r="AT185">
        <f>HYPERLINK("http://catalog.hathitrust.org/Record/001536627","HathiTrust Record")</f>
        <v/>
      </c>
      <c r="AU185">
        <f>HYPERLINK("https://creighton-primo.hosted.exlibrisgroup.com/primo-explore/search?tab=default_tab&amp;search_scope=EVERYTHING&amp;vid=01CRU&amp;lang=en_US&amp;offset=0&amp;query=any,contains,991001640549702656","Catalog Record")</f>
        <v/>
      </c>
      <c r="AV185">
        <f>HYPERLINK("http://www.worldcat.org/oclc/18949568","WorldCat Record")</f>
        <v/>
      </c>
      <c r="AW185" t="inlineStr">
        <is>
          <t>2565377:eng</t>
        </is>
      </c>
      <c r="AX185" t="inlineStr">
        <is>
          <t>18949568</t>
        </is>
      </c>
      <c r="AY185" t="inlineStr">
        <is>
          <t>991001640549702656</t>
        </is>
      </c>
      <c r="AZ185" t="inlineStr">
        <is>
          <t>991001640549702656</t>
        </is>
      </c>
      <c r="BA185" t="inlineStr">
        <is>
          <t>2270770090002656</t>
        </is>
      </c>
      <c r="BB185" t="inlineStr">
        <is>
          <t>BOOK</t>
        </is>
      </c>
      <c r="BD185" t="inlineStr">
        <is>
          <t>9780275930653</t>
        </is>
      </c>
      <c r="BE185" t="inlineStr">
        <is>
          <t>32285000238799</t>
        </is>
      </c>
      <c r="BF185" t="inlineStr">
        <is>
          <t>893803765</t>
        </is>
      </c>
    </row>
    <row r="186">
      <c r="B186" t="inlineStr">
        <is>
          <t>CURAL</t>
        </is>
      </c>
      <c r="C186" t="inlineStr">
        <is>
          <t>SHELVES</t>
        </is>
      </c>
      <c r="D186" t="inlineStr">
        <is>
          <t>KF3467 .P45 1981</t>
        </is>
      </c>
      <c r="E186" t="inlineStr">
        <is>
          <t>0                      KF 3467000P  45          1981</t>
        </is>
      </c>
      <c r="F186" t="inlineStr">
        <is>
          <t>Sex discrimination in employment : an analysis and guide for practitioner and student / William F. Pepper and Florynce R. Kennedy.</t>
        </is>
      </c>
      <c r="H186" t="inlineStr">
        <is>
          <t>No</t>
        </is>
      </c>
      <c r="I186" t="inlineStr">
        <is>
          <t>1</t>
        </is>
      </c>
      <c r="J186" t="inlineStr">
        <is>
          <t>Yes</t>
        </is>
      </c>
      <c r="K186" t="inlineStr">
        <is>
          <t>No</t>
        </is>
      </c>
      <c r="L186" t="inlineStr">
        <is>
          <t>0</t>
        </is>
      </c>
      <c r="M186" t="inlineStr">
        <is>
          <t>Pepper, William F., 1937-</t>
        </is>
      </c>
      <c r="N186" t="inlineStr">
        <is>
          <t>Charlottesville, Va. : Michie Co., c1981.</t>
        </is>
      </c>
      <c r="O186" t="inlineStr">
        <is>
          <t>1981</t>
        </is>
      </c>
      <c r="Q186" t="inlineStr">
        <is>
          <t>eng</t>
        </is>
      </c>
      <c r="R186" t="inlineStr">
        <is>
          <t>vau</t>
        </is>
      </c>
      <c r="T186" t="inlineStr">
        <is>
          <t xml:space="preserve">KF </t>
        </is>
      </c>
      <c r="U186" t="n">
        <v>13</v>
      </c>
      <c r="V186" t="n">
        <v>17</v>
      </c>
      <c r="W186" t="inlineStr">
        <is>
          <t>2009-12-13</t>
        </is>
      </c>
      <c r="X186" t="inlineStr">
        <is>
          <t>2009-12-13</t>
        </is>
      </c>
      <c r="Y186" t="inlineStr">
        <is>
          <t>1991-12-09</t>
        </is>
      </c>
      <c r="Z186" t="inlineStr">
        <is>
          <t>1992-07-16</t>
        </is>
      </c>
      <c r="AA186" t="n">
        <v>270</v>
      </c>
      <c r="AB186" t="n">
        <v>248</v>
      </c>
      <c r="AC186" t="n">
        <v>251</v>
      </c>
      <c r="AD186" t="n">
        <v>3</v>
      </c>
      <c r="AE186" t="n">
        <v>3</v>
      </c>
      <c r="AF186" t="n">
        <v>15</v>
      </c>
      <c r="AG186" t="n">
        <v>15</v>
      </c>
      <c r="AH186" t="n">
        <v>2</v>
      </c>
      <c r="AI186" t="n">
        <v>2</v>
      </c>
      <c r="AJ186" t="n">
        <v>0</v>
      </c>
      <c r="AK186" t="n">
        <v>0</v>
      </c>
      <c r="AL186" t="n">
        <v>0</v>
      </c>
      <c r="AM186" t="n">
        <v>0</v>
      </c>
      <c r="AN186" t="n">
        <v>0</v>
      </c>
      <c r="AO186" t="n">
        <v>0</v>
      </c>
      <c r="AP186" t="n">
        <v>13</v>
      </c>
      <c r="AQ186" t="n">
        <v>13</v>
      </c>
      <c r="AR186" t="inlineStr">
        <is>
          <t>No</t>
        </is>
      </c>
      <c r="AS186" t="inlineStr">
        <is>
          <t>Yes</t>
        </is>
      </c>
      <c r="AT186">
        <f>HYPERLINK("http://catalog.hathitrust.org/Record/000232217","HathiTrust Record")</f>
        <v/>
      </c>
      <c r="AU186">
        <f>HYPERLINK("https://creighton-primo.hosted.exlibrisgroup.com/primo-explore/search?tab=default_tab&amp;search_scope=EVERYTHING&amp;vid=01CRU&amp;lang=en_US&amp;offset=0&amp;query=any,contains,991001622259702656","Catalog Record")</f>
        <v/>
      </c>
      <c r="AV186">
        <f>HYPERLINK("http://www.worldcat.org/oclc/8339037","WorldCat Record")</f>
        <v/>
      </c>
      <c r="AW186" t="inlineStr">
        <is>
          <t>309281456:eng</t>
        </is>
      </c>
      <c r="AX186" t="inlineStr">
        <is>
          <t>8339037</t>
        </is>
      </c>
      <c r="AY186" t="inlineStr">
        <is>
          <t>991001622259702656</t>
        </is>
      </c>
      <c r="AZ186" t="inlineStr">
        <is>
          <t>991001622259702656</t>
        </is>
      </c>
      <c r="BA186" t="inlineStr">
        <is>
          <t>2266294790002656</t>
        </is>
      </c>
      <c r="BB186" t="inlineStr">
        <is>
          <t>BOOK</t>
        </is>
      </c>
      <c r="BD186" t="inlineStr">
        <is>
          <t>9780872153318</t>
        </is>
      </c>
      <c r="BE186" t="inlineStr">
        <is>
          <t>32285000829878</t>
        </is>
      </c>
      <c r="BF186" t="inlineStr">
        <is>
          <t>893602716</t>
        </is>
      </c>
    </row>
    <row r="187">
      <c r="B187" t="inlineStr">
        <is>
          <t>CURAL</t>
        </is>
      </c>
      <c r="C187" t="inlineStr">
        <is>
          <t>SHELVES</t>
        </is>
      </c>
      <c r="D187" t="inlineStr">
        <is>
          <t>KF3467.Z9 P39 1984</t>
        </is>
      </c>
      <c r="E187" t="inlineStr">
        <is>
          <t>0                      KF 3467000Z  9                  P  39          1984</t>
        </is>
      </c>
      <c r="F187" t="inlineStr">
        <is>
          <t>Pay equity and comparable worth.</t>
        </is>
      </c>
      <c r="H187" t="inlineStr">
        <is>
          <t>No</t>
        </is>
      </c>
      <c r="I187" t="inlineStr">
        <is>
          <t>1</t>
        </is>
      </c>
      <c r="J187" t="inlineStr">
        <is>
          <t>No</t>
        </is>
      </c>
      <c r="K187" t="inlineStr">
        <is>
          <t>No</t>
        </is>
      </c>
      <c r="L187" t="inlineStr">
        <is>
          <t>0</t>
        </is>
      </c>
      <c r="N187" t="inlineStr">
        <is>
          <t>Washington, D.C. (1231 25th St., N.W., Washington 20037) : Bureau of National Affairs, c1984.</t>
        </is>
      </c>
      <c r="O187" t="inlineStr">
        <is>
          <t>1984</t>
        </is>
      </c>
      <c r="Q187" t="inlineStr">
        <is>
          <t>eng</t>
        </is>
      </c>
      <c r="R187" t="inlineStr">
        <is>
          <t>dcu</t>
        </is>
      </c>
      <c r="S187" t="inlineStr">
        <is>
          <t>A BNA special report</t>
        </is>
      </c>
      <c r="T187" t="inlineStr">
        <is>
          <t xml:space="preserve">KF </t>
        </is>
      </c>
      <c r="U187" t="n">
        <v>3</v>
      </c>
      <c r="V187" t="n">
        <v>3</v>
      </c>
      <c r="W187" t="inlineStr">
        <is>
          <t>2004-04-16</t>
        </is>
      </c>
      <c r="X187" t="inlineStr">
        <is>
          <t>2004-04-16</t>
        </is>
      </c>
      <c r="Y187" t="inlineStr">
        <is>
          <t>1992-07-01</t>
        </is>
      </c>
      <c r="Z187" t="inlineStr">
        <is>
          <t>1992-07-01</t>
        </is>
      </c>
      <c r="AA187" t="n">
        <v>284</v>
      </c>
      <c r="AB187" t="n">
        <v>262</v>
      </c>
      <c r="AC187" t="n">
        <v>280</v>
      </c>
      <c r="AD187" t="n">
        <v>3</v>
      </c>
      <c r="AE187" t="n">
        <v>3</v>
      </c>
      <c r="AF187" t="n">
        <v>20</v>
      </c>
      <c r="AG187" t="n">
        <v>22</v>
      </c>
      <c r="AH187" t="n">
        <v>1</v>
      </c>
      <c r="AI187" t="n">
        <v>2</v>
      </c>
      <c r="AJ187" t="n">
        <v>2</v>
      </c>
      <c r="AK187" t="n">
        <v>3</v>
      </c>
      <c r="AL187" t="n">
        <v>5</v>
      </c>
      <c r="AM187" t="n">
        <v>5</v>
      </c>
      <c r="AN187" t="n">
        <v>1</v>
      </c>
      <c r="AO187" t="n">
        <v>1</v>
      </c>
      <c r="AP187" t="n">
        <v>12</v>
      </c>
      <c r="AQ187" t="n">
        <v>12</v>
      </c>
      <c r="AR187" t="inlineStr">
        <is>
          <t>No</t>
        </is>
      </c>
      <c r="AS187" t="inlineStr">
        <is>
          <t>Yes</t>
        </is>
      </c>
      <c r="AT187">
        <f>HYPERLINK("http://catalog.hathitrust.org/Record/004508702","HathiTrust Record")</f>
        <v/>
      </c>
      <c r="AU187">
        <f>HYPERLINK("https://creighton-primo.hosted.exlibrisgroup.com/primo-explore/search?tab=default_tab&amp;search_scope=EVERYTHING&amp;vid=01CRU&amp;lang=en_US&amp;offset=0&amp;query=any,contains,991000482529702656","Catalog Record")</f>
        <v/>
      </c>
      <c r="AV187">
        <f>HYPERLINK("http://www.worldcat.org/oclc/11058544","WorldCat Record")</f>
        <v/>
      </c>
      <c r="AW187" t="inlineStr">
        <is>
          <t>3724208:eng</t>
        </is>
      </c>
      <c r="AX187" t="inlineStr">
        <is>
          <t>11058544</t>
        </is>
      </c>
      <c r="AY187" t="inlineStr">
        <is>
          <t>991000482529702656</t>
        </is>
      </c>
      <c r="AZ187" t="inlineStr">
        <is>
          <t>991000482529702656</t>
        </is>
      </c>
      <c r="BA187" t="inlineStr">
        <is>
          <t>2257837100002656</t>
        </is>
      </c>
      <c r="BB187" t="inlineStr">
        <is>
          <t>BOOK</t>
        </is>
      </c>
      <c r="BE187" t="inlineStr">
        <is>
          <t>32285001176253</t>
        </is>
      </c>
      <c r="BF187" t="inlineStr">
        <is>
          <t>893528077</t>
        </is>
      </c>
    </row>
    <row r="188">
      <c r="B188" t="inlineStr">
        <is>
          <t>CURAL</t>
        </is>
      </c>
      <c r="C188" t="inlineStr">
        <is>
          <t>SHELVES</t>
        </is>
      </c>
      <c r="D188" t="inlineStr">
        <is>
          <t>KF3469 .Z55</t>
        </is>
      </c>
      <c r="E188" t="inlineStr">
        <is>
          <t>0                      KF 3469000Z  55</t>
        </is>
      </c>
      <c r="F188" t="inlineStr">
        <is>
          <t>Employing the handicapped : a practical compliance manual / by Arno B. Zimmer.</t>
        </is>
      </c>
      <c r="H188" t="inlineStr">
        <is>
          <t>No</t>
        </is>
      </c>
      <c r="I188" t="inlineStr">
        <is>
          <t>1</t>
        </is>
      </c>
      <c r="J188" t="inlineStr">
        <is>
          <t>No</t>
        </is>
      </c>
      <c r="K188" t="inlineStr">
        <is>
          <t>No</t>
        </is>
      </c>
      <c r="L188" t="inlineStr">
        <is>
          <t>0</t>
        </is>
      </c>
      <c r="M188" t="inlineStr">
        <is>
          <t>Zimmer, Arno B.</t>
        </is>
      </c>
      <c r="N188" t="inlineStr">
        <is>
          <t>New York, N.Y. : AMACOM, c1981.</t>
        </is>
      </c>
      <c r="O188" t="inlineStr">
        <is>
          <t>1981</t>
        </is>
      </c>
      <c r="Q188" t="inlineStr">
        <is>
          <t>eng</t>
        </is>
      </c>
      <c r="R188" t="inlineStr">
        <is>
          <t>nyu</t>
        </is>
      </c>
      <c r="T188" t="inlineStr">
        <is>
          <t xml:space="preserve">KF </t>
        </is>
      </c>
      <c r="U188" t="n">
        <v>2</v>
      </c>
      <c r="V188" t="n">
        <v>2</v>
      </c>
      <c r="W188" t="inlineStr">
        <is>
          <t>2006-10-01</t>
        </is>
      </c>
      <c r="X188" t="inlineStr">
        <is>
          <t>2006-10-01</t>
        </is>
      </c>
      <c r="Y188" t="inlineStr">
        <is>
          <t>1990-04-25</t>
        </is>
      </c>
      <c r="Z188" t="inlineStr">
        <is>
          <t>1990-04-25</t>
        </is>
      </c>
      <c r="AA188" t="n">
        <v>516</v>
      </c>
      <c r="AB188" t="n">
        <v>495</v>
      </c>
      <c r="AC188" t="n">
        <v>499</v>
      </c>
      <c r="AD188" t="n">
        <v>4</v>
      </c>
      <c r="AE188" t="n">
        <v>4</v>
      </c>
      <c r="AF188" t="n">
        <v>20</v>
      </c>
      <c r="AG188" t="n">
        <v>20</v>
      </c>
      <c r="AH188" t="n">
        <v>5</v>
      </c>
      <c r="AI188" t="n">
        <v>5</v>
      </c>
      <c r="AJ188" t="n">
        <v>2</v>
      </c>
      <c r="AK188" t="n">
        <v>2</v>
      </c>
      <c r="AL188" t="n">
        <v>9</v>
      </c>
      <c r="AM188" t="n">
        <v>9</v>
      </c>
      <c r="AN188" t="n">
        <v>3</v>
      </c>
      <c r="AO188" t="n">
        <v>3</v>
      </c>
      <c r="AP188" t="n">
        <v>5</v>
      </c>
      <c r="AQ188" t="n">
        <v>5</v>
      </c>
      <c r="AR188" t="inlineStr">
        <is>
          <t>No</t>
        </is>
      </c>
      <c r="AS188" t="inlineStr">
        <is>
          <t>No</t>
        </is>
      </c>
      <c r="AU188">
        <f>HYPERLINK("https://creighton-primo.hosted.exlibrisgroup.com/primo-explore/search?tab=default_tab&amp;search_scope=EVERYTHING&amp;vid=01CRU&amp;lang=en_US&amp;offset=0&amp;query=any,contains,991005055009702656","Catalog Record")</f>
        <v/>
      </c>
      <c r="AV188">
        <f>HYPERLINK("http://www.worldcat.org/oclc/6890632","WorldCat Record")</f>
        <v/>
      </c>
      <c r="AW188" t="inlineStr">
        <is>
          <t>476316:eng</t>
        </is>
      </c>
      <c r="AX188" t="inlineStr">
        <is>
          <t>6890632</t>
        </is>
      </c>
      <c r="AY188" t="inlineStr">
        <is>
          <t>991005055009702656</t>
        </is>
      </c>
      <c r="AZ188" t="inlineStr">
        <is>
          <t>991005055009702656</t>
        </is>
      </c>
      <c r="BA188" t="inlineStr">
        <is>
          <t>2261861110002656</t>
        </is>
      </c>
      <c r="BB188" t="inlineStr">
        <is>
          <t>BOOK</t>
        </is>
      </c>
      <c r="BD188" t="inlineStr">
        <is>
          <t>9780814455258</t>
        </is>
      </c>
      <c r="BE188" t="inlineStr">
        <is>
          <t>32285000133453</t>
        </is>
      </c>
      <c r="BF188" t="inlineStr">
        <is>
          <t>893446529</t>
        </is>
      </c>
    </row>
    <row r="189">
      <c r="B189" t="inlineStr">
        <is>
          <t>CURAL</t>
        </is>
      </c>
      <c r="C189" t="inlineStr">
        <is>
          <t>SHELVES</t>
        </is>
      </c>
      <c r="D189" t="inlineStr">
        <is>
          <t>KF3471 .E44 1981</t>
        </is>
      </c>
      <c r="E189" t="inlineStr">
        <is>
          <t>0                      KF 3471000E  44          1981</t>
        </is>
      </c>
      <c r="F189" t="inlineStr">
        <is>
          <t>Employee termination handbook : legal and psychological guidelines for employers.</t>
        </is>
      </c>
      <c r="H189" t="inlineStr">
        <is>
          <t>No</t>
        </is>
      </c>
      <c r="I189" t="inlineStr">
        <is>
          <t>1</t>
        </is>
      </c>
      <c r="J189" t="inlineStr">
        <is>
          <t>No</t>
        </is>
      </c>
      <c r="K189" t="inlineStr">
        <is>
          <t>No</t>
        </is>
      </c>
      <c r="L189" t="inlineStr">
        <is>
          <t>0</t>
        </is>
      </c>
      <c r="N189" t="inlineStr">
        <is>
          <t>New York, N.Y. : Executive Enterprises Publications Co., c1981.</t>
        </is>
      </c>
      <c r="O189" t="inlineStr">
        <is>
          <t>1981</t>
        </is>
      </c>
      <c r="Q189" t="inlineStr">
        <is>
          <t>eng</t>
        </is>
      </c>
      <c r="R189" t="inlineStr">
        <is>
          <t>nyu</t>
        </is>
      </c>
      <c r="T189" t="inlineStr">
        <is>
          <t xml:space="preserve">KF </t>
        </is>
      </c>
      <c r="U189" t="n">
        <v>6</v>
      </c>
      <c r="V189" t="n">
        <v>6</v>
      </c>
      <c r="W189" t="inlineStr">
        <is>
          <t>2007-12-06</t>
        </is>
      </c>
      <c r="X189" t="inlineStr">
        <is>
          <t>2007-12-06</t>
        </is>
      </c>
      <c r="Y189" t="inlineStr">
        <is>
          <t>1992-07-01</t>
        </is>
      </c>
      <c r="Z189" t="inlineStr">
        <is>
          <t>1992-07-01</t>
        </is>
      </c>
      <c r="AA189" t="n">
        <v>143</v>
      </c>
      <c r="AB189" t="n">
        <v>126</v>
      </c>
      <c r="AC189" t="n">
        <v>126</v>
      </c>
      <c r="AD189" t="n">
        <v>2</v>
      </c>
      <c r="AE189" t="n">
        <v>2</v>
      </c>
      <c r="AF189" t="n">
        <v>7</v>
      </c>
      <c r="AG189" t="n">
        <v>7</v>
      </c>
      <c r="AH189" t="n">
        <v>0</v>
      </c>
      <c r="AI189" t="n">
        <v>0</v>
      </c>
      <c r="AJ189" t="n">
        <v>1</v>
      </c>
      <c r="AK189" t="n">
        <v>1</v>
      </c>
      <c r="AL189" t="n">
        <v>2</v>
      </c>
      <c r="AM189" t="n">
        <v>2</v>
      </c>
      <c r="AN189" t="n">
        <v>1</v>
      </c>
      <c r="AO189" t="n">
        <v>1</v>
      </c>
      <c r="AP189" t="n">
        <v>4</v>
      </c>
      <c r="AQ189" t="n">
        <v>4</v>
      </c>
      <c r="AR189" t="inlineStr">
        <is>
          <t>No</t>
        </is>
      </c>
      <c r="AS189" t="inlineStr">
        <is>
          <t>No</t>
        </is>
      </c>
      <c r="AU189">
        <f>HYPERLINK("https://creighton-primo.hosted.exlibrisgroup.com/primo-explore/search?tab=default_tab&amp;search_scope=EVERYTHING&amp;vid=01CRU&amp;lang=en_US&amp;offset=0&amp;query=any,contains,991005181079702656","Catalog Record")</f>
        <v/>
      </c>
      <c r="AV189">
        <f>HYPERLINK("http://www.worldcat.org/oclc/7946044","WorldCat Record")</f>
        <v/>
      </c>
      <c r="AW189" t="inlineStr">
        <is>
          <t>147265969:eng</t>
        </is>
      </c>
      <c r="AX189" t="inlineStr">
        <is>
          <t>7946044</t>
        </is>
      </c>
      <c r="AY189" t="inlineStr">
        <is>
          <t>991005181079702656</t>
        </is>
      </c>
      <c r="AZ189" t="inlineStr">
        <is>
          <t>991005181079702656</t>
        </is>
      </c>
      <c r="BA189" t="inlineStr">
        <is>
          <t>2272574710002656</t>
        </is>
      </c>
      <c r="BB189" t="inlineStr">
        <is>
          <t>BOOK</t>
        </is>
      </c>
      <c r="BD189" t="inlineStr">
        <is>
          <t>9780917386411</t>
        </is>
      </c>
      <c r="BE189" t="inlineStr">
        <is>
          <t>32285001176261</t>
        </is>
      </c>
      <c r="BF189" t="inlineStr">
        <is>
          <t>893418511</t>
        </is>
      </c>
    </row>
    <row r="190">
      <c r="B190" t="inlineStr">
        <is>
          <t>CURAL</t>
        </is>
      </c>
      <c r="C190" t="inlineStr">
        <is>
          <t>SHELVES</t>
        </is>
      </c>
      <c r="D190" t="inlineStr">
        <is>
          <t>KF3484.7 .C65 1966</t>
        </is>
      </c>
      <c r="E190" t="inlineStr">
        <is>
          <t>0                      KF 3484700C  65          1966</t>
        </is>
      </c>
      <c r="F190" t="inlineStr">
        <is>
          <t>New 1966 minimum wage law, with explanation; fair labor standards act with 1966 amendments, as passed by Congress and sent to the President, September 14, 1966. H.R. 13712.</t>
        </is>
      </c>
      <c r="H190" t="inlineStr">
        <is>
          <t>No</t>
        </is>
      </c>
      <c r="I190" t="inlineStr">
        <is>
          <t>1</t>
        </is>
      </c>
      <c r="J190" t="inlineStr">
        <is>
          <t>No</t>
        </is>
      </c>
      <c r="K190" t="inlineStr">
        <is>
          <t>No</t>
        </is>
      </c>
      <c r="L190" t="inlineStr">
        <is>
          <t>0</t>
        </is>
      </c>
      <c r="M190" t="inlineStr">
        <is>
          <t>Commerce Clearing House.</t>
        </is>
      </c>
      <c r="O190" t="inlineStr">
        <is>
          <t>1966</t>
        </is>
      </c>
      <c r="Q190" t="inlineStr">
        <is>
          <t>eng</t>
        </is>
      </c>
      <c r="R190" t="inlineStr">
        <is>
          <t>nyu</t>
        </is>
      </c>
      <c r="T190" t="inlineStr">
        <is>
          <t xml:space="preserve">KF </t>
        </is>
      </c>
      <c r="U190" t="n">
        <v>4</v>
      </c>
      <c r="V190" t="n">
        <v>4</v>
      </c>
      <c r="W190" t="inlineStr">
        <is>
          <t>2004-11-29</t>
        </is>
      </c>
      <c r="X190" t="inlineStr">
        <is>
          <t>2004-11-29</t>
        </is>
      </c>
      <c r="Y190" t="inlineStr">
        <is>
          <t>1997-04-16</t>
        </is>
      </c>
      <c r="Z190" t="inlineStr">
        <is>
          <t>1997-04-16</t>
        </is>
      </c>
      <c r="AA190" t="n">
        <v>12</v>
      </c>
      <c r="AB190" t="n">
        <v>12</v>
      </c>
      <c r="AC190" t="n">
        <v>12</v>
      </c>
      <c r="AD190" t="n">
        <v>1</v>
      </c>
      <c r="AE190" t="n">
        <v>1</v>
      </c>
      <c r="AF190" t="n">
        <v>0</v>
      </c>
      <c r="AG190" t="n">
        <v>0</v>
      </c>
      <c r="AH190" t="n">
        <v>0</v>
      </c>
      <c r="AI190" t="n">
        <v>0</v>
      </c>
      <c r="AJ190" t="n">
        <v>0</v>
      </c>
      <c r="AK190" t="n">
        <v>0</v>
      </c>
      <c r="AL190" t="n">
        <v>0</v>
      </c>
      <c r="AM190" t="n">
        <v>0</v>
      </c>
      <c r="AN190" t="n">
        <v>0</v>
      </c>
      <c r="AO190" t="n">
        <v>0</v>
      </c>
      <c r="AP190" t="n">
        <v>0</v>
      </c>
      <c r="AQ190" t="n">
        <v>0</v>
      </c>
      <c r="AR190" t="inlineStr">
        <is>
          <t>No</t>
        </is>
      </c>
      <c r="AS190" t="inlineStr">
        <is>
          <t>No</t>
        </is>
      </c>
      <c r="AU190">
        <f>HYPERLINK("https://creighton-primo.hosted.exlibrisgroup.com/primo-explore/search?tab=default_tab&amp;search_scope=EVERYTHING&amp;vid=01CRU&amp;lang=en_US&amp;offset=0&amp;query=any,contains,991001792709702656","Catalog Record")</f>
        <v/>
      </c>
      <c r="AV190">
        <f>HYPERLINK("http://www.worldcat.org/oclc/22563995","WorldCat Record")</f>
        <v/>
      </c>
      <c r="AW190" t="inlineStr">
        <is>
          <t>3768996680:eng</t>
        </is>
      </c>
      <c r="AX190" t="inlineStr">
        <is>
          <t>22563995</t>
        </is>
      </c>
      <c r="AY190" t="inlineStr">
        <is>
          <t>991001792709702656</t>
        </is>
      </c>
      <c r="AZ190" t="inlineStr">
        <is>
          <t>991001792709702656</t>
        </is>
      </c>
      <c r="BA190" t="inlineStr">
        <is>
          <t>2265489150002656</t>
        </is>
      </c>
      <c r="BB190" t="inlineStr">
        <is>
          <t>BOOK</t>
        </is>
      </c>
      <c r="BE190" t="inlineStr">
        <is>
          <t>32285002550852</t>
        </is>
      </c>
      <c r="BF190" t="inlineStr">
        <is>
          <t>893328385</t>
        </is>
      </c>
    </row>
    <row r="191">
      <c r="B191" t="inlineStr">
        <is>
          <t>CURAL</t>
        </is>
      </c>
      <c r="C191" t="inlineStr">
        <is>
          <t>SHELVES</t>
        </is>
      </c>
      <c r="D191" t="inlineStr">
        <is>
          <t>KF352 .H35 1989</t>
        </is>
      </c>
      <c r="E191" t="inlineStr">
        <is>
          <t>0                      KF 0352000H  35          1989</t>
        </is>
      </c>
      <c r="F191" t="inlineStr">
        <is>
          <t>The magic mirror : law in American history / Kermit L. Hall.</t>
        </is>
      </c>
      <c r="H191" t="inlineStr">
        <is>
          <t>No</t>
        </is>
      </c>
      <c r="I191" t="inlineStr">
        <is>
          <t>1</t>
        </is>
      </c>
      <c r="J191" t="inlineStr">
        <is>
          <t>Yes</t>
        </is>
      </c>
      <c r="K191" t="inlineStr">
        <is>
          <t>Yes</t>
        </is>
      </c>
      <c r="L191" t="inlineStr">
        <is>
          <t>0</t>
        </is>
      </c>
      <c r="M191" t="inlineStr">
        <is>
          <t>Hall, Kermit L., 1944-2006.</t>
        </is>
      </c>
      <c r="N191" t="inlineStr">
        <is>
          <t>New York : Oxford University Press, 1989.</t>
        </is>
      </c>
      <c r="O191" t="inlineStr">
        <is>
          <t>1989</t>
        </is>
      </c>
      <c r="Q191" t="inlineStr">
        <is>
          <t>eng</t>
        </is>
      </c>
      <c r="R191" t="inlineStr">
        <is>
          <t>nyu</t>
        </is>
      </c>
      <c r="T191" t="inlineStr">
        <is>
          <t xml:space="preserve">KF </t>
        </is>
      </c>
      <c r="U191" t="n">
        <v>8</v>
      </c>
      <c r="V191" t="n">
        <v>8</v>
      </c>
      <c r="W191" t="inlineStr">
        <is>
          <t>2004-01-29</t>
        </is>
      </c>
      <c r="X191" t="inlineStr">
        <is>
          <t>2004-01-29</t>
        </is>
      </c>
      <c r="Y191" t="inlineStr">
        <is>
          <t>1992-06-12</t>
        </is>
      </c>
      <c r="Z191" t="inlineStr">
        <is>
          <t>2009-10-09</t>
        </is>
      </c>
      <c r="AA191" t="n">
        <v>929</v>
      </c>
      <c r="AB191" t="n">
        <v>820</v>
      </c>
      <c r="AC191" t="n">
        <v>876</v>
      </c>
      <c r="AD191" t="n">
        <v>6</v>
      </c>
      <c r="AE191" t="n">
        <v>6</v>
      </c>
      <c r="AF191" t="n">
        <v>56</v>
      </c>
      <c r="AG191" t="n">
        <v>58</v>
      </c>
      <c r="AH191" t="n">
        <v>14</v>
      </c>
      <c r="AI191" t="n">
        <v>15</v>
      </c>
      <c r="AJ191" t="n">
        <v>5</v>
      </c>
      <c r="AK191" t="n">
        <v>5</v>
      </c>
      <c r="AL191" t="n">
        <v>16</v>
      </c>
      <c r="AM191" t="n">
        <v>17</v>
      </c>
      <c r="AN191" t="n">
        <v>3</v>
      </c>
      <c r="AO191" t="n">
        <v>3</v>
      </c>
      <c r="AP191" t="n">
        <v>24</v>
      </c>
      <c r="AQ191" t="n">
        <v>24</v>
      </c>
      <c r="AR191" t="inlineStr">
        <is>
          <t>No</t>
        </is>
      </c>
      <c r="AS191" t="inlineStr">
        <is>
          <t>No</t>
        </is>
      </c>
      <c r="AU191">
        <f>HYPERLINK("https://creighton-primo.hosted.exlibrisgroup.com/primo-explore/search?tab=default_tab&amp;search_scope=EVERYTHING&amp;vid=01CRU&amp;lang=en_US&amp;offset=0&amp;query=any,contains,991001685919702656","Catalog Record")</f>
        <v/>
      </c>
      <c r="AV191">
        <f>HYPERLINK("http://www.worldcat.org/oclc/17983789","WorldCat Record")</f>
        <v/>
      </c>
      <c r="AW191" t="inlineStr">
        <is>
          <t>16861558:eng</t>
        </is>
      </c>
      <c r="AX191" t="inlineStr">
        <is>
          <t>17983789</t>
        </is>
      </c>
      <c r="AY191" t="inlineStr">
        <is>
          <t>991001685919702656</t>
        </is>
      </c>
      <c r="AZ191" t="inlineStr">
        <is>
          <t>991001685919702656</t>
        </is>
      </c>
      <c r="BA191" t="inlineStr">
        <is>
          <t>2258710440002656</t>
        </is>
      </c>
      <c r="BB191" t="inlineStr">
        <is>
          <t>BOOK</t>
        </is>
      </c>
      <c r="BD191" t="inlineStr">
        <is>
          <t>9780195044591</t>
        </is>
      </c>
      <c r="BE191" t="inlineStr">
        <is>
          <t>32285001173052</t>
        </is>
      </c>
      <c r="BF191" t="inlineStr">
        <is>
          <t>893408284</t>
        </is>
      </c>
    </row>
    <row r="192">
      <c r="B192" t="inlineStr">
        <is>
          <t>CURAL</t>
        </is>
      </c>
      <c r="C192" t="inlineStr">
        <is>
          <t>SHELVES</t>
        </is>
      </c>
      <c r="D192" t="inlineStr">
        <is>
          <t>KF352 .P69</t>
        </is>
      </c>
      <c r="E192" t="inlineStr">
        <is>
          <t>0                      KF 0352000P  69</t>
        </is>
      </c>
      <c r="F192" t="inlineStr">
        <is>
          <t>The lawyer from antiquity to modern times : with particular reference to the development of bar associations in the United States / by Roscoe Pound.</t>
        </is>
      </c>
      <c r="H192" t="inlineStr">
        <is>
          <t>No</t>
        </is>
      </c>
      <c r="I192" t="inlineStr">
        <is>
          <t>1</t>
        </is>
      </c>
      <c r="J192" t="inlineStr">
        <is>
          <t>Yes</t>
        </is>
      </c>
      <c r="K192" t="inlineStr">
        <is>
          <t>No</t>
        </is>
      </c>
      <c r="L192" t="inlineStr">
        <is>
          <t>0</t>
        </is>
      </c>
      <c r="M192" t="inlineStr">
        <is>
          <t>Pound, Roscoe, 1870-1964.</t>
        </is>
      </c>
      <c r="N192" t="inlineStr">
        <is>
          <t>St. Paul, Minn. : West Pub. Co., 1953.</t>
        </is>
      </c>
      <c r="O192" t="inlineStr">
        <is>
          <t>1953</t>
        </is>
      </c>
      <c r="Q192" t="inlineStr">
        <is>
          <t>eng</t>
        </is>
      </c>
      <c r="R192" t="inlineStr">
        <is>
          <t>mnu</t>
        </is>
      </c>
      <c r="T192" t="inlineStr">
        <is>
          <t xml:space="preserve">KF </t>
        </is>
      </c>
      <c r="U192" t="n">
        <v>1</v>
      </c>
      <c r="V192" t="n">
        <v>3</v>
      </c>
      <c r="W192" t="inlineStr">
        <is>
          <t>2006-03-16</t>
        </is>
      </c>
      <c r="X192" t="inlineStr">
        <is>
          <t>2006-03-16</t>
        </is>
      </c>
      <c r="Y192" t="inlineStr">
        <is>
          <t>1994-01-06</t>
        </is>
      </c>
      <c r="Z192" t="inlineStr">
        <is>
          <t>1994-01-06</t>
        </is>
      </c>
      <c r="AA192" t="n">
        <v>542</v>
      </c>
      <c r="AB192" t="n">
        <v>483</v>
      </c>
      <c r="AC192" t="n">
        <v>486</v>
      </c>
      <c r="AD192" t="n">
        <v>3</v>
      </c>
      <c r="AE192" t="n">
        <v>3</v>
      </c>
      <c r="AF192" t="n">
        <v>32</v>
      </c>
      <c r="AG192" t="n">
        <v>32</v>
      </c>
      <c r="AH192" t="n">
        <v>4</v>
      </c>
      <c r="AI192" t="n">
        <v>4</v>
      </c>
      <c r="AJ192" t="n">
        <v>1</v>
      </c>
      <c r="AK192" t="n">
        <v>1</v>
      </c>
      <c r="AL192" t="n">
        <v>6</v>
      </c>
      <c r="AM192" t="n">
        <v>6</v>
      </c>
      <c r="AN192" t="n">
        <v>0</v>
      </c>
      <c r="AO192" t="n">
        <v>0</v>
      </c>
      <c r="AP192" t="n">
        <v>23</v>
      </c>
      <c r="AQ192" t="n">
        <v>23</v>
      </c>
      <c r="AR192" t="inlineStr">
        <is>
          <t>No</t>
        </is>
      </c>
      <c r="AS192" t="inlineStr">
        <is>
          <t>Yes</t>
        </is>
      </c>
      <c r="AT192">
        <f>HYPERLINK("http://catalog.hathitrust.org/Record/001624795","HathiTrust Record")</f>
        <v/>
      </c>
      <c r="AU192">
        <f>HYPERLINK("https://creighton-primo.hosted.exlibrisgroup.com/primo-explore/search?tab=default_tab&amp;search_scope=EVERYTHING&amp;vid=01CRU&amp;lang=en_US&amp;offset=0&amp;query=any,contains,991001686349702656","Catalog Record")</f>
        <v/>
      </c>
      <c r="AV192">
        <f>HYPERLINK("http://www.worldcat.org/oclc/887980","WorldCat Record")</f>
        <v/>
      </c>
      <c r="AW192" t="inlineStr">
        <is>
          <t>1868948:eng</t>
        </is>
      </c>
      <c r="AX192" t="inlineStr">
        <is>
          <t>887980</t>
        </is>
      </c>
      <c r="AY192" t="inlineStr">
        <is>
          <t>991001686349702656</t>
        </is>
      </c>
      <c r="AZ192" t="inlineStr">
        <is>
          <t>991001686349702656</t>
        </is>
      </c>
      <c r="BA192" t="inlineStr">
        <is>
          <t>2255258030002656</t>
        </is>
      </c>
      <c r="BB192" t="inlineStr">
        <is>
          <t>BOOK</t>
        </is>
      </c>
      <c r="BE192" t="inlineStr">
        <is>
          <t>32285001828689</t>
        </is>
      </c>
      <c r="BF192" t="inlineStr">
        <is>
          <t>893426762</t>
        </is>
      </c>
    </row>
    <row r="193">
      <c r="B193" t="inlineStr">
        <is>
          <t>CURAL</t>
        </is>
      </c>
      <c r="C193" t="inlineStr">
        <is>
          <t>SHELVES</t>
        </is>
      </c>
      <c r="D193" t="inlineStr">
        <is>
          <t>KF352.A2 L37 1989</t>
        </is>
      </c>
      <c r="E193" t="inlineStr">
        <is>
          <t>0                      KF 0352000A  2                  L  37          1989</t>
        </is>
      </c>
      <c r="F193" t="inlineStr">
        <is>
          <t>The Law in America, 1607-1861 / edited by William Pencak and Wythe W. Holt, Jr.</t>
        </is>
      </c>
      <c r="H193" t="inlineStr">
        <is>
          <t>No</t>
        </is>
      </c>
      <c r="I193" t="inlineStr">
        <is>
          <t>1</t>
        </is>
      </c>
      <c r="J193" t="inlineStr">
        <is>
          <t>No</t>
        </is>
      </c>
      <c r="K193" t="inlineStr">
        <is>
          <t>No</t>
        </is>
      </c>
      <c r="L193" t="inlineStr">
        <is>
          <t>0</t>
        </is>
      </c>
      <c r="N193" t="inlineStr">
        <is>
          <t>New York : New-York Historical Society, 1989.</t>
        </is>
      </c>
      <c r="O193" t="inlineStr">
        <is>
          <t>1989</t>
        </is>
      </c>
      <c r="Q193" t="inlineStr">
        <is>
          <t>eng</t>
        </is>
      </c>
      <c r="R193" t="inlineStr">
        <is>
          <t>nyu</t>
        </is>
      </c>
      <c r="T193" t="inlineStr">
        <is>
          <t xml:space="preserve">KF </t>
        </is>
      </c>
      <c r="U193" t="n">
        <v>0</v>
      </c>
      <c r="V193" t="n">
        <v>0</v>
      </c>
      <c r="W193" t="inlineStr">
        <is>
          <t>2006-08-04</t>
        </is>
      </c>
      <c r="X193" t="inlineStr">
        <is>
          <t>2006-08-04</t>
        </is>
      </c>
      <c r="Y193" t="inlineStr">
        <is>
          <t>1990-05-24</t>
        </is>
      </c>
      <c r="Z193" t="inlineStr">
        <is>
          <t>1990-05-24</t>
        </is>
      </c>
      <c r="AA193" t="n">
        <v>210</v>
      </c>
      <c r="AB193" t="n">
        <v>192</v>
      </c>
      <c r="AC193" t="n">
        <v>192</v>
      </c>
      <c r="AD193" t="n">
        <v>1</v>
      </c>
      <c r="AE193" t="n">
        <v>1</v>
      </c>
      <c r="AF193" t="n">
        <v>19</v>
      </c>
      <c r="AG193" t="n">
        <v>19</v>
      </c>
      <c r="AH193" t="n">
        <v>1</v>
      </c>
      <c r="AI193" t="n">
        <v>1</v>
      </c>
      <c r="AJ193" t="n">
        <v>2</v>
      </c>
      <c r="AK193" t="n">
        <v>2</v>
      </c>
      <c r="AL193" t="n">
        <v>2</v>
      </c>
      <c r="AM193" t="n">
        <v>2</v>
      </c>
      <c r="AN193" t="n">
        <v>0</v>
      </c>
      <c r="AO193" t="n">
        <v>0</v>
      </c>
      <c r="AP193" t="n">
        <v>15</v>
      </c>
      <c r="AQ193" t="n">
        <v>15</v>
      </c>
      <c r="AR193" t="inlineStr">
        <is>
          <t>No</t>
        </is>
      </c>
      <c r="AS193" t="inlineStr">
        <is>
          <t>No</t>
        </is>
      </c>
      <c r="AU193">
        <f>HYPERLINK("https://creighton-primo.hosted.exlibrisgroup.com/primo-explore/search?tab=default_tab&amp;search_scope=EVERYTHING&amp;vid=01CRU&amp;lang=en_US&amp;offset=0&amp;query=any,contains,991001415479702656","Catalog Record")</f>
        <v/>
      </c>
      <c r="AV193">
        <f>HYPERLINK("http://www.worldcat.org/oclc/18948090","WorldCat Record")</f>
        <v/>
      </c>
      <c r="AW193" t="inlineStr">
        <is>
          <t>19410360:eng</t>
        </is>
      </c>
      <c r="AX193" t="inlineStr">
        <is>
          <t>18948090</t>
        </is>
      </c>
      <c r="AY193" t="inlineStr">
        <is>
          <t>991001415479702656</t>
        </is>
      </c>
      <c r="AZ193" t="inlineStr">
        <is>
          <t>991001415479702656</t>
        </is>
      </c>
      <c r="BA193" t="inlineStr">
        <is>
          <t>2271840350002656</t>
        </is>
      </c>
      <c r="BB193" t="inlineStr">
        <is>
          <t>BOOK</t>
        </is>
      </c>
      <c r="BD193" t="inlineStr">
        <is>
          <t>9780916141035</t>
        </is>
      </c>
      <c r="BE193" t="inlineStr">
        <is>
          <t>32285000155720</t>
        </is>
      </c>
      <c r="BF193" t="inlineStr">
        <is>
          <t>893590276</t>
        </is>
      </c>
    </row>
    <row r="194">
      <c r="B194" t="inlineStr">
        <is>
          <t>CURAL</t>
        </is>
      </c>
      <c r="C194" t="inlineStr">
        <is>
          <t>SHELVES</t>
        </is>
      </c>
      <c r="D194" t="inlineStr">
        <is>
          <t>KF3649 .R47 1985</t>
        </is>
      </c>
      <c r="E194" t="inlineStr">
        <is>
          <t>0                      KF 3649000R  47          1985</t>
        </is>
      </c>
      <c r="F194" t="inlineStr">
        <is>
          <t>The Report of the Committee on Economic Security of 1935 ; and other basic documents relating to the development of the Social Security Act / with essays by Wilbur Cohen and Robert Ball ; foreword by Alan Pifer and Forrest Chisman.</t>
        </is>
      </c>
      <c r="H194" t="inlineStr">
        <is>
          <t>No</t>
        </is>
      </c>
      <c r="I194" t="inlineStr">
        <is>
          <t>1</t>
        </is>
      </c>
      <c r="J194" t="inlineStr">
        <is>
          <t>No</t>
        </is>
      </c>
      <c r="K194" t="inlineStr">
        <is>
          <t>No</t>
        </is>
      </c>
      <c r="L194" t="inlineStr">
        <is>
          <t>0</t>
        </is>
      </c>
      <c r="N194" t="inlineStr">
        <is>
          <t>Washington, D.C. : National Conference on Social Welfare, c1985.</t>
        </is>
      </c>
      <c r="O194" t="inlineStr">
        <is>
          <t>1985</t>
        </is>
      </c>
      <c r="P194" t="inlineStr">
        <is>
          <t>50th anniversary ed.</t>
        </is>
      </c>
      <c r="Q194" t="inlineStr">
        <is>
          <t>eng</t>
        </is>
      </c>
      <c r="R194" t="inlineStr">
        <is>
          <t>dcu</t>
        </is>
      </c>
      <c r="T194" t="inlineStr">
        <is>
          <t xml:space="preserve">KF </t>
        </is>
      </c>
      <c r="U194" t="n">
        <v>3</v>
      </c>
      <c r="V194" t="n">
        <v>3</v>
      </c>
      <c r="W194" t="inlineStr">
        <is>
          <t>2004-11-28</t>
        </is>
      </c>
      <c r="X194" t="inlineStr">
        <is>
          <t>2004-11-28</t>
        </is>
      </c>
      <c r="Y194" t="inlineStr">
        <is>
          <t>1992-07-01</t>
        </is>
      </c>
      <c r="Z194" t="inlineStr">
        <is>
          <t>1992-07-01</t>
        </is>
      </c>
      <c r="AA194" t="n">
        <v>165</v>
      </c>
      <c r="AB194" t="n">
        <v>156</v>
      </c>
      <c r="AC194" t="n">
        <v>158</v>
      </c>
      <c r="AD194" t="n">
        <v>1</v>
      </c>
      <c r="AE194" t="n">
        <v>1</v>
      </c>
      <c r="AF194" t="n">
        <v>8</v>
      </c>
      <c r="AG194" t="n">
        <v>8</v>
      </c>
      <c r="AH194" t="n">
        <v>0</v>
      </c>
      <c r="AI194" t="n">
        <v>0</v>
      </c>
      <c r="AJ194" t="n">
        <v>3</v>
      </c>
      <c r="AK194" t="n">
        <v>3</v>
      </c>
      <c r="AL194" t="n">
        <v>5</v>
      </c>
      <c r="AM194" t="n">
        <v>5</v>
      </c>
      <c r="AN194" t="n">
        <v>0</v>
      </c>
      <c r="AO194" t="n">
        <v>0</v>
      </c>
      <c r="AP194" t="n">
        <v>1</v>
      </c>
      <c r="AQ194" t="n">
        <v>1</v>
      </c>
      <c r="AR194" t="inlineStr">
        <is>
          <t>No</t>
        </is>
      </c>
      <c r="AS194" t="inlineStr">
        <is>
          <t>Yes</t>
        </is>
      </c>
      <c r="AT194">
        <f>HYPERLINK("http://catalog.hathitrust.org/Record/000590487","HathiTrust Record")</f>
        <v/>
      </c>
      <c r="AU194">
        <f>HYPERLINK("https://creighton-primo.hosted.exlibrisgroup.com/primo-explore/search?tab=default_tab&amp;search_scope=EVERYTHING&amp;vid=01CRU&amp;lang=en_US&amp;offset=0&amp;query=any,contains,991000833959702656","Catalog Record")</f>
        <v/>
      </c>
      <c r="AV194">
        <f>HYPERLINK("http://www.worldcat.org/oclc/13457040","WorldCat Record")</f>
        <v/>
      </c>
      <c r="AW194" t="inlineStr">
        <is>
          <t>6882640:eng</t>
        </is>
      </c>
      <c r="AX194" t="inlineStr">
        <is>
          <t>13457040</t>
        </is>
      </c>
      <c r="AY194" t="inlineStr">
        <is>
          <t>991000833959702656</t>
        </is>
      </c>
      <c r="AZ194" t="inlineStr">
        <is>
          <t>991000833959702656</t>
        </is>
      </c>
      <c r="BA194" t="inlineStr">
        <is>
          <t>2255703410002656</t>
        </is>
      </c>
      <c r="BB194" t="inlineStr">
        <is>
          <t>BOOK</t>
        </is>
      </c>
      <c r="BD194" t="inlineStr">
        <is>
          <t>9780933597037</t>
        </is>
      </c>
      <c r="BE194" t="inlineStr">
        <is>
          <t>32285001176394</t>
        </is>
      </c>
      <c r="BF194" t="inlineStr">
        <is>
          <t>893884802</t>
        </is>
      </c>
    </row>
    <row r="195">
      <c r="B195" t="inlineStr">
        <is>
          <t>CURAL</t>
        </is>
      </c>
      <c r="C195" t="inlineStr">
        <is>
          <t>SHELVES</t>
        </is>
      </c>
      <c r="D195" t="inlineStr">
        <is>
          <t>KF366 .Z34 1983</t>
        </is>
      </c>
      <c r="E195" t="inlineStr">
        <is>
          <t>0                      KF 0366000Z  34          1983</t>
        </is>
      </c>
      <c r="F195" t="inlineStr">
        <is>
          <t>Law in antebellum society : legal change and economic expansion / Jamil Zainaldin.</t>
        </is>
      </c>
      <c r="H195" t="inlineStr">
        <is>
          <t>No</t>
        </is>
      </c>
      <c r="I195" t="inlineStr">
        <is>
          <t>1</t>
        </is>
      </c>
      <c r="J195" t="inlineStr">
        <is>
          <t>No</t>
        </is>
      </c>
      <c r="K195" t="inlineStr">
        <is>
          <t>No</t>
        </is>
      </c>
      <c r="L195" t="inlineStr">
        <is>
          <t>0</t>
        </is>
      </c>
      <c r="M195" t="inlineStr">
        <is>
          <t>Zainaldin, Jamil S., 1948-</t>
        </is>
      </c>
      <c r="N195" t="inlineStr">
        <is>
          <t>New York : Knopf, c1983.</t>
        </is>
      </c>
      <c r="O195" t="inlineStr">
        <is>
          <t>1983</t>
        </is>
      </c>
      <c r="P195" t="inlineStr">
        <is>
          <t>1st ed.</t>
        </is>
      </c>
      <c r="Q195" t="inlineStr">
        <is>
          <t>eng</t>
        </is>
      </c>
      <c r="R195" t="inlineStr">
        <is>
          <t>nyu</t>
        </is>
      </c>
      <c r="S195" t="inlineStr">
        <is>
          <t>Borzoi books in law and American society</t>
        </is>
      </c>
      <c r="T195" t="inlineStr">
        <is>
          <t xml:space="preserve">KF </t>
        </is>
      </c>
      <c r="U195" t="n">
        <v>4</v>
      </c>
      <c r="V195" t="n">
        <v>4</v>
      </c>
      <c r="W195" t="inlineStr">
        <is>
          <t>2007-10-01</t>
        </is>
      </c>
      <c r="X195" t="inlineStr">
        <is>
          <t>2007-10-01</t>
        </is>
      </c>
      <c r="Y195" t="inlineStr">
        <is>
          <t>1992-06-12</t>
        </is>
      </c>
      <c r="Z195" t="inlineStr">
        <is>
          <t>1992-06-12</t>
        </is>
      </c>
      <c r="AA195" t="n">
        <v>333</v>
      </c>
      <c r="AB195" t="n">
        <v>308</v>
      </c>
      <c r="AC195" t="n">
        <v>312</v>
      </c>
      <c r="AD195" t="n">
        <v>5</v>
      </c>
      <c r="AE195" t="n">
        <v>5</v>
      </c>
      <c r="AF195" t="n">
        <v>27</v>
      </c>
      <c r="AG195" t="n">
        <v>27</v>
      </c>
      <c r="AH195" t="n">
        <v>6</v>
      </c>
      <c r="AI195" t="n">
        <v>6</v>
      </c>
      <c r="AJ195" t="n">
        <v>1</v>
      </c>
      <c r="AK195" t="n">
        <v>1</v>
      </c>
      <c r="AL195" t="n">
        <v>6</v>
      </c>
      <c r="AM195" t="n">
        <v>6</v>
      </c>
      <c r="AN195" t="n">
        <v>3</v>
      </c>
      <c r="AO195" t="n">
        <v>3</v>
      </c>
      <c r="AP195" t="n">
        <v>14</v>
      </c>
      <c r="AQ195" t="n">
        <v>14</v>
      </c>
      <c r="AR195" t="inlineStr">
        <is>
          <t>No</t>
        </is>
      </c>
      <c r="AS195" t="inlineStr">
        <is>
          <t>Yes</t>
        </is>
      </c>
      <c r="AT195">
        <f>HYPERLINK("http://catalog.hathitrust.org/Record/004430381","HathiTrust Record")</f>
        <v/>
      </c>
      <c r="AU195">
        <f>HYPERLINK("https://creighton-primo.hosted.exlibrisgroup.com/primo-explore/search?tab=default_tab&amp;search_scope=EVERYTHING&amp;vid=01CRU&amp;lang=en_US&amp;offset=0&amp;query=any,contains,991000146169702656","Catalog Record")</f>
        <v/>
      </c>
      <c r="AV195">
        <f>HYPERLINK("http://www.worldcat.org/oclc/9195535","WorldCat Record")</f>
        <v/>
      </c>
      <c r="AW195" t="inlineStr">
        <is>
          <t>43678146:eng</t>
        </is>
      </c>
      <c r="AX195" t="inlineStr">
        <is>
          <t>9195535</t>
        </is>
      </c>
      <c r="AY195" t="inlineStr">
        <is>
          <t>991000146169702656</t>
        </is>
      </c>
      <c r="AZ195" t="inlineStr">
        <is>
          <t>991000146169702656</t>
        </is>
      </c>
      <c r="BA195" t="inlineStr">
        <is>
          <t>2266451670002656</t>
        </is>
      </c>
      <c r="BB195" t="inlineStr">
        <is>
          <t>BOOK</t>
        </is>
      </c>
      <c r="BD195" t="inlineStr">
        <is>
          <t>9780394331966</t>
        </is>
      </c>
      <c r="BE195" t="inlineStr">
        <is>
          <t>32285001173177</t>
        </is>
      </c>
      <c r="BF195" t="inlineStr">
        <is>
          <t>893431736</t>
        </is>
      </c>
    </row>
    <row r="196">
      <c r="B196" t="inlineStr">
        <is>
          <t>CURAL</t>
        </is>
      </c>
      <c r="C196" t="inlineStr">
        <is>
          <t>SHELVES</t>
        </is>
      </c>
      <c r="D196" t="inlineStr">
        <is>
          <t>KF373.D35 T53</t>
        </is>
      </c>
      <c r="E196" t="inlineStr">
        <is>
          <t>0                      KF 0373000D  35                 T  53</t>
        </is>
      </c>
      <c r="F196" t="inlineStr">
        <is>
          <t>Darrow, a biography / Kevin Tierney.</t>
        </is>
      </c>
      <c r="H196" t="inlineStr">
        <is>
          <t>No</t>
        </is>
      </c>
      <c r="I196" t="inlineStr">
        <is>
          <t>1</t>
        </is>
      </c>
      <c r="J196" t="inlineStr">
        <is>
          <t>No</t>
        </is>
      </c>
      <c r="K196" t="inlineStr">
        <is>
          <t>No</t>
        </is>
      </c>
      <c r="L196" t="inlineStr">
        <is>
          <t>0</t>
        </is>
      </c>
      <c r="M196" t="inlineStr">
        <is>
          <t>Tierney, Kevin.</t>
        </is>
      </c>
      <c r="N196" t="inlineStr">
        <is>
          <t>New York : Crowell, c1979.</t>
        </is>
      </c>
      <c r="O196" t="inlineStr">
        <is>
          <t>1979</t>
        </is>
      </c>
      <c r="P196" t="inlineStr">
        <is>
          <t>1st ed.</t>
        </is>
      </c>
      <c r="Q196" t="inlineStr">
        <is>
          <t>eng</t>
        </is>
      </c>
      <c r="R196" t="inlineStr">
        <is>
          <t>nyu</t>
        </is>
      </c>
      <c r="T196" t="inlineStr">
        <is>
          <t xml:space="preserve">KF </t>
        </is>
      </c>
      <c r="U196" t="n">
        <v>6</v>
      </c>
      <c r="V196" t="n">
        <v>6</v>
      </c>
      <c r="W196" t="inlineStr">
        <is>
          <t>1997-05-28</t>
        </is>
      </c>
      <c r="X196" t="inlineStr">
        <is>
          <t>1997-05-28</t>
        </is>
      </c>
      <c r="Y196" t="inlineStr">
        <is>
          <t>1992-06-12</t>
        </is>
      </c>
      <c r="Z196" t="inlineStr">
        <is>
          <t>1992-06-12</t>
        </is>
      </c>
      <c r="AA196" t="n">
        <v>1181</v>
      </c>
      <c r="AB196" t="n">
        <v>1125</v>
      </c>
      <c r="AC196" t="n">
        <v>1129</v>
      </c>
      <c r="AD196" t="n">
        <v>9</v>
      </c>
      <c r="AE196" t="n">
        <v>9</v>
      </c>
      <c r="AF196" t="n">
        <v>40</v>
      </c>
      <c r="AG196" t="n">
        <v>40</v>
      </c>
      <c r="AH196" t="n">
        <v>10</v>
      </c>
      <c r="AI196" t="n">
        <v>10</v>
      </c>
      <c r="AJ196" t="n">
        <v>3</v>
      </c>
      <c r="AK196" t="n">
        <v>3</v>
      </c>
      <c r="AL196" t="n">
        <v>8</v>
      </c>
      <c r="AM196" t="n">
        <v>8</v>
      </c>
      <c r="AN196" t="n">
        <v>6</v>
      </c>
      <c r="AO196" t="n">
        <v>6</v>
      </c>
      <c r="AP196" t="n">
        <v>19</v>
      </c>
      <c r="AQ196" t="n">
        <v>19</v>
      </c>
      <c r="AR196" t="inlineStr">
        <is>
          <t>No</t>
        </is>
      </c>
      <c r="AS196" t="inlineStr">
        <is>
          <t>Yes</t>
        </is>
      </c>
      <c r="AT196">
        <f>HYPERLINK("http://catalog.hathitrust.org/Record/000260205","HathiTrust Record")</f>
        <v/>
      </c>
      <c r="AU196">
        <f>HYPERLINK("https://creighton-primo.hosted.exlibrisgroup.com/primo-explore/search?tab=default_tab&amp;search_scope=EVERYTHING&amp;vid=01CRU&amp;lang=en_US&amp;offset=0&amp;query=any,contains,991004696979702656","Catalog Record")</f>
        <v/>
      </c>
      <c r="AV196">
        <f>HYPERLINK("http://www.worldcat.org/oclc/4642238","WorldCat Record")</f>
        <v/>
      </c>
      <c r="AW196" t="inlineStr">
        <is>
          <t>577528:eng</t>
        </is>
      </c>
      <c r="AX196" t="inlineStr">
        <is>
          <t>4642238</t>
        </is>
      </c>
      <c r="AY196" t="inlineStr">
        <is>
          <t>991004696979702656</t>
        </is>
      </c>
      <c r="AZ196" t="inlineStr">
        <is>
          <t>991004696979702656</t>
        </is>
      </c>
      <c r="BA196" t="inlineStr">
        <is>
          <t>2257922450002656</t>
        </is>
      </c>
      <c r="BB196" t="inlineStr">
        <is>
          <t>BOOK</t>
        </is>
      </c>
      <c r="BD196" t="inlineStr">
        <is>
          <t>9780690014082</t>
        </is>
      </c>
      <c r="BE196" t="inlineStr">
        <is>
          <t>32285001173227</t>
        </is>
      </c>
      <c r="BF196" t="inlineStr">
        <is>
          <t>893247864</t>
        </is>
      </c>
    </row>
    <row r="197">
      <c r="B197" t="inlineStr">
        <is>
          <t>CURAL</t>
        </is>
      </c>
      <c r="C197" t="inlineStr">
        <is>
          <t>SHELVES</t>
        </is>
      </c>
      <c r="D197" t="inlineStr">
        <is>
          <t>KF373.L496 A3 1998</t>
        </is>
      </c>
      <c r="E197" t="inlineStr">
        <is>
          <t>0                      KF 0373000L  496                A  3           1998</t>
        </is>
      </c>
      <c r="F197" t="inlineStr">
        <is>
          <t>Lawyer : a life of counsel and controversy / Arthur L. Liman ; with the assistance of Peter Israel.</t>
        </is>
      </c>
      <c r="H197" t="inlineStr">
        <is>
          <t>No</t>
        </is>
      </c>
      <c r="I197" t="inlineStr">
        <is>
          <t>1</t>
        </is>
      </c>
      <c r="J197" t="inlineStr">
        <is>
          <t>Yes</t>
        </is>
      </c>
      <c r="K197" t="inlineStr">
        <is>
          <t>No</t>
        </is>
      </c>
      <c r="L197" t="inlineStr">
        <is>
          <t>0</t>
        </is>
      </c>
      <c r="M197" t="inlineStr">
        <is>
          <t>Liman, Arthur L.</t>
        </is>
      </c>
      <c r="N197" t="inlineStr">
        <is>
          <t>New York : PublicAffairs, c1998.</t>
        </is>
      </c>
      <c r="O197" t="inlineStr">
        <is>
          <t>1998</t>
        </is>
      </c>
      <c r="Q197" t="inlineStr">
        <is>
          <t>eng</t>
        </is>
      </c>
      <c r="R197" t="inlineStr">
        <is>
          <t>nyu</t>
        </is>
      </c>
      <c r="T197" t="inlineStr">
        <is>
          <t xml:space="preserve">KF </t>
        </is>
      </c>
      <c r="U197" t="n">
        <v>2</v>
      </c>
      <c r="V197" t="n">
        <v>2</v>
      </c>
      <c r="W197" t="inlineStr">
        <is>
          <t>2007-12-14</t>
        </is>
      </c>
      <c r="X197" t="inlineStr">
        <is>
          <t>2007-12-14</t>
        </is>
      </c>
      <c r="Y197" t="inlineStr">
        <is>
          <t>1999-05-17</t>
        </is>
      </c>
      <c r="Z197" t="inlineStr">
        <is>
          <t>1999-05-17</t>
        </is>
      </c>
      <c r="AA197" t="n">
        <v>600</v>
      </c>
      <c r="AB197" t="n">
        <v>579</v>
      </c>
      <c r="AC197" t="n">
        <v>586</v>
      </c>
      <c r="AD197" t="n">
        <v>4</v>
      </c>
      <c r="AE197" t="n">
        <v>4</v>
      </c>
      <c r="AF197" t="n">
        <v>33</v>
      </c>
      <c r="AG197" t="n">
        <v>33</v>
      </c>
      <c r="AH197" t="n">
        <v>3</v>
      </c>
      <c r="AI197" t="n">
        <v>3</v>
      </c>
      <c r="AJ197" t="n">
        <v>2</v>
      </c>
      <c r="AK197" t="n">
        <v>2</v>
      </c>
      <c r="AL197" t="n">
        <v>4</v>
      </c>
      <c r="AM197" t="n">
        <v>4</v>
      </c>
      <c r="AN197" t="n">
        <v>1</v>
      </c>
      <c r="AO197" t="n">
        <v>1</v>
      </c>
      <c r="AP197" t="n">
        <v>24</v>
      </c>
      <c r="AQ197" t="n">
        <v>24</v>
      </c>
      <c r="AR197" t="inlineStr">
        <is>
          <t>No</t>
        </is>
      </c>
      <c r="AS197" t="inlineStr">
        <is>
          <t>Yes</t>
        </is>
      </c>
      <c r="AT197">
        <f>HYPERLINK("http://catalog.hathitrust.org/Record/004023416","HathiTrust Record")</f>
        <v/>
      </c>
      <c r="AU197">
        <f>HYPERLINK("https://creighton-primo.hosted.exlibrisgroup.com/primo-explore/search?tab=default_tab&amp;search_scope=EVERYTHING&amp;vid=01CRU&amp;lang=en_US&amp;offset=0&amp;query=any,contains,991001678169702656","Catalog Record")</f>
        <v/>
      </c>
      <c r="AV197">
        <f>HYPERLINK("http://www.worldcat.org/oclc/39262000","WorldCat Record")</f>
        <v/>
      </c>
      <c r="AW197" t="inlineStr">
        <is>
          <t>286520896:eng</t>
        </is>
      </c>
      <c r="AX197" t="inlineStr">
        <is>
          <t>39262000</t>
        </is>
      </c>
      <c r="AY197" t="inlineStr">
        <is>
          <t>991001678169702656</t>
        </is>
      </c>
      <c r="AZ197" t="inlineStr">
        <is>
          <t>991001678169702656</t>
        </is>
      </c>
      <c r="BA197" t="inlineStr">
        <is>
          <t>2265943080002656</t>
        </is>
      </c>
      <c r="BB197" t="inlineStr">
        <is>
          <t>BOOK</t>
        </is>
      </c>
      <c r="BD197" t="inlineStr">
        <is>
          <t>9781891620041</t>
        </is>
      </c>
      <c r="BE197" t="inlineStr">
        <is>
          <t>32285003570891</t>
        </is>
      </c>
      <c r="BF197" t="inlineStr">
        <is>
          <t>893803800</t>
        </is>
      </c>
    </row>
    <row r="198">
      <c r="B198" t="inlineStr">
        <is>
          <t>CURAL</t>
        </is>
      </c>
      <c r="C198" t="inlineStr">
        <is>
          <t>SHELVES</t>
        </is>
      </c>
      <c r="D198" t="inlineStr">
        <is>
          <t>KF3771 .R46 1989</t>
        </is>
      </c>
      <c r="E198" t="inlineStr">
        <is>
          <t>0                      KF 3771000R  46          1989</t>
        </is>
      </c>
      <c r="F198" t="inlineStr">
        <is>
          <t>Reproductive laws for the 1990s / edited by Sherrill Cohen and Nadine Taub.</t>
        </is>
      </c>
      <c r="H198" t="inlineStr">
        <is>
          <t>No</t>
        </is>
      </c>
      <c r="I198" t="inlineStr">
        <is>
          <t>1</t>
        </is>
      </c>
      <c r="J198" t="inlineStr">
        <is>
          <t>Yes</t>
        </is>
      </c>
      <c r="K198" t="inlineStr">
        <is>
          <t>No</t>
        </is>
      </c>
      <c r="L198" t="inlineStr">
        <is>
          <t>0</t>
        </is>
      </c>
      <c r="N198" t="inlineStr">
        <is>
          <t>Clifton, N.J. : Humana Press, c1989.</t>
        </is>
      </c>
      <c r="O198" t="inlineStr">
        <is>
          <t>1989</t>
        </is>
      </c>
      <c r="Q198" t="inlineStr">
        <is>
          <t>eng</t>
        </is>
      </c>
      <c r="R198" t="inlineStr">
        <is>
          <t>nju</t>
        </is>
      </c>
      <c r="S198" t="inlineStr">
        <is>
          <t>Contemporary issues in biomedicine, ethics, and society</t>
        </is>
      </c>
      <c r="T198" t="inlineStr">
        <is>
          <t xml:space="preserve">KF </t>
        </is>
      </c>
      <c r="U198" t="n">
        <v>3</v>
      </c>
      <c r="V198" t="n">
        <v>4</v>
      </c>
      <c r="W198" t="inlineStr">
        <is>
          <t>2000-01-10</t>
        </is>
      </c>
      <c r="X198" t="inlineStr">
        <is>
          <t>2000-01-10</t>
        </is>
      </c>
      <c r="Y198" t="inlineStr">
        <is>
          <t>1989-10-20</t>
        </is>
      </c>
      <c r="Z198" t="inlineStr">
        <is>
          <t>1991-07-19</t>
        </is>
      </c>
      <c r="AA198" t="n">
        <v>599</v>
      </c>
      <c r="AB198" t="n">
        <v>507</v>
      </c>
      <c r="AC198" t="n">
        <v>546</v>
      </c>
      <c r="AD198" t="n">
        <v>4</v>
      </c>
      <c r="AE198" t="n">
        <v>4</v>
      </c>
      <c r="AF198" t="n">
        <v>31</v>
      </c>
      <c r="AG198" t="n">
        <v>33</v>
      </c>
      <c r="AH198" t="n">
        <v>5</v>
      </c>
      <c r="AI198" t="n">
        <v>6</v>
      </c>
      <c r="AJ198" t="n">
        <v>3</v>
      </c>
      <c r="AK198" t="n">
        <v>3</v>
      </c>
      <c r="AL198" t="n">
        <v>9</v>
      </c>
      <c r="AM198" t="n">
        <v>10</v>
      </c>
      <c r="AN198" t="n">
        <v>1</v>
      </c>
      <c r="AO198" t="n">
        <v>1</v>
      </c>
      <c r="AP198" t="n">
        <v>15</v>
      </c>
      <c r="AQ198" t="n">
        <v>16</v>
      </c>
      <c r="AR198" t="inlineStr">
        <is>
          <t>No</t>
        </is>
      </c>
      <c r="AS198" t="inlineStr">
        <is>
          <t>Yes</t>
        </is>
      </c>
      <c r="AT198">
        <f>HYPERLINK("http://catalog.hathitrust.org/Record/001528265","HathiTrust Record")</f>
        <v/>
      </c>
      <c r="AU198">
        <f>HYPERLINK("https://creighton-primo.hosted.exlibrisgroup.com/primo-explore/search?tab=default_tab&amp;search_scope=EVERYTHING&amp;vid=01CRU&amp;lang=en_US&amp;offset=0&amp;query=any,contains,991001639739702656","Catalog Record")</f>
        <v/>
      </c>
      <c r="AV198">
        <f>HYPERLINK("http://www.worldcat.org/oclc/18414548","WorldCat Record")</f>
        <v/>
      </c>
      <c r="AW198" t="inlineStr">
        <is>
          <t>435151644:eng</t>
        </is>
      </c>
      <c r="AX198" t="inlineStr">
        <is>
          <t>18414548</t>
        </is>
      </c>
      <c r="AY198" t="inlineStr">
        <is>
          <t>991001639739702656</t>
        </is>
      </c>
      <c r="AZ198" t="inlineStr">
        <is>
          <t>991001639739702656</t>
        </is>
      </c>
      <c r="BA198" t="inlineStr">
        <is>
          <t>2256132720002656</t>
        </is>
      </c>
      <c r="BB198" t="inlineStr">
        <is>
          <t>BOOK</t>
        </is>
      </c>
      <c r="BD198" t="inlineStr">
        <is>
          <t>9780896031579</t>
        </is>
      </c>
      <c r="BE198" t="inlineStr">
        <is>
          <t>32285000002724</t>
        </is>
      </c>
      <c r="BF198" t="inlineStr">
        <is>
          <t>893596587</t>
        </is>
      </c>
    </row>
    <row r="199">
      <c r="B199" t="inlineStr">
        <is>
          <t>CURAL</t>
        </is>
      </c>
      <c r="C199" t="inlineStr">
        <is>
          <t>SHELVES</t>
        </is>
      </c>
      <c r="D199" t="inlineStr">
        <is>
          <t>KF380 .I58 1980</t>
        </is>
      </c>
      <c r="E199" t="inlineStr">
        <is>
          <t>0                      KF 0380000I  58          1980</t>
        </is>
      </c>
      <c r="F199" t="inlineStr">
        <is>
          <t>Introduction to law and the legal process / Bernard F. Cataldo ... [et al.].</t>
        </is>
      </c>
      <c r="H199" t="inlineStr">
        <is>
          <t>No</t>
        </is>
      </c>
      <c r="I199" t="inlineStr">
        <is>
          <t>1</t>
        </is>
      </c>
      <c r="J199" t="inlineStr">
        <is>
          <t>No</t>
        </is>
      </c>
      <c r="K199" t="inlineStr">
        <is>
          <t>No</t>
        </is>
      </c>
      <c r="L199" t="inlineStr">
        <is>
          <t>0</t>
        </is>
      </c>
      <c r="N199" t="inlineStr">
        <is>
          <t>New York : Wiley, c1980.</t>
        </is>
      </c>
      <c r="O199" t="inlineStr">
        <is>
          <t>1980</t>
        </is>
      </c>
      <c r="P199" t="inlineStr">
        <is>
          <t>3d ed.</t>
        </is>
      </c>
      <c r="Q199" t="inlineStr">
        <is>
          <t>eng</t>
        </is>
      </c>
      <c r="R199" t="inlineStr">
        <is>
          <t>nyu</t>
        </is>
      </c>
      <c r="T199" t="inlineStr">
        <is>
          <t xml:space="preserve">KF </t>
        </is>
      </c>
      <c r="U199" t="n">
        <v>5</v>
      </c>
      <c r="V199" t="n">
        <v>5</v>
      </c>
      <c r="W199" t="inlineStr">
        <is>
          <t>1997-12-07</t>
        </is>
      </c>
      <c r="X199" t="inlineStr">
        <is>
          <t>1997-12-07</t>
        </is>
      </c>
      <c r="Y199" t="inlineStr">
        <is>
          <t>1992-06-12</t>
        </is>
      </c>
      <c r="Z199" t="inlineStr">
        <is>
          <t>1992-06-12</t>
        </is>
      </c>
      <c r="AA199" t="n">
        <v>217</v>
      </c>
      <c r="AB199" t="n">
        <v>164</v>
      </c>
      <c r="AC199" t="n">
        <v>433</v>
      </c>
      <c r="AD199" t="n">
        <v>2</v>
      </c>
      <c r="AE199" t="n">
        <v>4</v>
      </c>
      <c r="AF199" t="n">
        <v>11</v>
      </c>
      <c r="AG199" t="n">
        <v>26</v>
      </c>
      <c r="AH199" t="n">
        <v>1</v>
      </c>
      <c r="AI199" t="n">
        <v>2</v>
      </c>
      <c r="AJ199" t="n">
        <v>0</v>
      </c>
      <c r="AK199" t="n">
        <v>1</v>
      </c>
      <c r="AL199" t="n">
        <v>2</v>
      </c>
      <c r="AM199" t="n">
        <v>3</v>
      </c>
      <c r="AN199" t="n">
        <v>1</v>
      </c>
      <c r="AO199" t="n">
        <v>2</v>
      </c>
      <c r="AP199" t="n">
        <v>7</v>
      </c>
      <c r="AQ199" t="n">
        <v>19</v>
      </c>
      <c r="AR199" t="inlineStr">
        <is>
          <t>No</t>
        </is>
      </c>
      <c r="AS199" t="inlineStr">
        <is>
          <t>No</t>
        </is>
      </c>
      <c r="AU199">
        <f>HYPERLINK("https://creighton-primo.hosted.exlibrisgroup.com/primo-explore/search?tab=default_tab&amp;search_scope=EVERYTHING&amp;vid=01CRU&amp;lang=en_US&amp;offset=0&amp;query=any,contains,991004750529702656","Catalog Record")</f>
        <v/>
      </c>
      <c r="AV199">
        <f>HYPERLINK("http://www.worldcat.org/oclc/4933316","WorldCat Record")</f>
        <v/>
      </c>
      <c r="AW199" t="inlineStr">
        <is>
          <t>53975888:eng</t>
        </is>
      </c>
      <c r="AX199" t="inlineStr">
        <is>
          <t>4933316</t>
        </is>
      </c>
      <c r="AY199" t="inlineStr">
        <is>
          <t>991004750529702656</t>
        </is>
      </c>
      <c r="AZ199" t="inlineStr">
        <is>
          <t>991004750529702656</t>
        </is>
      </c>
      <c r="BA199" t="inlineStr">
        <is>
          <t>2269096090002656</t>
        </is>
      </c>
      <c r="BB199" t="inlineStr">
        <is>
          <t>BOOK</t>
        </is>
      </c>
      <c r="BD199" t="inlineStr">
        <is>
          <t>9780471140825</t>
        </is>
      </c>
      <c r="BE199" t="inlineStr">
        <is>
          <t>32285001173342</t>
        </is>
      </c>
      <c r="BF199" t="inlineStr">
        <is>
          <t>893411906</t>
        </is>
      </c>
    </row>
    <row r="200">
      <c r="B200" t="inlineStr">
        <is>
          <t>CURAL</t>
        </is>
      </c>
      <c r="C200" t="inlineStr">
        <is>
          <t>SHELVES</t>
        </is>
      </c>
      <c r="D200" t="inlineStr">
        <is>
          <t>KF380 .R67</t>
        </is>
      </c>
      <c r="E200" t="inlineStr">
        <is>
          <t>0                      KF 0380000R  67</t>
        </is>
      </c>
      <c r="F200" t="inlineStr">
        <is>
          <t>The Supreme Court and social science / [by] Paul L. Rosen.</t>
        </is>
      </c>
      <c r="H200" t="inlineStr">
        <is>
          <t>No</t>
        </is>
      </c>
      <c r="I200" t="inlineStr">
        <is>
          <t>1</t>
        </is>
      </c>
      <c r="J200" t="inlineStr">
        <is>
          <t>Yes</t>
        </is>
      </c>
      <c r="K200" t="inlineStr">
        <is>
          <t>No</t>
        </is>
      </c>
      <c r="L200" t="inlineStr">
        <is>
          <t>0</t>
        </is>
      </c>
      <c r="M200" t="inlineStr">
        <is>
          <t>Rosen, Paul L.</t>
        </is>
      </c>
      <c r="N200" t="inlineStr">
        <is>
          <t>Urbana : University of Illinois Press, [1972]</t>
        </is>
      </c>
      <c r="O200" t="inlineStr">
        <is>
          <t>1972</t>
        </is>
      </c>
      <c r="Q200" t="inlineStr">
        <is>
          <t>eng</t>
        </is>
      </c>
      <c r="R200" t="inlineStr">
        <is>
          <t>ilu</t>
        </is>
      </c>
      <c r="T200" t="inlineStr">
        <is>
          <t xml:space="preserve">KF </t>
        </is>
      </c>
      <c r="U200" t="n">
        <v>1</v>
      </c>
      <c r="V200" t="n">
        <v>1</v>
      </c>
      <c r="W200" t="inlineStr">
        <is>
          <t>2007-04-16</t>
        </is>
      </c>
      <c r="X200" t="inlineStr">
        <is>
          <t>2007-04-16</t>
        </is>
      </c>
      <c r="Y200" t="inlineStr">
        <is>
          <t>1994-09-29</t>
        </is>
      </c>
      <c r="Z200" t="inlineStr">
        <is>
          <t>1994-09-29</t>
        </is>
      </c>
      <c r="AA200" t="n">
        <v>734</v>
      </c>
      <c r="AB200" t="n">
        <v>641</v>
      </c>
      <c r="AC200" t="n">
        <v>644</v>
      </c>
      <c r="AD200" t="n">
        <v>5</v>
      </c>
      <c r="AE200" t="n">
        <v>5</v>
      </c>
      <c r="AF200" t="n">
        <v>39</v>
      </c>
      <c r="AG200" t="n">
        <v>39</v>
      </c>
      <c r="AH200" t="n">
        <v>8</v>
      </c>
      <c r="AI200" t="n">
        <v>8</v>
      </c>
      <c r="AJ200" t="n">
        <v>7</v>
      </c>
      <c r="AK200" t="n">
        <v>7</v>
      </c>
      <c r="AL200" t="n">
        <v>14</v>
      </c>
      <c r="AM200" t="n">
        <v>14</v>
      </c>
      <c r="AN200" t="n">
        <v>2</v>
      </c>
      <c r="AO200" t="n">
        <v>2</v>
      </c>
      <c r="AP200" t="n">
        <v>14</v>
      </c>
      <c r="AQ200" t="n">
        <v>14</v>
      </c>
      <c r="AR200" t="inlineStr">
        <is>
          <t>No</t>
        </is>
      </c>
      <c r="AS200" t="inlineStr">
        <is>
          <t>Yes</t>
        </is>
      </c>
      <c r="AT200">
        <f>HYPERLINK("http://catalog.hathitrust.org/Record/004431284","HathiTrust Record")</f>
        <v/>
      </c>
      <c r="AU200">
        <f>HYPERLINK("https://creighton-primo.hosted.exlibrisgroup.com/primo-explore/search?tab=default_tab&amp;search_scope=EVERYTHING&amp;vid=01CRU&amp;lang=en_US&amp;offset=0&amp;query=any,contains,991001773679702656","Catalog Record")</f>
        <v/>
      </c>
      <c r="AV200">
        <f>HYPERLINK("http://www.worldcat.org/oclc/2780194","WorldCat Record")</f>
        <v/>
      </c>
      <c r="AW200" t="inlineStr">
        <is>
          <t>6092521:eng</t>
        </is>
      </c>
      <c r="AX200" t="inlineStr">
        <is>
          <t>2780194</t>
        </is>
      </c>
      <c r="AY200" t="inlineStr">
        <is>
          <t>991001773679702656</t>
        </is>
      </c>
      <c r="AZ200" t="inlineStr">
        <is>
          <t>991001773679702656</t>
        </is>
      </c>
      <c r="BA200" t="inlineStr">
        <is>
          <t>2262887020002656</t>
        </is>
      </c>
      <c r="BB200" t="inlineStr">
        <is>
          <t>BOOK</t>
        </is>
      </c>
      <c r="BD200" t="inlineStr">
        <is>
          <t>9780252002359</t>
        </is>
      </c>
      <c r="BE200" t="inlineStr">
        <is>
          <t>32285001953008</t>
        </is>
      </c>
      <c r="BF200" t="inlineStr">
        <is>
          <t>893596726</t>
        </is>
      </c>
    </row>
    <row r="201">
      <c r="B201" t="inlineStr">
        <is>
          <t>CURAL</t>
        </is>
      </c>
      <c r="C201" t="inlineStr">
        <is>
          <t>SHELVES</t>
        </is>
      </c>
      <c r="D201" t="inlineStr">
        <is>
          <t>KF3827.E87 C36 1987</t>
        </is>
      </c>
      <c r="E201" t="inlineStr">
        <is>
          <t>0                      KF 3827000E  87                 C  36          1987</t>
        </is>
      </c>
      <c r="F201" t="inlineStr">
        <is>
          <t>Legal frontiers of death and dying / by Norman L. Cantor.</t>
        </is>
      </c>
      <c r="H201" t="inlineStr">
        <is>
          <t>No</t>
        </is>
      </c>
      <c r="I201" t="inlineStr">
        <is>
          <t>1</t>
        </is>
      </c>
      <c r="J201" t="inlineStr">
        <is>
          <t>Yes</t>
        </is>
      </c>
      <c r="K201" t="inlineStr">
        <is>
          <t>No</t>
        </is>
      </c>
      <c r="L201" t="inlineStr">
        <is>
          <t>0</t>
        </is>
      </c>
      <c r="M201" t="inlineStr">
        <is>
          <t>Cantor, Norman L.</t>
        </is>
      </c>
      <c r="N201" t="inlineStr">
        <is>
          <t>Bloomington : Indiana University Press, c1987.</t>
        </is>
      </c>
      <c r="O201" t="inlineStr">
        <is>
          <t>1987</t>
        </is>
      </c>
      <c r="Q201" t="inlineStr">
        <is>
          <t>eng</t>
        </is>
      </c>
      <c r="R201" t="inlineStr">
        <is>
          <t>inu</t>
        </is>
      </c>
      <c r="S201" t="inlineStr">
        <is>
          <t>Medical ethics series</t>
        </is>
      </c>
      <c r="T201" t="inlineStr">
        <is>
          <t xml:space="preserve">KF </t>
        </is>
      </c>
      <c r="U201" t="n">
        <v>8</v>
      </c>
      <c r="V201" t="n">
        <v>10</v>
      </c>
      <c r="W201" t="inlineStr">
        <is>
          <t>2009-04-05</t>
        </is>
      </c>
      <c r="X201" t="inlineStr">
        <is>
          <t>2009-04-05</t>
        </is>
      </c>
      <c r="Y201" t="inlineStr">
        <is>
          <t>1990-02-27</t>
        </is>
      </c>
      <c r="Z201" t="inlineStr">
        <is>
          <t>1994-06-27</t>
        </is>
      </c>
      <c r="AA201" t="n">
        <v>959</v>
      </c>
      <c r="AB201" t="n">
        <v>872</v>
      </c>
      <c r="AC201" t="n">
        <v>878</v>
      </c>
      <c r="AD201" t="n">
        <v>6</v>
      </c>
      <c r="AE201" t="n">
        <v>6</v>
      </c>
      <c r="AF201" t="n">
        <v>52</v>
      </c>
      <c r="AG201" t="n">
        <v>52</v>
      </c>
      <c r="AH201" t="n">
        <v>11</v>
      </c>
      <c r="AI201" t="n">
        <v>11</v>
      </c>
      <c r="AJ201" t="n">
        <v>9</v>
      </c>
      <c r="AK201" t="n">
        <v>9</v>
      </c>
      <c r="AL201" t="n">
        <v>16</v>
      </c>
      <c r="AM201" t="n">
        <v>16</v>
      </c>
      <c r="AN201" t="n">
        <v>4</v>
      </c>
      <c r="AO201" t="n">
        <v>4</v>
      </c>
      <c r="AP201" t="n">
        <v>20</v>
      </c>
      <c r="AQ201" t="n">
        <v>20</v>
      </c>
      <c r="AR201" t="inlineStr">
        <is>
          <t>No</t>
        </is>
      </c>
      <c r="AS201" t="inlineStr">
        <is>
          <t>Yes</t>
        </is>
      </c>
      <c r="AT201">
        <f>HYPERLINK("http://catalog.hathitrust.org/Record/000815610","HathiTrust Record")</f>
        <v/>
      </c>
      <c r="AU201">
        <f>HYPERLINK("https://creighton-primo.hosted.exlibrisgroup.com/primo-explore/search?tab=default_tab&amp;search_scope=EVERYTHING&amp;vid=01CRU&amp;lang=en_US&amp;offset=0&amp;query=any,contains,991001633999702656","Catalog Record")</f>
        <v/>
      </c>
      <c r="AV201">
        <f>HYPERLINK("http://www.worldcat.org/oclc/13796768","WorldCat Record")</f>
        <v/>
      </c>
      <c r="AW201" t="inlineStr">
        <is>
          <t>7988587:eng</t>
        </is>
      </c>
      <c r="AX201" t="inlineStr">
        <is>
          <t>13796768</t>
        </is>
      </c>
      <c r="AY201" t="inlineStr">
        <is>
          <t>991001633999702656</t>
        </is>
      </c>
      <c r="AZ201" t="inlineStr">
        <is>
          <t>991001633999702656</t>
        </is>
      </c>
      <c r="BA201" t="inlineStr">
        <is>
          <t>2270610400002656</t>
        </is>
      </c>
      <c r="BB201" t="inlineStr">
        <is>
          <t>BOOK</t>
        </is>
      </c>
      <c r="BD201" t="inlineStr">
        <is>
          <t>9780253332905</t>
        </is>
      </c>
      <c r="BE201" t="inlineStr">
        <is>
          <t>32285000071281</t>
        </is>
      </c>
      <c r="BF201" t="inlineStr">
        <is>
          <t>893256362</t>
        </is>
      </c>
    </row>
    <row r="202">
      <c r="B202" t="inlineStr">
        <is>
          <t>CURAL</t>
        </is>
      </c>
      <c r="C202" t="inlineStr">
        <is>
          <t>SHELVES</t>
        </is>
      </c>
      <c r="D202" t="inlineStr">
        <is>
          <t>KF3827.G4 N38 1984</t>
        </is>
      </c>
      <c r="E202" t="inlineStr">
        <is>
          <t>0                      KF 3827000G  4                  N  38          1984</t>
        </is>
      </c>
      <c r="F202" t="inlineStr">
        <is>
          <t>Genetics and the law III / edited by Aubrey Milunsky and George J. Annas.</t>
        </is>
      </c>
      <c r="H202" t="inlineStr">
        <is>
          <t>No</t>
        </is>
      </c>
      <c r="I202" t="inlineStr">
        <is>
          <t>1</t>
        </is>
      </c>
      <c r="J202" t="inlineStr">
        <is>
          <t>No</t>
        </is>
      </c>
      <c r="K202" t="inlineStr">
        <is>
          <t>No</t>
        </is>
      </c>
      <c r="L202" t="inlineStr">
        <is>
          <t>0</t>
        </is>
      </c>
      <c r="M202" t="inlineStr">
        <is>
          <t>National Symposium on Genetics and the Law (3rd : 1984 : Boston, Mass.)</t>
        </is>
      </c>
      <c r="N202" t="inlineStr">
        <is>
          <t>New York : Plenum Press, c1985.</t>
        </is>
      </c>
      <c r="O202" t="inlineStr">
        <is>
          <t>1985</t>
        </is>
      </c>
      <c r="Q202" t="inlineStr">
        <is>
          <t>eng</t>
        </is>
      </c>
      <c r="R202" t="inlineStr">
        <is>
          <t>nyu</t>
        </is>
      </c>
      <c r="T202" t="inlineStr">
        <is>
          <t xml:space="preserve">KF </t>
        </is>
      </c>
      <c r="U202" t="n">
        <v>12</v>
      </c>
      <c r="V202" t="n">
        <v>12</v>
      </c>
      <c r="W202" t="inlineStr">
        <is>
          <t>2005-04-25</t>
        </is>
      </c>
      <c r="X202" t="inlineStr">
        <is>
          <t>2005-04-25</t>
        </is>
      </c>
      <c r="Y202" t="inlineStr">
        <is>
          <t>1992-04-15</t>
        </is>
      </c>
      <c r="Z202" t="inlineStr">
        <is>
          <t>1992-04-15</t>
        </is>
      </c>
      <c r="AA202" t="n">
        <v>347</v>
      </c>
      <c r="AB202" t="n">
        <v>281</v>
      </c>
      <c r="AC202" t="n">
        <v>301</v>
      </c>
      <c r="AD202" t="n">
        <v>3</v>
      </c>
      <c r="AE202" t="n">
        <v>3</v>
      </c>
      <c r="AF202" t="n">
        <v>22</v>
      </c>
      <c r="AG202" t="n">
        <v>23</v>
      </c>
      <c r="AH202" t="n">
        <v>3</v>
      </c>
      <c r="AI202" t="n">
        <v>4</v>
      </c>
      <c r="AJ202" t="n">
        <v>3</v>
      </c>
      <c r="AK202" t="n">
        <v>3</v>
      </c>
      <c r="AL202" t="n">
        <v>6</v>
      </c>
      <c r="AM202" t="n">
        <v>7</v>
      </c>
      <c r="AN202" t="n">
        <v>2</v>
      </c>
      <c r="AO202" t="n">
        <v>2</v>
      </c>
      <c r="AP202" t="n">
        <v>11</v>
      </c>
      <c r="AQ202" t="n">
        <v>11</v>
      </c>
      <c r="AR202" t="inlineStr">
        <is>
          <t>No</t>
        </is>
      </c>
      <c r="AS202" t="inlineStr">
        <is>
          <t>Yes</t>
        </is>
      </c>
      <c r="AT202">
        <f>HYPERLINK("http://catalog.hathitrust.org/Record/000875384","HathiTrust Record")</f>
        <v/>
      </c>
      <c r="AU202">
        <f>HYPERLINK("https://creighton-primo.hosted.exlibrisgroup.com/primo-explore/search?tab=default_tab&amp;search_scope=EVERYTHING&amp;vid=01CRU&amp;lang=en_US&amp;offset=0&amp;query=any,contains,991000704269702656","Catalog Record")</f>
        <v/>
      </c>
      <c r="AV202">
        <f>HYPERLINK("http://www.worldcat.org/oclc/12555484","WorldCat Record")</f>
        <v/>
      </c>
      <c r="AW202" t="inlineStr">
        <is>
          <t>477306528:eng</t>
        </is>
      </c>
      <c r="AX202" t="inlineStr">
        <is>
          <t>12555484</t>
        </is>
      </c>
      <c r="AY202" t="inlineStr">
        <is>
          <t>991000704269702656</t>
        </is>
      </c>
      <c r="AZ202" t="inlineStr">
        <is>
          <t>991000704269702656</t>
        </is>
      </c>
      <c r="BA202" t="inlineStr">
        <is>
          <t>2257836240002656</t>
        </is>
      </c>
      <c r="BB202" t="inlineStr">
        <is>
          <t>BOOK</t>
        </is>
      </c>
      <c r="BD202" t="inlineStr">
        <is>
          <t>9780306419836</t>
        </is>
      </c>
      <c r="BE202" t="inlineStr">
        <is>
          <t>32285001061570</t>
        </is>
      </c>
      <c r="BF202" t="inlineStr">
        <is>
          <t>893528312</t>
        </is>
      </c>
    </row>
    <row r="203">
      <c r="B203" t="inlineStr">
        <is>
          <t>CURAL</t>
        </is>
      </c>
      <c r="C203" t="inlineStr">
        <is>
          <t>SHELVES</t>
        </is>
      </c>
      <c r="D203" t="inlineStr">
        <is>
          <t>KF3827.M38 K35</t>
        </is>
      </c>
      <c r="E203" t="inlineStr">
        <is>
          <t>0                      KF 3827000M  38                 K  35</t>
        </is>
      </c>
      <c r="F203" t="inlineStr">
        <is>
          <t>Experimentation with human beings; the authority of the investigator, subject, professions, and state in the human experimentation process. [Compiled by] Jay Katz with the assistance of Alexander Morgan Capron and Eleanor Swift Glass.</t>
        </is>
      </c>
      <c r="H203" t="inlineStr">
        <is>
          <t>No</t>
        </is>
      </c>
      <c r="I203" t="inlineStr">
        <is>
          <t>1</t>
        </is>
      </c>
      <c r="J203" t="inlineStr">
        <is>
          <t>Yes</t>
        </is>
      </c>
      <c r="K203" t="inlineStr">
        <is>
          <t>No</t>
        </is>
      </c>
      <c r="L203" t="inlineStr">
        <is>
          <t>0</t>
        </is>
      </c>
      <c r="M203" t="inlineStr">
        <is>
          <t>Katz, Jay, 1922-2008, compiler.</t>
        </is>
      </c>
      <c r="N203" t="inlineStr">
        <is>
          <t>New York, Russell Sage Foundation [c1972]</t>
        </is>
      </c>
      <c r="O203" t="inlineStr">
        <is>
          <t>1972</t>
        </is>
      </c>
      <c r="Q203" t="inlineStr">
        <is>
          <t>eng</t>
        </is>
      </c>
      <c r="R203" t="inlineStr">
        <is>
          <t>nyu</t>
        </is>
      </c>
      <c r="T203" t="inlineStr">
        <is>
          <t xml:space="preserve">KF </t>
        </is>
      </c>
      <c r="U203" t="n">
        <v>4</v>
      </c>
      <c r="V203" t="n">
        <v>7</v>
      </c>
      <c r="W203" t="inlineStr">
        <is>
          <t>2009-04-15</t>
        </is>
      </c>
      <c r="X203" t="inlineStr">
        <is>
          <t>2009-04-15</t>
        </is>
      </c>
      <c r="Y203" t="inlineStr">
        <is>
          <t>1997-04-16</t>
        </is>
      </c>
      <c r="Z203" t="inlineStr">
        <is>
          <t>1997-04-16</t>
        </is>
      </c>
      <c r="AA203" t="n">
        <v>830</v>
      </c>
      <c r="AB203" t="n">
        <v>699</v>
      </c>
      <c r="AC203" t="n">
        <v>746</v>
      </c>
      <c r="AD203" t="n">
        <v>6</v>
      </c>
      <c r="AE203" t="n">
        <v>6</v>
      </c>
      <c r="AF203" t="n">
        <v>39</v>
      </c>
      <c r="AG203" t="n">
        <v>41</v>
      </c>
      <c r="AH203" t="n">
        <v>8</v>
      </c>
      <c r="AI203" t="n">
        <v>10</v>
      </c>
      <c r="AJ203" t="n">
        <v>7</v>
      </c>
      <c r="AK203" t="n">
        <v>8</v>
      </c>
      <c r="AL203" t="n">
        <v>15</v>
      </c>
      <c r="AM203" t="n">
        <v>16</v>
      </c>
      <c r="AN203" t="n">
        <v>3</v>
      </c>
      <c r="AO203" t="n">
        <v>3</v>
      </c>
      <c r="AP203" t="n">
        <v>13</v>
      </c>
      <c r="AQ203" t="n">
        <v>13</v>
      </c>
      <c r="AR203" t="inlineStr">
        <is>
          <t>No</t>
        </is>
      </c>
      <c r="AS203" t="inlineStr">
        <is>
          <t>No</t>
        </is>
      </c>
      <c r="AU203">
        <f>HYPERLINK("https://creighton-primo.hosted.exlibrisgroup.com/primo-explore/search?tab=default_tab&amp;search_scope=EVERYTHING&amp;vid=01CRU&amp;lang=en_US&amp;offset=0&amp;query=any,contains,991001650879702656","Catalog Record")</f>
        <v/>
      </c>
      <c r="AV203">
        <f>HYPERLINK("http://www.worldcat.org/oclc/516098","WorldCat Record")</f>
        <v/>
      </c>
      <c r="AW203" t="inlineStr">
        <is>
          <t>808768542:eng</t>
        </is>
      </c>
      <c r="AX203" t="inlineStr">
        <is>
          <t>516098</t>
        </is>
      </c>
      <c r="AY203" t="inlineStr">
        <is>
          <t>991001650879702656</t>
        </is>
      </c>
      <c r="AZ203" t="inlineStr">
        <is>
          <t>991001650879702656</t>
        </is>
      </c>
      <c r="BA203" t="inlineStr">
        <is>
          <t>2256615830002656</t>
        </is>
      </c>
      <c r="BB203" t="inlineStr">
        <is>
          <t>BOOK</t>
        </is>
      </c>
      <c r="BD203" t="inlineStr">
        <is>
          <t>9780871544384</t>
        </is>
      </c>
      <c r="BE203" t="inlineStr">
        <is>
          <t>32285002550985</t>
        </is>
      </c>
      <c r="BF203" t="inlineStr">
        <is>
          <t>893809127</t>
        </is>
      </c>
    </row>
    <row r="204">
      <c r="B204" t="inlineStr">
        <is>
          <t>CURAL</t>
        </is>
      </c>
      <c r="C204" t="inlineStr">
        <is>
          <t>SHELVES</t>
        </is>
      </c>
      <c r="D204" t="inlineStr">
        <is>
          <t>KF385.A4 G7 1983</t>
        </is>
      </c>
      <c r="E204" t="inlineStr">
        <is>
          <t>0                      KF 0385000A  4                  G  7           1983</t>
        </is>
      </c>
      <c r="F204" t="inlineStr">
        <is>
          <t>Introduction to law and the legal system / Harold J. Grilliot.</t>
        </is>
      </c>
      <c r="H204" t="inlineStr">
        <is>
          <t>No</t>
        </is>
      </c>
      <c r="I204" t="inlineStr">
        <is>
          <t>1</t>
        </is>
      </c>
      <c r="J204" t="inlineStr">
        <is>
          <t>No</t>
        </is>
      </c>
      <c r="K204" t="inlineStr">
        <is>
          <t>Yes</t>
        </is>
      </c>
      <c r="L204" t="inlineStr">
        <is>
          <t>0</t>
        </is>
      </c>
      <c r="M204" t="inlineStr">
        <is>
          <t>Grilliot, Harold J.</t>
        </is>
      </c>
      <c r="N204" t="inlineStr">
        <is>
          <t>Boston : Houghton Mifflin, c1983.</t>
        </is>
      </c>
      <c r="O204" t="inlineStr">
        <is>
          <t>1983</t>
        </is>
      </c>
      <c r="P204" t="inlineStr">
        <is>
          <t>3rd ed.</t>
        </is>
      </c>
      <c r="Q204" t="inlineStr">
        <is>
          <t>eng</t>
        </is>
      </c>
      <c r="R204" t="inlineStr">
        <is>
          <t>mau</t>
        </is>
      </c>
      <c r="T204" t="inlineStr">
        <is>
          <t xml:space="preserve">KF </t>
        </is>
      </c>
      <c r="U204" t="n">
        <v>3</v>
      </c>
      <c r="V204" t="n">
        <v>3</v>
      </c>
      <c r="W204" t="inlineStr">
        <is>
          <t>1993-12-02</t>
        </is>
      </c>
      <c r="X204" t="inlineStr">
        <is>
          <t>1993-12-02</t>
        </is>
      </c>
      <c r="Y204" t="inlineStr">
        <is>
          <t>1992-05-05</t>
        </is>
      </c>
      <c r="Z204" t="inlineStr">
        <is>
          <t>1992-05-05</t>
        </is>
      </c>
      <c r="AA204" t="n">
        <v>161</v>
      </c>
      <c r="AB204" t="n">
        <v>139</v>
      </c>
      <c r="AC204" t="n">
        <v>506</v>
      </c>
      <c r="AD204" t="n">
        <v>1</v>
      </c>
      <c r="AE204" t="n">
        <v>3</v>
      </c>
      <c r="AF204" t="n">
        <v>7</v>
      </c>
      <c r="AG204" t="n">
        <v>26</v>
      </c>
      <c r="AH204" t="n">
        <v>3</v>
      </c>
      <c r="AI204" t="n">
        <v>3</v>
      </c>
      <c r="AJ204" t="n">
        <v>2</v>
      </c>
      <c r="AK204" t="n">
        <v>3</v>
      </c>
      <c r="AL204" t="n">
        <v>2</v>
      </c>
      <c r="AM204" t="n">
        <v>7</v>
      </c>
      <c r="AN204" t="n">
        <v>0</v>
      </c>
      <c r="AO204" t="n">
        <v>1</v>
      </c>
      <c r="AP204" t="n">
        <v>2</v>
      </c>
      <c r="AQ204" t="n">
        <v>15</v>
      </c>
      <c r="AR204" t="inlineStr">
        <is>
          <t>No</t>
        </is>
      </c>
      <c r="AS204" t="inlineStr">
        <is>
          <t>Yes</t>
        </is>
      </c>
      <c r="AT204">
        <f>HYPERLINK("http://catalog.hathitrust.org/Record/102077807","HathiTrust Record")</f>
        <v/>
      </c>
      <c r="AU204">
        <f>HYPERLINK("https://creighton-primo.hosted.exlibrisgroup.com/primo-explore/search?tab=default_tab&amp;search_scope=EVERYTHING&amp;vid=01CRU&amp;lang=en_US&amp;offset=0&amp;query=any,contains,991000188289702656","Catalog Record")</f>
        <v/>
      </c>
      <c r="AV204">
        <f>HYPERLINK("http://www.worldcat.org/oclc/9397099","WorldCat Record")</f>
        <v/>
      </c>
      <c r="AW204" t="inlineStr">
        <is>
          <t>11176817:eng</t>
        </is>
      </c>
      <c r="AX204" t="inlineStr">
        <is>
          <t>9397099</t>
        </is>
      </c>
      <c r="AY204" t="inlineStr">
        <is>
          <t>991000188289702656</t>
        </is>
      </c>
      <c r="AZ204" t="inlineStr">
        <is>
          <t>991000188289702656</t>
        </is>
      </c>
      <c r="BA204" t="inlineStr">
        <is>
          <t>2266197490002656</t>
        </is>
      </c>
      <c r="BB204" t="inlineStr">
        <is>
          <t>BOOK</t>
        </is>
      </c>
      <c r="BD204" t="inlineStr">
        <is>
          <t>9780395327012</t>
        </is>
      </c>
      <c r="BE204" t="inlineStr">
        <is>
          <t>32285001093847</t>
        </is>
      </c>
      <c r="BF204" t="inlineStr">
        <is>
          <t>893620289</t>
        </is>
      </c>
    </row>
    <row r="205">
      <c r="B205" t="inlineStr">
        <is>
          <t>CURAL</t>
        </is>
      </c>
      <c r="C205" t="inlineStr">
        <is>
          <t>SHELVES</t>
        </is>
      </c>
      <c r="D205" t="inlineStr">
        <is>
          <t>KF387 .R424 1988</t>
        </is>
      </c>
      <c r="E205" t="inlineStr">
        <is>
          <t>0                      KF 0387000R  424         1988</t>
        </is>
      </c>
      <c r="F205" t="inlineStr">
        <is>
          <t>The Reader's Digest legal question &amp; answer book.</t>
        </is>
      </c>
      <c r="H205" t="inlineStr">
        <is>
          <t>No</t>
        </is>
      </c>
      <c r="I205" t="inlineStr">
        <is>
          <t>1</t>
        </is>
      </c>
      <c r="J205" t="inlineStr">
        <is>
          <t>Yes</t>
        </is>
      </c>
      <c r="K205" t="inlineStr">
        <is>
          <t>No</t>
        </is>
      </c>
      <c r="L205" t="inlineStr">
        <is>
          <t>0</t>
        </is>
      </c>
      <c r="N205" t="inlineStr">
        <is>
          <t>Pleasantville, N.Y. : Reader's Digest Association, c1988.</t>
        </is>
      </c>
      <c r="O205" t="inlineStr">
        <is>
          <t>1988</t>
        </is>
      </c>
      <c r="Q205" t="inlineStr">
        <is>
          <t>eng</t>
        </is>
      </c>
      <c r="R205" t="inlineStr">
        <is>
          <t>nyu</t>
        </is>
      </c>
      <c r="T205" t="inlineStr">
        <is>
          <t xml:space="preserve">KF </t>
        </is>
      </c>
      <c r="U205" t="n">
        <v>3</v>
      </c>
      <c r="V205" t="n">
        <v>3</v>
      </c>
      <c r="W205" t="inlineStr">
        <is>
          <t>1993-12-29</t>
        </is>
      </c>
      <c r="X205" t="inlineStr">
        <is>
          <t>1993-12-29</t>
        </is>
      </c>
      <c r="Y205" t="inlineStr">
        <is>
          <t>1991-02-20</t>
        </is>
      </c>
      <c r="Z205" t="inlineStr">
        <is>
          <t>2007-04-24</t>
        </is>
      </c>
      <c r="AA205" t="n">
        <v>697</v>
      </c>
      <c r="AB205" t="n">
        <v>693</v>
      </c>
      <c r="AC205" t="n">
        <v>698</v>
      </c>
      <c r="AD205" t="n">
        <v>6</v>
      </c>
      <c r="AE205" t="n">
        <v>6</v>
      </c>
      <c r="AF205" t="n">
        <v>4</v>
      </c>
      <c r="AG205" t="n">
        <v>4</v>
      </c>
      <c r="AH205" t="n">
        <v>2</v>
      </c>
      <c r="AI205" t="n">
        <v>2</v>
      </c>
      <c r="AJ205" t="n">
        <v>0</v>
      </c>
      <c r="AK205" t="n">
        <v>0</v>
      </c>
      <c r="AL205" t="n">
        <v>1</v>
      </c>
      <c r="AM205" t="n">
        <v>1</v>
      </c>
      <c r="AN205" t="n">
        <v>0</v>
      </c>
      <c r="AO205" t="n">
        <v>0</v>
      </c>
      <c r="AP205" t="n">
        <v>2</v>
      </c>
      <c r="AQ205" t="n">
        <v>2</v>
      </c>
      <c r="AR205" t="inlineStr">
        <is>
          <t>No</t>
        </is>
      </c>
      <c r="AS205" t="inlineStr">
        <is>
          <t>No</t>
        </is>
      </c>
      <c r="AU205">
        <f>HYPERLINK("https://creighton-primo.hosted.exlibrisgroup.com/primo-explore/search?tab=default_tab&amp;search_scope=EVERYTHING&amp;vid=01CRU&amp;lang=en_US&amp;offset=0&amp;query=any,contains,991001685549702656","Catalog Record")</f>
        <v/>
      </c>
      <c r="AV205">
        <f>HYPERLINK("http://www.worldcat.org/oclc/16754280","WorldCat Record")</f>
        <v/>
      </c>
      <c r="AW205" t="inlineStr">
        <is>
          <t>1909231304:eng</t>
        </is>
      </c>
      <c r="AX205" t="inlineStr">
        <is>
          <t>16754280</t>
        </is>
      </c>
      <c r="AY205" t="inlineStr">
        <is>
          <t>991001685549702656</t>
        </is>
      </c>
      <c r="AZ205" t="inlineStr">
        <is>
          <t>991001685549702656</t>
        </is>
      </c>
      <c r="BA205" t="inlineStr">
        <is>
          <t>2263815060002656</t>
        </is>
      </c>
      <c r="BB205" t="inlineStr">
        <is>
          <t>BOOK</t>
        </is>
      </c>
      <c r="BD205" t="inlineStr">
        <is>
          <t>9780895772916</t>
        </is>
      </c>
      <c r="BE205" t="inlineStr">
        <is>
          <t>32285000299247</t>
        </is>
      </c>
      <c r="BF205" t="inlineStr">
        <is>
          <t>893684532</t>
        </is>
      </c>
    </row>
    <row r="206">
      <c r="B206" t="inlineStr">
        <is>
          <t>CURAL</t>
        </is>
      </c>
      <c r="C206" t="inlineStr">
        <is>
          <t>SHELVES</t>
        </is>
      </c>
      <c r="D206" t="inlineStr">
        <is>
          <t>KF3890 .E4 1967</t>
        </is>
      </c>
      <c r="E206" t="inlineStr">
        <is>
          <t>0                      KF 3890000E  4           1967</t>
        </is>
      </c>
      <c r="F206" t="inlineStr">
        <is>
          <t>Narcotics and the law : a critique of the American experiment in narcotic drug control.</t>
        </is>
      </c>
      <c r="H206" t="inlineStr">
        <is>
          <t>No</t>
        </is>
      </c>
      <c r="I206" t="inlineStr">
        <is>
          <t>1</t>
        </is>
      </c>
      <c r="J206" t="inlineStr">
        <is>
          <t>Yes</t>
        </is>
      </c>
      <c r="K206" t="inlineStr">
        <is>
          <t>Yes</t>
        </is>
      </c>
      <c r="L206" t="inlineStr">
        <is>
          <t>0</t>
        </is>
      </c>
      <c r="M206" t="inlineStr">
        <is>
          <t>Eldridge, William Butler.</t>
        </is>
      </c>
      <c r="N206" t="inlineStr">
        <is>
          <t>Chicago, University of Chicago Press [1967]</t>
        </is>
      </c>
      <c r="O206" t="inlineStr">
        <is>
          <t>1967</t>
        </is>
      </c>
      <c r="P206" t="inlineStr">
        <is>
          <t>2d ed., rev.</t>
        </is>
      </c>
      <c r="Q206" t="inlineStr">
        <is>
          <t>eng</t>
        </is>
      </c>
      <c r="R206" t="inlineStr">
        <is>
          <t>ilu</t>
        </is>
      </c>
      <c r="T206" t="inlineStr">
        <is>
          <t xml:space="preserve">KF </t>
        </is>
      </c>
      <c r="U206" t="n">
        <v>4</v>
      </c>
      <c r="V206" t="n">
        <v>5</v>
      </c>
      <c r="W206" t="inlineStr">
        <is>
          <t>2005-04-14</t>
        </is>
      </c>
      <c r="X206" t="inlineStr">
        <is>
          <t>2005-04-14</t>
        </is>
      </c>
      <c r="Y206" t="inlineStr">
        <is>
          <t>1997-09-04</t>
        </is>
      </c>
      <c r="Z206" t="inlineStr">
        <is>
          <t>1997-09-04</t>
        </is>
      </c>
      <c r="AA206" t="n">
        <v>723</v>
      </c>
      <c r="AB206" t="n">
        <v>637</v>
      </c>
      <c r="AC206" t="n">
        <v>873</v>
      </c>
      <c r="AD206" t="n">
        <v>5</v>
      </c>
      <c r="AE206" t="n">
        <v>6</v>
      </c>
      <c r="AF206" t="n">
        <v>39</v>
      </c>
      <c r="AG206" t="n">
        <v>52</v>
      </c>
      <c r="AH206" t="n">
        <v>7</v>
      </c>
      <c r="AI206" t="n">
        <v>14</v>
      </c>
      <c r="AJ206" t="n">
        <v>4</v>
      </c>
      <c r="AK206" t="n">
        <v>6</v>
      </c>
      <c r="AL206" t="n">
        <v>11</v>
      </c>
      <c r="AM206" t="n">
        <v>13</v>
      </c>
      <c r="AN206" t="n">
        <v>2</v>
      </c>
      <c r="AO206" t="n">
        <v>3</v>
      </c>
      <c r="AP206" t="n">
        <v>19</v>
      </c>
      <c r="AQ206" t="n">
        <v>23</v>
      </c>
      <c r="AR206" t="inlineStr">
        <is>
          <t>No</t>
        </is>
      </c>
      <c r="AS206" t="inlineStr">
        <is>
          <t>No</t>
        </is>
      </c>
      <c r="AU206">
        <f>HYPERLINK("https://creighton-primo.hosted.exlibrisgroup.com/primo-explore/search?tab=default_tab&amp;search_scope=EVERYTHING&amp;vid=01CRU&amp;lang=en_US&amp;offset=0&amp;query=any,contains,991001628529702656","Catalog Record")</f>
        <v/>
      </c>
      <c r="AV206">
        <f>HYPERLINK("http://www.worldcat.org/oclc/332452","WorldCat Record")</f>
        <v/>
      </c>
      <c r="AW206" t="inlineStr">
        <is>
          <t>1089559205:eng</t>
        </is>
      </c>
      <c r="AX206" t="inlineStr">
        <is>
          <t>332452</t>
        </is>
      </c>
      <c r="AY206" t="inlineStr">
        <is>
          <t>991001628529702656</t>
        </is>
      </c>
      <c r="AZ206" t="inlineStr">
        <is>
          <t>991001628529702656</t>
        </is>
      </c>
      <c r="BA206" t="inlineStr">
        <is>
          <t>2257779500002656</t>
        </is>
      </c>
      <c r="BB206" t="inlineStr">
        <is>
          <t>BOOK</t>
        </is>
      </c>
      <c r="BE206" t="inlineStr">
        <is>
          <t>32285003162046</t>
        </is>
      </c>
      <c r="BF206" t="inlineStr">
        <is>
          <t>893432961</t>
        </is>
      </c>
    </row>
    <row r="207">
      <c r="B207" t="inlineStr">
        <is>
          <t>CURAL</t>
        </is>
      </c>
      <c r="C207" t="inlineStr">
        <is>
          <t>SHELVES</t>
        </is>
      </c>
      <c r="D207" t="inlineStr">
        <is>
          <t>KF390.5.C6 G45 1998</t>
        </is>
      </c>
      <c r="E207" t="inlineStr">
        <is>
          <t>0                      KF 0390500C  6                  G  45          1998</t>
        </is>
      </c>
      <c r="F207" t="inlineStr">
        <is>
          <t>Protecting yourself online : the definitive resource on safety, freedom, and privacy in cyberspace / Robert B. Gelman with Stanton McCandlish and members of the Electronic Frontier Foundation ; [foreword by Esther Dyson].</t>
        </is>
      </c>
      <c r="H207" t="inlineStr">
        <is>
          <t>No</t>
        </is>
      </c>
      <c r="I207" t="inlineStr">
        <is>
          <t>1</t>
        </is>
      </c>
      <c r="J207" t="inlineStr">
        <is>
          <t>No</t>
        </is>
      </c>
      <c r="K207" t="inlineStr">
        <is>
          <t>No</t>
        </is>
      </c>
      <c r="L207" t="inlineStr">
        <is>
          <t>0</t>
        </is>
      </c>
      <c r="M207" t="inlineStr">
        <is>
          <t>Gelman, Robert B.</t>
        </is>
      </c>
      <c r="N207" t="inlineStr">
        <is>
          <t>[San Francisco, Calif.] : HarperEdge, c1998.</t>
        </is>
      </c>
      <c r="O207" t="inlineStr">
        <is>
          <t>1998</t>
        </is>
      </c>
      <c r="P207" t="inlineStr">
        <is>
          <t>1st ed.</t>
        </is>
      </c>
      <c r="Q207" t="inlineStr">
        <is>
          <t>eng</t>
        </is>
      </c>
      <c r="R207" t="inlineStr">
        <is>
          <t>cau</t>
        </is>
      </c>
      <c r="T207" t="inlineStr">
        <is>
          <t xml:space="preserve">KF </t>
        </is>
      </c>
      <c r="U207" t="n">
        <v>8</v>
      </c>
      <c r="V207" t="n">
        <v>8</v>
      </c>
      <c r="W207" t="inlineStr">
        <is>
          <t>2004-04-27</t>
        </is>
      </c>
      <c r="X207" t="inlineStr">
        <is>
          <t>2004-04-27</t>
        </is>
      </c>
      <c r="Y207" t="inlineStr">
        <is>
          <t>1998-06-09</t>
        </is>
      </c>
      <c r="Z207" t="inlineStr">
        <is>
          <t>1998-06-09</t>
        </is>
      </c>
      <c r="AA207" t="n">
        <v>708</v>
      </c>
      <c r="AB207" t="n">
        <v>643</v>
      </c>
      <c r="AC207" t="n">
        <v>663</v>
      </c>
      <c r="AD207" t="n">
        <v>4</v>
      </c>
      <c r="AE207" t="n">
        <v>4</v>
      </c>
      <c r="AF207" t="n">
        <v>22</v>
      </c>
      <c r="AG207" t="n">
        <v>22</v>
      </c>
      <c r="AH207" t="n">
        <v>3</v>
      </c>
      <c r="AI207" t="n">
        <v>3</v>
      </c>
      <c r="AJ207" t="n">
        <v>4</v>
      </c>
      <c r="AK207" t="n">
        <v>4</v>
      </c>
      <c r="AL207" t="n">
        <v>6</v>
      </c>
      <c r="AM207" t="n">
        <v>6</v>
      </c>
      <c r="AN207" t="n">
        <v>3</v>
      </c>
      <c r="AO207" t="n">
        <v>3</v>
      </c>
      <c r="AP207" t="n">
        <v>8</v>
      </c>
      <c r="AQ207" t="n">
        <v>8</v>
      </c>
      <c r="AR207" t="inlineStr">
        <is>
          <t>No</t>
        </is>
      </c>
      <c r="AS207" t="inlineStr">
        <is>
          <t>No</t>
        </is>
      </c>
      <c r="AU207">
        <f>HYPERLINK("https://creighton-primo.hosted.exlibrisgroup.com/primo-explore/search?tab=default_tab&amp;search_scope=EVERYTHING&amp;vid=01CRU&amp;lang=en_US&amp;offset=0&amp;query=any,contains,991002884929702656","Catalog Record")</f>
        <v/>
      </c>
      <c r="AV207">
        <f>HYPERLINK("http://www.worldcat.org/oclc/38014844","WorldCat Record")</f>
        <v/>
      </c>
      <c r="AW207" t="inlineStr">
        <is>
          <t>895899516:eng</t>
        </is>
      </c>
      <c r="AX207" t="inlineStr">
        <is>
          <t>38014844</t>
        </is>
      </c>
      <c r="AY207" t="inlineStr">
        <is>
          <t>991002884929702656</t>
        </is>
      </c>
      <c r="AZ207" t="inlineStr">
        <is>
          <t>991002884929702656</t>
        </is>
      </c>
      <c r="BA207" t="inlineStr">
        <is>
          <t>2268002860002656</t>
        </is>
      </c>
      <c r="BB207" t="inlineStr">
        <is>
          <t>BOOK</t>
        </is>
      </c>
      <c r="BD207" t="inlineStr">
        <is>
          <t>9780062515124</t>
        </is>
      </c>
      <c r="BE207" t="inlineStr">
        <is>
          <t>32285003413621</t>
        </is>
      </c>
      <c r="BF207" t="inlineStr">
        <is>
          <t>893341978</t>
        </is>
      </c>
    </row>
    <row r="208">
      <c r="B208" t="inlineStr">
        <is>
          <t>CURAL</t>
        </is>
      </c>
      <c r="C208" t="inlineStr">
        <is>
          <t>SHELVES</t>
        </is>
      </c>
      <c r="D208" t="inlineStr">
        <is>
          <t>KF3941.A75 I84</t>
        </is>
      </c>
      <c r="E208" t="inlineStr">
        <is>
          <t>0                      KF 3941000A  75                 I  84</t>
        </is>
      </c>
      <c r="F208" t="inlineStr">
        <is>
          <t>The Issue of gun control / edited by Thomas Draper.</t>
        </is>
      </c>
      <c r="H208" t="inlineStr">
        <is>
          <t>No</t>
        </is>
      </c>
      <c r="I208" t="inlineStr">
        <is>
          <t>1</t>
        </is>
      </c>
      <c r="J208" t="inlineStr">
        <is>
          <t>No</t>
        </is>
      </c>
      <c r="K208" t="inlineStr">
        <is>
          <t>No</t>
        </is>
      </c>
      <c r="L208" t="inlineStr">
        <is>
          <t>0</t>
        </is>
      </c>
      <c r="N208" t="inlineStr">
        <is>
          <t>New York : H.W. Wilson, 1981.</t>
        </is>
      </c>
      <c r="O208" t="inlineStr">
        <is>
          <t>1981</t>
        </is>
      </c>
      <c r="Q208" t="inlineStr">
        <is>
          <t>eng</t>
        </is>
      </c>
      <c r="R208" t="inlineStr">
        <is>
          <t>nyu</t>
        </is>
      </c>
      <c r="S208" t="inlineStr">
        <is>
          <t>Reference shelf ; v. 53, no. 1</t>
        </is>
      </c>
      <c r="T208" t="inlineStr">
        <is>
          <t xml:space="preserve">KF </t>
        </is>
      </c>
      <c r="U208" t="n">
        <v>26</v>
      </c>
      <c r="V208" t="n">
        <v>26</v>
      </c>
      <c r="W208" t="inlineStr">
        <is>
          <t>2010-01-14</t>
        </is>
      </c>
      <c r="X208" t="inlineStr">
        <is>
          <t>2010-01-14</t>
        </is>
      </c>
      <c r="Y208" t="inlineStr">
        <is>
          <t>1995-01-25</t>
        </is>
      </c>
      <c r="Z208" t="inlineStr">
        <is>
          <t>1995-01-25</t>
        </is>
      </c>
      <c r="AA208" t="n">
        <v>931</v>
      </c>
      <c r="AB208" t="n">
        <v>886</v>
      </c>
      <c r="AC208" t="n">
        <v>892</v>
      </c>
      <c r="AD208" t="n">
        <v>8</v>
      </c>
      <c r="AE208" t="n">
        <v>8</v>
      </c>
      <c r="AF208" t="n">
        <v>32</v>
      </c>
      <c r="AG208" t="n">
        <v>32</v>
      </c>
      <c r="AH208" t="n">
        <v>9</v>
      </c>
      <c r="AI208" t="n">
        <v>9</v>
      </c>
      <c r="AJ208" t="n">
        <v>7</v>
      </c>
      <c r="AK208" t="n">
        <v>7</v>
      </c>
      <c r="AL208" t="n">
        <v>13</v>
      </c>
      <c r="AM208" t="n">
        <v>13</v>
      </c>
      <c r="AN208" t="n">
        <v>5</v>
      </c>
      <c r="AO208" t="n">
        <v>5</v>
      </c>
      <c r="AP208" t="n">
        <v>4</v>
      </c>
      <c r="AQ208" t="n">
        <v>4</v>
      </c>
      <c r="AR208" t="inlineStr">
        <is>
          <t>No</t>
        </is>
      </c>
      <c r="AS208" t="inlineStr">
        <is>
          <t>Yes</t>
        </is>
      </c>
      <c r="AT208">
        <f>HYPERLINK("http://catalog.hathitrust.org/Record/000733840","HathiTrust Record")</f>
        <v/>
      </c>
      <c r="AU208">
        <f>HYPERLINK("https://creighton-primo.hosted.exlibrisgroup.com/primo-explore/search?tab=default_tab&amp;search_scope=EVERYTHING&amp;vid=01CRU&amp;lang=en_US&amp;offset=0&amp;query=any,contains,991005093579702656","Catalog Record")</f>
        <v/>
      </c>
      <c r="AV208">
        <f>HYPERLINK("http://www.worldcat.org/oclc/7252662","WorldCat Record")</f>
        <v/>
      </c>
      <c r="AW208" t="inlineStr">
        <is>
          <t>2236109:eng</t>
        </is>
      </c>
      <c r="AX208" t="inlineStr">
        <is>
          <t>7252662</t>
        </is>
      </c>
      <c r="AY208" t="inlineStr">
        <is>
          <t>991005093579702656</t>
        </is>
      </c>
      <c r="AZ208" t="inlineStr">
        <is>
          <t>991005093579702656</t>
        </is>
      </c>
      <c r="BA208" t="inlineStr">
        <is>
          <t>2255833670002656</t>
        </is>
      </c>
      <c r="BB208" t="inlineStr">
        <is>
          <t>BOOK</t>
        </is>
      </c>
      <c r="BD208" t="inlineStr">
        <is>
          <t>9780824206543</t>
        </is>
      </c>
      <c r="BE208" t="inlineStr">
        <is>
          <t>32285001779288</t>
        </is>
      </c>
      <c r="BF208" t="inlineStr">
        <is>
          <t>893412303</t>
        </is>
      </c>
    </row>
    <row r="209">
      <c r="B209" t="inlineStr">
        <is>
          <t>CURAL</t>
        </is>
      </c>
      <c r="C209" t="inlineStr">
        <is>
          <t>SHELVES</t>
        </is>
      </c>
      <c r="D209" t="inlineStr">
        <is>
          <t>KF3958 .W67 1986</t>
        </is>
      </c>
      <c r="E209" t="inlineStr">
        <is>
          <t>0                      KF 3958000W  67          1986</t>
        </is>
      </c>
      <c r="F209" t="inlineStr">
        <is>
          <t>Toxic substances controls primer : federal regulation of chemicals in the environment / Mary Devine Worobec.</t>
        </is>
      </c>
      <c r="H209" t="inlineStr">
        <is>
          <t>No</t>
        </is>
      </c>
      <c r="I209" t="inlineStr">
        <is>
          <t>1</t>
        </is>
      </c>
      <c r="J209" t="inlineStr">
        <is>
          <t>No</t>
        </is>
      </c>
      <c r="K209" t="inlineStr">
        <is>
          <t>No</t>
        </is>
      </c>
      <c r="L209" t="inlineStr">
        <is>
          <t>0</t>
        </is>
      </c>
      <c r="M209" t="inlineStr">
        <is>
          <t>Worobec, Mary Devine.</t>
        </is>
      </c>
      <c r="N209" t="inlineStr">
        <is>
          <t>Washington, D.C. : Bureau of National Affairs, c1986.</t>
        </is>
      </c>
      <c r="O209" t="inlineStr">
        <is>
          <t>1986</t>
        </is>
      </c>
      <c r="P209" t="inlineStr">
        <is>
          <t>2nd ed.</t>
        </is>
      </c>
      <c r="Q209" t="inlineStr">
        <is>
          <t>eng</t>
        </is>
      </c>
      <c r="R209" t="inlineStr">
        <is>
          <t>dcu</t>
        </is>
      </c>
      <c r="T209" t="inlineStr">
        <is>
          <t xml:space="preserve">KF </t>
        </is>
      </c>
      <c r="U209" t="n">
        <v>3</v>
      </c>
      <c r="V209" t="n">
        <v>3</v>
      </c>
      <c r="W209" t="inlineStr">
        <is>
          <t>2010-03-23</t>
        </is>
      </c>
      <c r="X209" t="inlineStr">
        <is>
          <t>2010-03-23</t>
        </is>
      </c>
      <c r="Y209" t="inlineStr">
        <is>
          <t>1990-02-02</t>
        </is>
      </c>
      <c r="Z209" t="inlineStr">
        <is>
          <t>1990-02-02</t>
        </is>
      </c>
      <c r="AA209" t="n">
        <v>241</v>
      </c>
      <c r="AB209" t="n">
        <v>232</v>
      </c>
      <c r="AC209" t="n">
        <v>380</v>
      </c>
      <c r="AD209" t="n">
        <v>2</v>
      </c>
      <c r="AE209" t="n">
        <v>2</v>
      </c>
      <c r="AF209" t="n">
        <v>14</v>
      </c>
      <c r="AG209" t="n">
        <v>19</v>
      </c>
      <c r="AH209" t="n">
        <v>0</v>
      </c>
      <c r="AI209" t="n">
        <v>0</v>
      </c>
      <c r="AJ209" t="n">
        <v>4</v>
      </c>
      <c r="AK209" t="n">
        <v>4</v>
      </c>
      <c r="AL209" t="n">
        <v>3</v>
      </c>
      <c r="AM209" t="n">
        <v>3</v>
      </c>
      <c r="AN209" t="n">
        <v>1</v>
      </c>
      <c r="AO209" t="n">
        <v>1</v>
      </c>
      <c r="AP209" t="n">
        <v>8</v>
      </c>
      <c r="AQ209" t="n">
        <v>13</v>
      </c>
      <c r="AR209" t="inlineStr">
        <is>
          <t>No</t>
        </is>
      </c>
      <c r="AS209" t="inlineStr">
        <is>
          <t>No</t>
        </is>
      </c>
      <c r="AU209">
        <f>HYPERLINK("https://creighton-primo.hosted.exlibrisgroup.com/primo-explore/search?tab=default_tab&amp;search_scope=EVERYTHING&amp;vid=01CRU&amp;lang=en_US&amp;offset=0&amp;query=any,contains,991000821519702656","Catalog Record")</f>
        <v/>
      </c>
      <c r="AV209">
        <f>HYPERLINK("http://www.worldcat.org/oclc/13395564","WorldCat Record")</f>
        <v/>
      </c>
      <c r="AW209" t="inlineStr">
        <is>
          <t>3892227:eng</t>
        </is>
      </c>
      <c r="AX209" t="inlineStr">
        <is>
          <t>13395564</t>
        </is>
      </c>
      <c r="AY209" t="inlineStr">
        <is>
          <t>991000821519702656</t>
        </is>
      </c>
      <c r="AZ209" t="inlineStr">
        <is>
          <t>991000821519702656</t>
        </is>
      </c>
      <c r="BA209" t="inlineStr">
        <is>
          <t>2262099980002656</t>
        </is>
      </c>
      <c r="BB209" t="inlineStr">
        <is>
          <t>BOOK</t>
        </is>
      </c>
      <c r="BD209" t="inlineStr">
        <is>
          <t>9780871795175</t>
        </is>
      </c>
      <c r="BE209" t="inlineStr">
        <is>
          <t>32285000038280</t>
        </is>
      </c>
      <c r="BF209" t="inlineStr">
        <is>
          <t>893407551</t>
        </is>
      </c>
    </row>
    <row r="210">
      <c r="B210" t="inlineStr">
        <is>
          <t>CURAL</t>
        </is>
      </c>
      <c r="C210" t="inlineStr">
        <is>
          <t>SHELVES</t>
        </is>
      </c>
      <c r="D210" t="inlineStr">
        <is>
          <t>KF3959 .B67 1987</t>
        </is>
      </c>
      <c r="E210" t="inlineStr">
        <is>
          <t>0                      KF 3959000B  67          1987</t>
        </is>
      </c>
      <c r="F210" t="inlineStr">
        <is>
          <t>Pesticides and politics : the life cycle of a public issue / Christopher J. Bosso.</t>
        </is>
      </c>
      <c r="H210" t="inlineStr">
        <is>
          <t>No</t>
        </is>
      </c>
      <c r="I210" t="inlineStr">
        <is>
          <t>1</t>
        </is>
      </c>
      <c r="J210" t="inlineStr">
        <is>
          <t>No</t>
        </is>
      </c>
      <c r="K210" t="inlineStr">
        <is>
          <t>No</t>
        </is>
      </c>
      <c r="L210" t="inlineStr">
        <is>
          <t>0</t>
        </is>
      </c>
      <c r="M210" t="inlineStr">
        <is>
          <t>Bosso, Christopher J. (Christopher John), 1956-</t>
        </is>
      </c>
      <c r="N210" t="inlineStr">
        <is>
          <t>Pittsburgh, PA : University of Pittsburgh Press, c1987.</t>
        </is>
      </c>
      <c r="O210" t="inlineStr">
        <is>
          <t>1987</t>
        </is>
      </c>
      <c r="Q210" t="inlineStr">
        <is>
          <t>eng</t>
        </is>
      </c>
      <c r="R210" t="inlineStr">
        <is>
          <t>pau</t>
        </is>
      </c>
      <c r="S210" t="inlineStr">
        <is>
          <t>Pitt series in policy and institutional studies</t>
        </is>
      </c>
      <c r="T210" t="inlineStr">
        <is>
          <t xml:space="preserve">KF </t>
        </is>
      </c>
      <c r="U210" t="n">
        <v>11</v>
      </c>
      <c r="V210" t="n">
        <v>11</v>
      </c>
      <c r="W210" t="inlineStr">
        <is>
          <t>2007-12-13</t>
        </is>
      </c>
      <c r="X210" t="inlineStr">
        <is>
          <t>2007-12-13</t>
        </is>
      </c>
      <c r="Y210" t="inlineStr">
        <is>
          <t>1991-02-12</t>
        </is>
      </c>
      <c r="Z210" t="inlineStr">
        <is>
          <t>1991-02-12</t>
        </is>
      </c>
      <c r="AA210" t="n">
        <v>682</v>
      </c>
      <c r="AB210" t="n">
        <v>612</v>
      </c>
      <c r="AC210" t="n">
        <v>630</v>
      </c>
      <c r="AD210" t="n">
        <v>5</v>
      </c>
      <c r="AE210" t="n">
        <v>5</v>
      </c>
      <c r="AF210" t="n">
        <v>39</v>
      </c>
      <c r="AG210" t="n">
        <v>39</v>
      </c>
      <c r="AH210" t="n">
        <v>7</v>
      </c>
      <c r="AI210" t="n">
        <v>7</v>
      </c>
      <c r="AJ210" t="n">
        <v>9</v>
      </c>
      <c r="AK210" t="n">
        <v>9</v>
      </c>
      <c r="AL210" t="n">
        <v>16</v>
      </c>
      <c r="AM210" t="n">
        <v>16</v>
      </c>
      <c r="AN210" t="n">
        <v>4</v>
      </c>
      <c r="AO210" t="n">
        <v>4</v>
      </c>
      <c r="AP210" t="n">
        <v>10</v>
      </c>
      <c r="AQ210" t="n">
        <v>10</v>
      </c>
      <c r="AR210" t="inlineStr">
        <is>
          <t>No</t>
        </is>
      </c>
      <c r="AS210" t="inlineStr">
        <is>
          <t>Yes</t>
        </is>
      </c>
      <c r="AT210">
        <f>HYPERLINK("http://catalog.hathitrust.org/Record/000824831","HathiTrust Record")</f>
        <v/>
      </c>
      <c r="AU210">
        <f>HYPERLINK("https://creighton-primo.hosted.exlibrisgroup.com/primo-explore/search?tab=default_tab&amp;search_scope=EVERYTHING&amp;vid=01CRU&amp;lang=en_US&amp;offset=0&amp;query=any,contains,991000906189702656","Catalog Record")</f>
        <v/>
      </c>
      <c r="AV210">
        <f>HYPERLINK("http://www.worldcat.org/oclc/14098558","WorldCat Record")</f>
        <v/>
      </c>
      <c r="AW210" t="inlineStr">
        <is>
          <t>195978792:eng</t>
        </is>
      </c>
      <c r="AX210" t="inlineStr">
        <is>
          <t>14098558</t>
        </is>
      </c>
      <c r="AY210" t="inlineStr">
        <is>
          <t>991000906189702656</t>
        </is>
      </c>
      <c r="AZ210" t="inlineStr">
        <is>
          <t>991000906189702656</t>
        </is>
      </c>
      <c r="BA210" t="inlineStr">
        <is>
          <t>2264892620002656</t>
        </is>
      </c>
      <c r="BB210" t="inlineStr">
        <is>
          <t>BOOK</t>
        </is>
      </c>
      <c r="BD210" t="inlineStr">
        <is>
          <t>9780822935476</t>
        </is>
      </c>
      <c r="BE210" t="inlineStr">
        <is>
          <t>32285000464379</t>
        </is>
      </c>
      <c r="BF210" t="inlineStr">
        <is>
          <t>893878446</t>
        </is>
      </c>
    </row>
    <row r="211">
      <c r="B211" t="inlineStr">
        <is>
          <t>CURAL</t>
        </is>
      </c>
      <c r="C211" t="inlineStr">
        <is>
          <t>SHELVES</t>
        </is>
      </c>
      <c r="D211" t="inlineStr">
        <is>
          <t>KF3989 .A96</t>
        </is>
      </c>
      <c r="E211" t="inlineStr">
        <is>
          <t>0                      KF 3989000A  96</t>
        </is>
      </c>
      <c r="F211" t="inlineStr">
        <is>
          <t>Athletics and the law / Herb Appenzeller. --</t>
        </is>
      </c>
      <c r="H211" t="inlineStr">
        <is>
          <t>No</t>
        </is>
      </c>
      <c r="I211" t="inlineStr">
        <is>
          <t>1</t>
        </is>
      </c>
      <c r="J211" t="inlineStr">
        <is>
          <t>No</t>
        </is>
      </c>
      <c r="K211" t="inlineStr">
        <is>
          <t>No</t>
        </is>
      </c>
      <c r="L211" t="inlineStr">
        <is>
          <t>0</t>
        </is>
      </c>
      <c r="M211" t="inlineStr">
        <is>
          <t>Appenzeller, Herb.</t>
        </is>
      </c>
      <c r="N211" t="inlineStr">
        <is>
          <t>Charlottesville, Va. : Michie Co., c1975.</t>
        </is>
      </c>
      <c r="O211" t="inlineStr">
        <is>
          <t>1975</t>
        </is>
      </c>
      <c r="Q211" t="inlineStr">
        <is>
          <t>eng</t>
        </is>
      </c>
      <c r="R211" t="inlineStr">
        <is>
          <t>vau</t>
        </is>
      </c>
      <c r="T211" t="inlineStr">
        <is>
          <t xml:space="preserve">KF </t>
        </is>
      </c>
      <c r="U211" t="n">
        <v>3</v>
      </c>
      <c r="V211" t="n">
        <v>3</v>
      </c>
      <c r="W211" t="inlineStr">
        <is>
          <t>2004-03-24</t>
        </is>
      </c>
      <c r="X211" t="inlineStr">
        <is>
          <t>2004-03-24</t>
        </is>
      </c>
      <c r="Y211" t="inlineStr">
        <is>
          <t>1992-07-02</t>
        </is>
      </c>
      <c r="Z211" t="inlineStr">
        <is>
          <t>1992-07-02</t>
        </is>
      </c>
      <c r="AA211" t="n">
        <v>503</v>
      </c>
      <c r="AB211" t="n">
        <v>473</v>
      </c>
      <c r="AC211" t="n">
        <v>479</v>
      </c>
      <c r="AD211" t="n">
        <v>3</v>
      </c>
      <c r="AE211" t="n">
        <v>3</v>
      </c>
      <c r="AF211" t="n">
        <v>24</v>
      </c>
      <c r="AG211" t="n">
        <v>24</v>
      </c>
      <c r="AH211" t="n">
        <v>8</v>
      </c>
      <c r="AI211" t="n">
        <v>8</v>
      </c>
      <c r="AJ211" t="n">
        <v>2</v>
      </c>
      <c r="AK211" t="n">
        <v>2</v>
      </c>
      <c r="AL211" t="n">
        <v>4</v>
      </c>
      <c r="AM211" t="n">
        <v>4</v>
      </c>
      <c r="AN211" t="n">
        <v>2</v>
      </c>
      <c r="AO211" t="n">
        <v>2</v>
      </c>
      <c r="AP211" t="n">
        <v>11</v>
      </c>
      <c r="AQ211" t="n">
        <v>11</v>
      </c>
      <c r="AR211" t="inlineStr">
        <is>
          <t>No</t>
        </is>
      </c>
      <c r="AS211" t="inlineStr">
        <is>
          <t>Yes</t>
        </is>
      </c>
      <c r="AT211">
        <f>HYPERLINK("http://catalog.hathitrust.org/Record/000718184","HathiTrust Record")</f>
        <v/>
      </c>
      <c r="AU211">
        <f>HYPERLINK("https://creighton-primo.hosted.exlibrisgroup.com/primo-explore/search?tab=default_tab&amp;search_scope=EVERYTHING&amp;vid=01CRU&amp;lang=en_US&amp;offset=0&amp;query=any,contains,991004263729702656","Catalog Record")</f>
        <v/>
      </c>
      <c r="AV211">
        <f>HYPERLINK("http://www.worldcat.org/oclc/1827058","WorldCat Record")</f>
        <v/>
      </c>
      <c r="AW211" t="inlineStr">
        <is>
          <t>2693325:eng</t>
        </is>
      </c>
      <c r="AX211" t="inlineStr">
        <is>
          <t>1827058</t>
        </is>
      </c>
      <c r="AY211" t="inlineStr">
        <is>
          <t>991004263729702656</t>
        </is>
      </c>
      <c r="AZ211" t="inlineStr">
        <is>
          <t>991004263729702656</t>
        </is>
      </c>
      <c r="BA211" t="inlineStr">
        <is>
          <t>2260667010002656</t>
        </is>
      </c>
      <c r="BB211" t="inlineStr">
        <is>
          <t>BOOK</t>
        </is>
      </c>
      <c r="BE211" t="inlineStr">
        <is>
          <t>32285001176659</t>
        </is>
      </c>
      <c r="BF211" t="inlineStr">
        <is>
          <t>893788494</t>
        </is>
      </c>
    </row>
    <row r="212">
      <c r="B212" t="inlineStr">
        <is>
          <t>CURAL</t>
        </is>
      </c>
      <c r="C212" t="inlineStr">
        <is>
          <t>SHELVES</t>
        </is>
      </c>
      <c r="D212" t="inlineStr">
        <is>
          <t>KF4119 .S66 1973</t>
        </is>
      </c>
      <c r="E212" t="inlineStr">
        <is>
          <t>0                      KF 4119000S  66          1973</t>
        </is>
      </c>
      <c r="F212" t="inlineStr">
        <is>
          <t>Education and the Supreme Court.</t>
        </is>
      </c>
      <c r="H212" t="inlineStr">
        <is>
          <t>No</t>
        </is>
      </c>
      <c r="I212" t="inlineStr">
        <is>
          <t>1</t>
        </is>
      </c>
      <c r="J212" t="inlineStr">
        <is>
          <t>Yes</t>
        </is>
      </c>
      <c r="K212" t="inlineStr">
        <is>
          <t>Yes</t>
        </is>
      </c>
      <c r="L212" t="inlineStr">
        <is>
          <t>0</t>
        </is>
      </c>
      <c r="M212" t="inlineStr">
        <is>
          <t>Spurlock, Clark.</t>
        </is>
      </c>
      <c r="N212" t="inlineStr">
        <is>
          <t>Westport, Conn. : Greenwood Press, [1973, c1955]</t>
        </is>
      </c>
      <c r="O212" t="inlineStr">
        <is>
          <t>1973</t>
        </is>
      </c>
      <c r="Q212" t="inlineStr">
        <is>
          <t>eng</t>
        </is>
      </c>
      <c r="R212" t="inlineStr">
        <is>
          <t>ctu</t>
        </is>
      </c>
      <c r="T212" t="inlineStr">
        <is>
          <t xml:space="preserve">KF </t>
        </is>
      </c>
      <c r="U212" t="n">
        <v>9</v>
      </c>
      <c r="V212" t="n">
        <v>9</v>
      </c>
      <c r="W212" t="inlineStr">
        <is>
          <t>2009-11-24</t>
        </is>
      </c>
      <c r="X212" t="inlineStr">
        <is>
          <t>2009-11-24</t>
        </is>
      </c>
      <c r="Y212" t="inlineStr">
        <is>
          <t>1992-11-16</t>
        </is>
      </c>
      <c r="Z212" t="inlineStr">
        <is>
          <t>1992-12-04</t>
        </is>
      </c>
      <c r="AA212" t="n">
        <v>149</v>
      </c>
      <c r="AB212" t="n">
        <v>134</v>
      </c>
      <c r="AC212" t="n">
        <v>598</v>
      </c>
      <c r="AD212" t="n">
        <v>2</v>
      </c>
      <c r="AE212" t="n">
        <v>9</v>
      </c>
      <c r="AF212" t="n">
        <v>13</v>
      </c>
      <c r="AG212" t="n">
        <v>45</v>
      </c>
      <c r="AH212" t="n">
        <v>3</v>
      </c>
      <c r="AI212" t="n">
        <v>9</v>
      </c>
      <c r="AJ212" t="n">
        <v>3</v>
      </c>
      <c r="AK212" t="n">
        <v>6</v>
      </c>
      <c r="AL212" t="n">
        <v>4</v>
      </c>
      <c r="AM212" t="n">
        <v>16</v>
      </c>
      <c r="AN212" t="n">
        <v>0</v>
      </c>
      <c r="AO212" t="n">
        <v>6</v>
      </c>
      <c r="AP212" t="n">
        <v>5</v>
      </c>
      <c r="AQ212" t="n">
        <v>15</v>
      </c>
      <c r="AR212" t="inlineStr">
        <is>
          <t>Yes</t>
        </is>
      </c>
      <c r="AS212" t="inlineStr">
        <is>
          <t>No</t>
        </is>
      </c>
      <c r="AT212">
        <f>HYPERLINK("http://catalog.hathitrust.org/Record/102072863","HathiTrust Record")</f>
        <v/>
      </c>
      <c r="AU212">
        <f>HYPERLINK("https://creighton-primo.hosted.exlibrisgroup.com/primo-explore/search?tab=default_tab&amp;search_scope=EVERYTHING&amp;vid=01CRU&amp;lang=en_US&amp;offset=0&amp;query=any,contains,991001659129702656","Catalog Record")</f>
        <v/>
      </c>
      <c r="AV212">
        <f>HYPERLINK("http://www.worldcat.org/oclc/590655","WorldCat Record")</f>
        <v/>
      </c>
      <c r="AW212" t="inlineStr">
        <is>
          <t>1777188:eng</t>
        </is>
      </c>
      <c r="AX212" t="inlineStr">
        <is>
          <t>590655</t>
        </is>
      </c>
      <c r="AY212" t="inlineStr">
        <is>
          <t>991001659129702656</t>
        </is>
      </c>
      <c r="AZ212" t="inlineStr">
        <is>
          <t>991001659129702656</t>
        </is>
      </c>
      <c r="BA212" t="inlineStr">
        <is>
          <t>2262897150002656</t>
        </is>
      </c>
      <c r="BB212" t="inlineStr">
        <is>
          <t>BOOK</t>
        </is>
      </c>
      <c r="BD212" t="inlineStr">
        <is>
          <t>9780837159492</t>
        </is>
      </c>
      <c r="BE212" t="inlineStr">
        <is>
          <t>32285001384576</t>
        </is>
      </c>
      <c r="BF212" t="inlineStr">
        <is>
          <t>893432991</t>
        </is>
      </c>
    </row>
    <row r="213">
      <c r="B213" t="inlineStr">
        <is>
          <t>CURAL</t>
        </is>
      </c>
      <c r="C213" t="inlineStr">
        <is>
          <t>SHELVES</t>
        </is>
      </c>
      <c r="D213" t="inlineStr">
        <is>
          <t>KF4119 .V28 1998</t>
        </is>
      </c>
      <c r="E213" t="inlineStr">
        <is>
          <t>0                      KF 4119000V  28          1998</t>
        </is>
      </c>
      <c r="F213" t="inlineStr">
        <is>
          <t>Law in the schools / William D. Valente with Christina M. Valente.</t>
        </is>
      </c>
      <c r="H213" t="inlineStr">
        <is>
          <t>No</t>
        </is>
      </c>
      <c r="I213" t="inlineStr">
        <is>
          <t>1</t>
        </is>
      </c>
      <c r="J213" t="inlineStr">
        <is>
          <t>No</t>
        </is>
      </c>
      <c r="K213" t="inlineStr">
        <is>
          <t>Yes</t>
        </is>
      </c>
      <c r="L213" t="inlineStr">
        <is>
          <t>0</t>
        </is>
      </c>
      <c r="M213" t="inlineStr">
        <is>
          <t>Valente, William D.</t>
        </is>
      </c>
      <c r="N213" t="inlineStr">
        <is>
          <t>Upper Saddle River, N.J. : Merrill, c1998.</t>
        </is>
      </c>
      <c r="O213" t="inlineStr">
        <is>
          <t>1998</t>
        </is>
      </c>
      <c r="P213" t="inlineStr">
        <is>
          <t>4th ed.</t>
        </is>
      </c>
      <c r="Q213" t="inlineStr">
        <is>
          <t>eng</t>
        </is>
      </c>
      <c r="R213" t="inlineStr">
        <is>
          <t>nju</t>
        </is>
      </c>
      <c r="T213" t="inlineStr">
        <is>
          <t xml:space="preserve">KF </t>
        </is>
      </c>
      <c r="U213" t="n">
        <v>4</v>
      </c>
      <c r="V213" t="n">
        <v>4</v>
      </c>
      <c r="W213" t="inlineStr">
        <is>
          <t>2010-11-10</t>
        </is>
      </c>
      <c r="X213" t="inlineStr">
        <is>
          <t>2010-11-10</t>
        </is>
      </c>
      <c r="Y213" t="inlineStr">
        <is>
          <t>1997-12-02</t>
        </is>
      </c>
      <c r="Z213" t="inlineStr">
        <is>
          <t>1997-12-02</t>
        </is>
      </c>
      <c r="AA213" t="n">
        <v>172</v>
      </c>
      <c r="AB213" t="n">
        <v>163</v>
      </c>
      <c r="AC213" t="n">
        <v>740</v>
      </c>
      <c r="AD213" t="n">
        <v>1</v>
      </c>
      <c r="AE213" t="n">
        <v>7</v>
      </c>
      <c r="AF213" t="n">
        <v>6</v>
      </c>
      <c r="AG213" t="n">
        <v>45</v>
      </c>
      <c r="AH213" t="n">
        <v>0</v>
      </c>
      <c r="AI213" t="n">
        <v>10</v>
      </c>
      <c r="AJ213" t="n">
        <v>1</v>
      </c>
      <c r="AK213" t="n">
        <v>7</v>
      </c>
      <c r="AL213" t="n">
        <v>2</v>
      </c>
      <c r="AM213" t="n">
        <v>12</v>
      </c>
      <c r="AN213" t="n">
        <v>0</v>
      </c>
      <c r="AO213" t="n">
        <v>5</v>
      </c>
      <c r="AP213" t="n">
        <v>4</v>
      </c>
      <c r="AQ213" t="n">
        <v>19</v>
      </c>
      <c r="AR213" t="inlineStr">
        <is>
          <t>No</t>
        </is>
      </c>
      <c r="AS213" t="inlineStr">
        <is>
          <t>No</t>
        </is>
      </c>
      <c r="AU213">
        <f>HYPERLINK("https://creighton-primo.hosted.exlibrisgroup.com/primo-explore/search?tab=default_tab&amp;search_scope=EVERYTHING&amp;vid=01CRU&amp;lang=en_US&amp;offset=0&amp;query=any,contains,991002836109702656","Catalog Record")</f>
        <v/>
      </c>
      <c r="AV213">
        <f>HYPERLINK("http://www.worldcat.org/oclc/37353921","WorldCat Record")</f>
        <v/>
      </c>
      <c r="AW213" t="inlineStr">
        <is>
          <t>9425379:eng</t>
        </is>
      </c>
      <c r="AX213" t="inlineStr">
        <is>
          <t>37353921</t>
        </is>
      </c>
      <c r="AY213" t="inlineStr">
        <is>
          <t>991002836109702656</t>
        </is>
      </c>
      <c r="AZ213" t="inlineStr">
        <is>
          <t>991002836109702656</t>
        </is>
      </c>
      <c r="BA213" t="inlineStr">
        <is>
          <t>2260594860002656</t>
        </is>
      </c>
      <c r="BB213" t="inlineStr">
        <is>
          <t>BOOK</t>
        </is>
      </c>
      <c r="BD213" t="inlineStr">
        <is>
          <t>9780132663212</t>
        </is>
      </c>
      <c r="BE213" t="inlineStr">
        <is>
          <t>32285003280756</t>
        </is>
      </c>
      <c r="BF213" t="inlineStr">
        <is>
          <t>893251679</t>
        </is>
      </c>
    </row>
    <row r="214">
      <c r="B214" t="inlineStr">
        <is>
          <t>CURAL</t>
        </is>
      </c>
      <c r="C214" t="inlineStr">
        <is>
          <t>SHELVES</t>
        </is>
      </c>
      <c r="D214" t="inlineStr">
        <is>
          <t>KF4119.3 .D7</t>
        </is>
      </c>
      <c r="E214" t="inlineStr">
        <is>
          <t>0                      KF 4119300D  7</t>
        </is>
      </c>
      <c r="F214" t="inlineStr">
        <is>
          <t>Essentials of school law / [by] Robert L. Drury [and] Kenneth C. Ray.</t>
        </is>
      </c>
      <c r="H214" t="inlineStr">
        <is>
          <t>No</t>
        </is>
      </c>
      <c r="I214" t="inlineStr">
        <is>
          <t>1</t>
        </is>
      </c>
      <c r="J214" t="inlineStr">
        <is>
          <t>No</t>
        </is>
      </c>
      <c r="K214" t="inlineStr">
        <is>
          <t>No</t>
        </is>
      </c>
      <c r="L214" t="inlineStr">
        <is>
          <t>0</t>
        </is>
      </c>
      <c r="M214" t="inlineStr">
        <is>
          <t>Drury, Robert L.</t>
        </is>
      </c>
      <c r="N214" t="inlineStr">
        <is>
          <t>New York : Appleton-Century-Crofts, [1967]</t>
        </is>
      </c>
      <c r="O214" t="inlineStr">
        <is>
          <t>1967</t>
        </is>
      </c>
      <c r="Q214" t="inlineStr">
        <is>
          <t>eng</t>
        </is>
      </c>
      <c r="R214" t="inlineStr">
        <is>
          <t>nyu</t>
        </is>
      </c>
      <c r="T214" t="inlineStr">
        <is>
          <t xml:space="preserve">KF </t>
        </is>
      </c>
      <c r="U214" t="n">
        <v>7</v>
      </c>
      <c r="V214" t="n">
        <v>7</v>
      </c>
      <c r="W214" t="inlineStr">
        <is>
          <t>2009-11-24</t>
        </is>
      </c>
      <c r="X214" t="inlineStr">
        <is>
          <t>2009-11-24</t>
        </is>
      </c>
      <c r="Y214" t="inlineStr">
        <is>
          <t>1992-11-18</t>
        </is>
      </c>
      <c r="Z214" t="inlineStr">
        <is>
          <t>1992-11-18</t>
        </is>
      </c>
      <c r="AA214" t="n">
        <v>356</v>
      </c>
      <c r="AB214" t="n">
        <v>338</v>
      </c>
      <c r="AC214" t="n">
        <v>342</v>
      </c>
      <c r="AD214" t="n">
        <v>4</v>
      </c>
      <c r="AE214" t="n">
        <v>4</v>
      </c>
      <c r="AF214" t="n">
        <v>14</v>
      </c>
      <c r="AG214" t="n">
        <v>14</v>
      </c>
      <c r="AH214" t="n">
        <v>3</v>
      </c>
      <c r="AI214" t="n">
        <v>3</v>
      </c>
      <c r="AJ214" t="n">
        <v>1</v>
      </c>
      <c r="AK214" t="n">
        <v>1</v>
      </c>
      <c r="AL214" t="n">
        <v>6</v>
      </c>
      <c r="AM214" t="n">
        <v>6</v>
      </c>
      <c r="AN214" t="n">
        <v>3</v>
      </c>
      <c r="AO214" t="n">
        <v>3</v>
      </c>
      <c r="AP214" t="n">
        <v>4</v>
      </c>
      <c r="AQ214" t="n">
        <v>4</v>
      </c>
      <c r="AR214" t="inlineStr">
        <is>
          <t>No</t>
        </is>
      </c>
      <c r="AS214" t="inlineStr">
        <is>
          <t>Yes</t>
        </is>
      </c>
      <c r="AT214">
        <f>HYPERLINK("http://catalog.hathitrust.org/Record/001069126","HathiTrust Record")</f>
        <v/>
      </c>
      <c r="AU214">
        <f>HYPERLINK("https://creighton-primo.hosted.exlibrisgroup.com/primo-explore/search?tab=default_tab&amp;search_scope=EVERYTHING&amp;vid=01CRU&amp;lang=en_US&amp;offset=0&amp;query=any,contains,991003126489702656","Catalog Record")</f>
        <v/>
      </c>
      <c r="AV214">
        <f>HYPERLINK("http://www.worldcat.org/oclc/670631","WorldCat Record")</f>
        <v/>
      </c>
      <c r="AW214" t="inlineStr">
        <is>
          <t>1701588:eng</t>
        </is>
      </c>
      <c r="AX214" t="inlineStr">
        <is>
          <t>670631</t>
        </is>
      </c>
      <c r="AY214" t="inlineStr">
        <is>
          <t>991003126489702656</t>
        </is>
      </c>
      <c r="AZ214" t="inlineStr">
        <is>
          <t>991003126489702656</t>
        </is>
      </c>
      <c r="BA214" t="inlineStr">
        <is>
          <t>2267762820002656</t>
        </is>
      </c>
      <c r="BB214" t="inlineStr">
        <is>
          <t>BOOK</t>
        </is>
      </c>
      <c r="BE214" t="inlineStr">
        <is>
          <t>32285001400489</t>
        </is>
      </c>
      <c r="BF214" t="inlineStr">
        <is>
          <t>893352694</t>
        </is>
      </c>
    </row>
    <row r="215">
      <c r="B215" t="inlineStr">
        <is>
          <t>CURAL</t>
        </is>
      </c>
      <c r="C215" t="inlineStr">
        <is>
          <t>SHELVES</t>
        </is>
      </c>
      <c r="D215" t="inlineStr">
        <is>
          <t>KF4119.8.E3 I48 1995</t>
        </is>
      </c>
      <c r="E215" t="inlineStr">
        <is>
          <t>0                      KF 4119800E  3                  I  48          1995</t>
        </is>
      </c>
      <c r="F215" t="inlineStr">
        <is>
          <t>A teacher's guide to education law / Michael Imber, Tyll van Geel.</t>
        </is>
      </c>
      <c r="H215" t="inlineStr">
        <is>
          <t>No</t>
        </is>
      </c>
      <c r="I215" t="inlineStr">
        <is>
          <t>1</t>
        </is>
      </c>
      <c r="J215" t="inlineStr">
        <is>
          <t>No</t>
        </is>
      </c>
      <c r="K215" t="inlineStr">
        <is>
          <t>No</t>
        </is>
      </c>
      <c r="L215" t="inlineStr">
        <is>
          <t>0</t>
        </is>
      </c>
      <c r="M215" t="inlineStr">
        <is>
          <t>Imber, Michael.</t>
        </is>
      </c>
      <c r="N215" t="inlineStr">
        <is>
          <t>New York : McGraw-Hill, c1995.</t>
        </is>
      </c>
      <c r="O215" t="inlineStr">
        <is>
          <t>1995</t>
        </is>
      </c>
      <c r="Q215" t="inlineStr">
        <is>
          <t>eng</t>
        </is>
      </c>
      <c r="R215" t="inlineStr">
        <is>
          <t>nyu</t>
        </is>
      </c>
      <c r="T215" t="inlineStr">
        <is>
          <t xml:space="preserve">KF </t>
        </is>
      </c>
      <c r="U215" t="n">
        <v>4</v>
      </c>
      <c r="V215" t="n">
        <v>4</v>
      </c>
      <c r="W215" t="inlineStr">
        <is>
          <t>2010-11-10</t>
        </is>
      </c>
      <c r="X215" t="inlineStr">
        <is>
          <t>2010-11-10</t>
        </is>
      </c>
      <c r="Y215" t="inlineStr">
        <is>
          <t>1996-03-25</t>
        </is>
      </c>
      <c r="Z215" t="inlineStr">
        <is>
          <t>1996-03-25</t>
        </is>
      </c>
      <c r="AA215" t="n">
        <v>88</v>
      </c>
      <c r="AB215" t="n">
        <v>75</v>
      </c>
      <c r="AC215" t="n">
        <v>1374</v>
      </c>
      <c r="AD215" t="n">
        <v>1</v>
      </c>
      <c r="AE215" t="n">
        <v>44</v>
      </c>
      <c r="AF215" t="n">
        <v>2</v>
      </c>
      <c r="AG215" t="n">
        <v>50</v>
      </c>
      <c r="AH215" t="n">
        <v>0</v>
      </c>
      <c r="AI215" t="n">
        <v>16</v>
      </c>
      <c r="AJ215" t="n">
        <v>0</v>
      </c>
      <c r="AK215" t="n">
        <v>6</v>
      </c>
      <c r="AL215" t="n">
        <v>2</v>
      </c>
      <c r="AM215" t="n">
        <v>17</v>
      </c>
      <c r="AN215" t="n">
        <v>0</v>
      </c>
      <c r="AO215" t="n">
        <v>14</v>
      </c>
      <c r="AP215" t="n">
        <v>0</v>
      </c>
      <c r="AQ215" t="n">
        <v>4</v>
      </c>
      <c r="AR215" t="inlineStr">
        <is>
          <t>No</t>
        </is>
      </c>
      <c r="AS215" t="inlineStr">
        <is>
          <t>No</t>
        </is>
      </c>
      <c r="AU215">
        <f>HYPERLINK("https://creighton-primo.hosted.exlibrisgroup.com/primo-explore/search?tab=default_tab&amp;search_scope=EVERYTHING&amp;vid=01CRU&amp;lang=en_US&amp;offset=0&amp;query=any,contains,991002386069702656","Catalog Record")</f>
        <v/>
      </c>
      <c r="AV215">
        <f>HYPERLINK("http://www.worldcat.org/oclc/31010368","WorldCat Record")</f>
        <v/>
      </c>
      <c r="AW215" t="inlineStr">
        <is>
          <t>50839:eng</t>
        </is>
      </c>
      <c r="AX215" t="inlineStr">
        <is>
          <t>31010368</t>
        </is>
      </c>
      <c r="AY215" t="inlineStr">
        <is>
          <t>991002386069702656</t>
        </is>
      </c>
      <c r="AZ215" t="inlineStr">
        <is>
          <t>991002386069702656</t>
        </is>
      </c>
      <c r="BA215" t="inlineStr">
        <is>
          <t>2262835230002656</t>
        </is>
      </c>
      <c r="BB215" t="inlineStr">
        <is>
          <t>BOOK</t>
        </is>
      </c>
      <c r="BD215" t="inlineStr">
        <is>
          <t>9780070315259</t>
        </is>
      </c>
      <c r="BE215" t="inlineStr">
        <is>
          <t>32285002146305</t>
        </is>
      </c>
      <c r="BF215" t="inlineStr">
        <is>
          <t>893886200</t>
        </is>
      </c>
    </row>
    <row r="216">
      <c r="B216" t="inlineStr">
        <is>
          <t>CURAL</t>
        </is>
      </c>
      <c r="C216" t="inlineStr">
        <is>
          <t>SHELVES</t>
        </is>
      </c>
      <c r="D216" t="inlineStr">
        <is>
          <t>KF4124.A59 E38</t>
        </is>
      </c>
      <c r="E216" t="inlineStr">
        <is>
          <t>0                      KF 4124000A  59                 E  38</t>
        </is>
      </c>
      <c r="F216" t="inlineStr">
        <is>
          <t>Education, religion, and the Supreme Court / edited by Richard C. McMillan.</t>
        </is>
      </c>
      <c r="H216" t="inlineStr">
        <is>
          <t>No</t>
        </is>
      </c>
      <c r="I216" t="inlineStr">
        <is>
          <t>1</t>
        </is>
      </c>
      <c r="J216" t="inlineStr">
        <is>
          <t>No</t>
        </is>
      </c>
      <c r="K216" t="inlineStr">
        <is>
          <t>No</t>
        </is>
      </c>
      <c r="L216" t="inlineStr">
        <is>
          <t>0</t>
        </is>
      </c>
      <c r="N216" t="inlineStr">
        <is>
          <t>Danville, VA : Association of Baptist Professors of Religion, c1979.</t>
        </is>
      </c>
      <c r="O216" t="inlineStr">
        <is>
          <t>1979</t>
        </is>
      </c>
      <c r="Q216" t="inlineStr">
        <is>
          <t>eng</t>
        </is>
      </c>
      <c r="R216" t="inlineStr">
        <is>
          <t>vau</t>
        </is>
      </c>
      <c r="S216" t="inlineStr">
        <is>
          <t>Perspectives in religious studies. Special studies series ; no. 6</t>
        </is>
      </c>
      <c r="T216" t="inlineStr">
        <is>
          <t xml:space="preserve">KF </t>
        </is>
      </c>
      <c r="U216" t="n">
        <v>13</v>
      </c>
      <c r="V216" t="n">
        <v>13</v>
      </c>
      <c r="W216" t="inlineStr">
        <is>
          <t>2008-05-29</t>
        </is>
      </c>
      <c r="X216" t="inlineStr">
        <is>
          <t>2008-05-29</t>
        </is>
      </c>
      <c r="Y216" t="inlineStr">
        <is>
          <t>1991-11-25</t>
        </is>
      </c>
      <c r="Z216" t="inlineStr">
        <is>
          <t>1991-11-25</t>
        </is>
      </c>
      <c r="AA216" t="n">
        <v>232</v>
      </c>
      <c r="AB216" t="n">
        <v>219</v>
      </c>
      <c r="AC216" t="n">
        <v>220</v>
      </c>
      <c r="AD216" t="n">
        <v>3</v>
      </c>
      <c r="AE216" t="n">
        <v>3</v>
      </c>
      <c r="AF216" t="n">
        <v>19</v>
      </c>
      <c r="AG216" t="n">
        <v>19</v>
      </c>
      <c r="AH216" t="n">
        <v>5</v>
      </c>
      <c r="AI216" t="n">
        <v>5</v>
      </c>
      <c r="AJ216" t="n">
        <v>1</v>
      </c>
      <c r="AK216" t="n">
        <v>1</v>
      </c>
      <c r="AL216" t="n">
        <v>4</v>
      </c>
      <c r="AM216" t="n">
        <v>4</v>
      </c>
      <c r="AN216" t="n">
        <v>1</v>
      </c>
      <c r="AO216" t="n">
        <v>1</v>
      </c>
      <c r="AP216" t="n">
        <v>10</v>
      </c>
      <c r="AQ216" t="n">
        <v>10</v>
      </c>
      <c r="AR216" t="inlineStr">
        <is>
          <t>No</t>
        </is>
      </c>
      <c r="AS216" t="inlineStr">
        <is>
          <t>Yes</t>
        </is>
      </c>
      <c r="AT216">
        <f>HYPERLINK("http://catalog.hathitrust.org/Record/006219409","HathiTrust Record")</f>
        <v/>
      </c>
      <c r="AU216">
        <f>HYPERLINK("https://creighton-primo.hosted.exlibrisgroup.com/primo-explore/search?tab=default_tab&amp;search_scope=EVERYTHING&amp;vid=01CRU&amp;lang=en_US&amp;offset=0&amp;query=any,contains,991004741579702656","Catalog Record")</f>
        <v/>
      </c>
      <c r="AV216">
        <f>HYPERLINK("http://www.worldcat.org/oclc/4884008","WorldCat Record")</f>
        <v/>
      </c>
      <c r="AW216" t="inlineStr">
        <is>
          <t>54291240:eng</t>
        </is>
      </c>
      <c r="AX216" t="inlineStr">
        <is>
          <t>4884008</t>
        </is>
      </c>
      <c r="AY216" t="inlineStr">
        <is>
          <t>991004741579702656</t>
        </is>
      </c>
      <c r="AZ216" t="inlineStr">
        <is>
          <t>991004741579702656</t>
        </is>
      </c>
      <c r="BA216" t="inlineStr">
        <is>
          <t>2264128280002656</t>
        </is>
      </c>
      <c r="BB216" t="inlineStr">
        <is>
          <t>BOOK</t>
        </is>
      </c>
      <c r="BD216" t="inlineStr">
        <is>
          <t>9780932180056</t>
        </is>
      </c>
      <c r="BE216" t="inlineStr">
        <is>
          <t>32285000844067</t>
        </is>
      </c>
      <c r="BF216" t="inlineStr">
        <is>
          <t>893344198</t>
        </is>
      </c>
    </row>
    <row r="217">
      <c r="B217" t="inlineStr">
        <is>
          <t>CURAL</t>
        </is>
      </c>
      <c r="C217" t="inlineStr">
        <is>
          <t>SHELVES</t>
        </is>
      </c>
      <c r="D217" t="inlineStr">
        <is>
          <t>KF4150.Z95 K67</t>
        </is>
      </c>
      <c r="E217" t="inlineStr">
        <is>
          <t>0                      KF 4150000Z  95                 K  67</t>
        </is>
      </c>
      <c r="F217" t="inlineStr">
        <is>
          <t>Legal foundations of compulsory school attendance education / Lawrence Kotin and William F. Aikman.</t>
        </is>
      </c>
      <c r="H217" t="inlineStr">
        <is>
          <t>No</t>
        </is>
      </c>
      <c r="I217" t="inlineStr">
        <is>
          <t>1</t>
        </is>
      </c>
      <c r="J217" t="inlineStr">
        <is>
          <t>No</t>
        </is>
      </c>
      <c r="K217" t="inlineStr">
        <is>
          <t>No</t>
        </is>
      </c>
      <c r="L217" t="inlineStr">
        <is>
          <t>0</t>
        </is>
      </c>
      <c r="M217" t="inlineStr">
        <is>
          <t>Kotin, Lawrence, 1940-</t>
        </is>
      </c>
      <c r="N217" t="inlineStr">
        <is>
          <t>Port Washington, N.Y. : Kennikat Press, 1979.</t>
        </is>
      </c>
      <c r="O217" t="inlineStr">
        <is>
          <t>1979</t>
        </is>
      </c>
      <c r="Q217" t="inlineStr">
        <is>
          <t>eng</t>
        </is>
      </c>
      <c r="R217" t="inlineStr">
        <is>
          <t>nyu</t>
        </is>
      </c>
      <c r="S217" t="inlineStr">
        <is>
          <t>National university publications. Multidisciplinary studies in the law</t>
        </is>
      </c>
      <c r="T217" t="inlineStr">
        <is>
          <t xml:space="preserve">KF </t>
        </is>
      </c>
      <c r="U217" t="n">
        <v>1</v>
      </c>
      <c r="V217" t="n">
        <v>1</v>
      </c>
      <c r="W217" t="inlineStr">
        <is>
          <t>2000-06-06</t>
        </is>
      </c>
      <c r="X217" t="inlineStr">
        <is>
          <t>2000-06-06</t>
        </is>
      </c>
      <c r="Y217" t="inlineStr">
        <is>
          <t>1990-08-14</t>
        </is>
      </c>
      <c r="Z217" t="inlineStr">
        <is>
          <t>1990-08-14</t>
        </is>
      </c>
      <c r="AA217" t="n">
        <v>364</v>
      </c>
      <c r="AB217" t="n">
        <v>342</v>
      </c>
      <c r="AC217" t="n">
        <v>351</v>
      </c>
      <c r="AD217" t="n">
        <v>3</v>
      </c>
      <c r="AE217" t="n">
        <v>3</v>
      </c>
      <c r="AF217" t="n">
        <v>28</v>
      </c>
      <c r="AG217" t="n">
        <v>28</v>
      </c>
      <c r="AH217" t="n">
        <v>5</v>
      </c>
      <c r="AI217" t="n">
        <v>5</v>
      </c>
      <c r="AJ217" t="n">
        <v>4</v>
      </c>
      <c r="AK217" t="n">
        <v>4</v>
      </c>
      <c r="AL217" t="n">
        <v>5</v>
      </c>
      <c r="AM217" t="n">
        <v>5</v>
      </c>
      <c r="AN217" t="n">
        <v>2</v>
      </c>
      <c r="AO217" t="n">
        <v>2</v>
      </c>
      <c r="AP217" t="n">
        <v>14</v>
      </c>
      <c r="AQ217" t="n">
        <v>14</v>
      </c>
      <c r="AR217" t="inlineStr">
        <is>
          <t>No</t>
        </is>
      </c>
      <c r="AS217" t="inlineStr">
        <is>
          <t>No</t>
        </is>
      </c>
      <c r="AU217">
        <f>HYPERLINK("https://creighton-primo.hosted.exlibrisgroup.com/primo-explore/search?tab=default_tab&amp;search_scope=EVERYTHING&amp;vid=01CRU&amp;lang=en_US&amp;offset=0&amp;query=any,contains,991004694309702656","Catalog Record")</f>
        <v/>
      </c>
      <c r="AV217">
        <f>HYPERLINK("http://www.worldcat.org/oclc/4638280","WorldCat Record")</f>
        <v/>
      </c>
      <c r="AW217" t="inlineStr">
        <is>
          <t>459081:eng</t>
        </is>
      </c>
      <c r="AX217" t="inlineStr">
        <is>
          <t>4638280</t>
        </is>
      </c>
      <c r="AY217" t="inlineStr">
        <is>
          <t>991004694309702656</t>
        </is>
      </c>
      <c r="AZ217" t="inlineStr">
        <is>
          <t>991004694309702656</t>
        </is>
      </c>
      <c r="BA217" t="inlineStr">
        <is>
          <t>2256058060002656</t>
        </is>
      </c>
      <c r="BB217" t="inlineStr">
        <is>
          <t>BOOK</t>
        </is>
      </c>
      <c r="BD217" t="inlineStr">
        <is>
          <t>9780804692335</t>
        </is>
      </c>
      <c r="BE217" t="inlineStr">
        <is>
          <t>32285000268622</t>
        </is>
      </c>
      <c r="BF217" t="inlineStr">
        <is>
          <t>893869987</t>
        </is>
      </c>
    </row>
    <row r="218">
      <c r="B218" t="inlineStr">
        <is>
          <t>CURAL</t>
        </is>
      </c>
      <c r="C218" t="inlineStr">
        <is>
          <t>SHELVES</t>
        </is>
      </c>
      <c r="D218" t="inlineStr">
        <is>
          <t>KF4155 .B65</t>
        </is>
      </c>
      <c r="E218" t="inlineStr">
        <is>
          <t>0                      KF 4155000B  65</t>
        </is>
      </c>
      <c r="F218" t="inlineStr">
        <is>
          <t>Busing : the political and judicial process / [by] James Bolner [and] Robert Shanley.</t>
        </is>
      </c>
      <c r="H218" t="inlineStr">
        <is>
          <t>No</t>
        </is>
      </c>
      <c r="I218" t="inlineStr">
        <is>
          <t>1</t>
        </is>
      </c>
      <c r="J218" t="inlineStr">
        <is>
          <t>No</t>
        </is>
      </c>
      <c r="K218" t="inlineStr">
        <is>
          <t>No</t>
        </is>
      </c>
      <c r="L218" t="inlineStr">
        <is>
          <t>0</t>
        </is>
      </c>
      <c r="M218" t="inlineStr">
        <is>
          <t>Bolner, James.</t>
        </is>
      </c>
      <c r="N218" t="inlineStr">
        <is>
          <t>New York : Praeger Publishers, [1974]</t>
        </is>
      </c>
      <c r="O218" t="inlineStr">
        <is>
          <t>1974</t>
        </is>
      </c>
      <c r="Q218" t="inlineStr">
        <is>
          <t>eng</t>
        </is>
      </c>
      <c r="R218" t="inlineStr">
        <is>
          <t>nyu</t>
        </is>
      </c>
      <c r="S218" t="inlineStr">
        <is>
          <t>Praeger special studies in U.S. economic, social, and political issues</t>
        </is>
      </c>
      <c r="T218" t="inlineStr">
        <is>
          <t xml:space="preserve">KF </t>
        </is>
      </c>
      <c r="U218" t="n">
        <v>4</v>
      </c>
      <c r="V218" t="n">
        <v>4</v>
      </c>
      <c r="W218" t="inlineStr">
        <is>
          <t>1997-11-22</t>
        </is>
      </c>
      <c r="X218" t="inlineStr">
        <is>
          <t>1997-11-22</t>
        </is>
      </c>
      <c r="Y218" t="inlineStr">
        <is>
          <t>1994-04-12</t>
        </is>
      </c>
      <c r="Z218" t="inlineStr">
        <is>
          <t>1994-04-12</t>
        </is>
      </c>
      <c r="AA218" t="n">
        <v>532</v>
      </c>
      <c r="AB218" t="n">
        <v>485</v>
      </c>
      <c r="AC218" t="n">
        <v>491</v>
      </c>
      <c r="AD218" t="n">
        <v>4</v>
      </c>
      <c r="AE218" t="n">
        <v>4</v>
      </c>
      <c r="AF218" t="n">
        <v>21</v>
      </c>
      <c r="AG218" t="n">
        <v>21</v>
      </c>
      <c r="AH218" t="n">
        <v>7</v>
      </c>
      <c r="AI218" t="n">
        <v>7</v>
      </c>
      <c r="AJ218" t="n">
        <v>2</v>
      </c>
      <c r="AK218" t="n">
        <v>2</v>
      </c>
      <c r="AL218" t="n">
        <v>7</v>
      </c>
      <c r="AM218" t="n">
        <v>7</v>
      </c>
      <c r="AN218" t="n">
        <v>2</v>
      </c>
      <c r="AO218" t="n">
        <v>2</v>
      </c>
      <c r="AP218" t="n">
        <v>7</v>
      </c>
      <c r="AQ218" t="n">
        <v>7</v>
      </c>
      <c r="AR218" t="inlineStr">
        <is>
          <t>No</t>
        </is>
      </c>
      <c r="AS218" t="inlineStr">
        <is>
          <t>No</t>
        </is>
      </c>
      <c r="AU218">
        <f>HYPERLINK("https://creighton-primo.hosted.exlibrisgroup.com/primo-explore/search?tab=default_tab&amp;search_scope=EVERYTHING&amp;vid=01CRU&amp;lang=en_US&amp;offset=0&amp;query=any,contains,991003298169702656","Catalog Record")</f>
        <v/>
      </c>
      <c r="AV218">
        <f>HYPERLINK("http://www.worldcat.org/oclc/820867","WorldCat Record")</f>
        <v/>
      </c>
      <c r="AW218" t="inlineStr">
        <is>
          <t>346335958:eng</t>
        </is>
      </c>
      <c r="AX218" t="inlineStr">
        <is>
          <t>820867</t>
        </is>
      </c>
      <c r="AY218" t="inlineStr">
        <is>
          <t>991003298169702656</t>
        </is>
      </c>
      <c r="AZ218" t="inlineStr">
        <is>
          <t>991003298169702656</t>
        </is>
      </c>
      <c r="BA218" t="inlineStr">
        <is>
          <t>2259126970002656</t>
        </is>
      </c>
      <c r="BB218" t="inlineStr">
        <is>
          <t>BOOK</t>
        </is>
      </c>
      <c r="BE218" t="inlineStr">
        <is>
          <t>32285001886182</t>
        </is>
      </c>
      <c r="BF218" t="inlineStr">
        <is>
          <t>893317853</t>
        </is>
      </c>
    </row>
    <row r="219">
      <c r="B219" t="inlineStr">
        <is>
          <t>CURAL</t>
        </is>
      </c>
      <c r="C219" t="inlineStr">
        <is>
          <t>SHELVES</t>
        </is>
      </c>
      <c r="D219" t="inlineStr">
        <is>
          <t>KF4162 .M8</t>
        </is>
      </c>
      <c r="E219" t="inlineStr">
        <is>
          <t>0                      KF 4162000M  8</t>
        </is>
      </c>
      <c r="F219" t="inlineStr">
        <is>
          <t>Prayer in the public schools; law and attitude change [by] William K. Muir, Jr.</t>
        </is>
      </c>
      <c r="H219" t="inlineStr">
        <is>
          <t>No</t>
        </is>
      </c>
      <c r="I219" t="inlineStr">
        <is>
          <t>1</t>
        </is>
      </c>
      <c r="J219" t="inlineStr">
        <is>
          <t>No</t>
        </is>
      </c>
      <c r="K219" t="inlineStr">
        <is>
          <t>No</t>
        </is>
      </c>
      <c r="L219" t="inlineStr">
        <is>
          <t>0</t>
        </is>
      </c>
      <c r="M219" t="inlineStr">
        <is>
          <t>Muir, William Ker, Jr., 1931-2015.</t>
        </is>
      </c>
      <c r="N219" t="inlineStr">
        <is>
          <t>Chicago, University of Chicago Press [1967]</t>
        </is>
      </c>
      <c r="O219" t="inlineStr">
        <is>
          <t>1967</t>
        </is>
      </c>
      <c r="Q219" t="inlineStr">
        <is>
          <t>eng</t>
        </is>
      </c>
      <c r="R219" t="inlineStr">
        <is>
          <t>ilu</t>
        </is>
      </c>
      <c r="T219" t="inlineStr">
        <is>
          <t xml:space="preserve">KF </t>
        </is>
      </c>
      <c r="U219" t="n">
        <v>8</v>
      </c>
      <c r="V219" t="n">
        <v>8</v>
      </c>
      <c r="W219" t="inlineStr">
        <is>
          <t>2000-09-22</t>
        </is>
      </c>
      <c r="X219" t="inlineStr">
        <is>
          <t>2000-09-22</t>
        </is>
      </c>
      <c r="Y219" t="inlineStr">
        <is>
          <t>1992-10-30</t>
        </is>
      </c>
      <c r="Z219" t="inlineStr">
        <is>
          <t>1992-10-30</t>
        </is>
      </c>
      <c r="AA219" t="n">
        <v>954</v>
      </c>
      <c r="AB219" t="n">
        <v>884</v>
      </c>
      <c r="AC219" t="n">
        <v>889</v>
      </c>
      <c r="AD219" t="n">
        <v>9</v>
      </c>
      <c r="AE219" t="n">
        <v>9</v>
      </c>
      <c r="AF219" t="n">
        <v>54</v>
      </c>
      <c r="AG219" t="n">
        <v>54</v>
      </c>
      <c r="AH219" t="n">
        <v>17</v>
      </c>
      <c r="AI219" t="n">
        <v>17</v>
      </c>
      <c r="AJ219" t="n">
        <v>7</v>
      </c>
      <c r="AK219" t="n">
        <v>7</v>
      </c>
      <c r="AL219" t="n">
        <v>16</v>
      </c>
      <c r="AM219" t="n">
        <v>16</v>
      </c>
      <c r="AN219" t="n">
        <v>7</v>
      </c>
      <c r="AO219" t="n">
        <v>7</v>
      </c>
      <c r="AP219" t="n">
        <v>17</v>
      </c>
      <c r="AQ219" t="n">
        <v>17</v>
      </c>
      <c r="AR219" t="inlineStr">
        <is>
          <t>No</t>
        </is>
      </c>
      <c r="AS219" t="inlineStr">
        <is>
          <t>No</t>
        </is>
      </c>
      <c r="AU219">
        <f>HYPERLINK("https://creighton-primo.hosted.exlibrisgroup.com/primo-explore/search?tab=default_tab&amp;search_scope=EVERYTHING&amp;vid=01CRU&amp;lang=en_US&amp;offset=0&amp;query=any,contains,991003352139702656","Catalog Record")</f>
        <v/>
      </c>
      <c r="AV219">
        <f>HYPERLINK("http://www.worldcat.org/oclc/885697","WorldCat Record")</f>
        <v/>
      </c>
      <c r="AW219" t="inlineStr">
        <is>
          <t>2864714048:eng</t>
        </is>
      </c>
      <c r="AX219" t="inlineStr">
        <is>
          <t>885697</t>
        </is>
      </c>
      <c r="AY219" t="inlineStr">
        <is>
          <t>991003352139702656</t>
        </is>
      </c>
      <c r="AZ219" t="inlineStr">
        <is>
          <t>991003352139702656</t>
        </is>
      </c>
      <c r="BA219" t="inlineStr">
        <is>
          <t>2257407480002656</t>
        </is>
      </c>
      <c r="BB219" t="inlineStr">
        <is>
          <t>BOOK</t>
        </is>
      </c>
      <c r="BE219" t="inlineStr">
        <is>
          <t>32285001387587</t>
        </is>
      </c>
      <c r="BF219" t="inlineStr">
        <is>
          <t>893258345</t>
        </is>
      </c>
    </row>
    <row r="220">
      <c r="B220" t="inlineStr">
        <is>
          <t>CURAL</t>
        </is>
      </c>
      <c r="C220" t="inlineStr">
        <is>
          <t>SHELVES</t>
        </is>
      </c>
      <c r="D220" t="inlineStr">
        <is>
          <t>KF4162 .S63 1987</t>
        </is>
      </c>
      <c r="E220" t="inlineStr">
        <is>
          <t>0                      KF 4162000S  63          1987</t>
        </is>
      </c>
      <c r="F220" t="inlineStr">
        <is>
          <t>Public prayer and the Constitution : a case study in constitutional interpretation / by Rodney K. Smith.</t>
        </is>
      </c>
      <c r="H220" t="inlineStr">
        <is>
          <t>No</t>
        </is>
      </c>
      <c r="I220" t="inlineStr">
        <is>
          <t>1</t>
        </is>
      </c>
      <c r="J220" t="inlineStr">
        <is>
          <t>No</t>
        </is>
      </c>
      <c r="K220" t="inlineStr">
        <is>
          <t>No</t>
        </is>
      </c>
      <c r="L220" t="inlineStr">
        <is>
          <t>0</t>
        </is>
      </c>
      <c r="M220" t="inlineStr">
        <is>
          <t>Smith, Rodney K.</t>
        </is>
      </c>
      <c r="N220" t="inlineStr">
        <is>
          <t>Wilmington, Del. : Scholarly Resources, 1987.</t>
        </is>
      </c>
      <c r="O220" t="inlineStr">
        <is>
          <t>1987</t>
        </is>
      </c>
      <c r="Q220" t="inlineStr">
        <is>
          <t>eng</t>
        </is>
      </c>
      <c r="R220" t="inlineStr">
        <is>
          <t>deu</t>
        </is>
      </c>
      <c r="T220" t="inlineStr">
        <is>
          <t xml:space="preserve">KF </t>
        </is>
      </c>
      <c r="U220" t="n">
        <v>15</v>
      </c>
      <c r="V220" t="n">
        <v>15</v>
      </c>
      <c r="W220" t="inlineStr">
        <is>
          <t>2002-09-10</t>
        </is>
      </c>
      <c r="X220" t="inlineStr">
        <is>
          <t>2002-09-10</t>
        </is>
      </c>
      <c r="Y220" t="inlineStr">
        <is>
          <t>1990-04-25</t>
        </is>
      </c>
      <c r="Z220" t="inlineStr">
        <is>
          <t>1990-04-25</t>
        </is>
      </c>
      <c r="AA220" t="n">
        <v>861</v>
      </c>
      <c r="AB220" t="n">
        <v>826</v>
      </c>
      <c r="AC220" t="n">
        <v>956</v>
      </c>
      <c r="AD220" t="n">
        <v>9</v>
      </c>
      <c r="AE220" t="n">
        <v>10</v>
      </c>
      <c r="AF220" t="n">
        <v>58</v>
      </c>
      <c r="AG220" t="n">
        <v>63</v>
      </c>
      <c r="AH220" t="n">
        <v>14</v>
      </c>
      <c r="AI220" t="n">
        <v>17</v>
      </c>
      <c r="AJ220" t="n">
        <v>6</v>
      </c>
      <c r="AK220" t="n">
        <v>8</v>
      </c>
      <c r="AL220" t="n">
        <v>18</v>
      </c>
      <c r="AM220" t="n">
        <v>21</v>
      </c>
      <c r="AN220" t="n">
        <v>7</v>
      </c>
      <c r="AO220" t="n">
        <v>7</v>
      </c>
      <c r="AP220" t="n">
        <v>21</v>
      </c>
      <c r="AQ220" t="n">
        <v>21</v>
      </c>
      <c r="AR220" t="inlineStr">
        <is>
          <t>No</t>
        </is>
      </c>
      <c r="AS220" t="inlineStr">
        <is>
          <t>Yes</t>
        </is>
      </c>
      <c r="AT220">
        <f>HYPERLINK("http://catalog.hathitrust.org/Record/000805078","HathiTrust Record")</f>
        <v/>
      </c>
      <c r="AU220">
        <f>HYPERLINK("https://creighton-primo.hosted.exlibrisgroup.com/primo-explore/search?tab=default_tab&amp;search_scope=EVERYTHING&amp;vid=01CRU&amp;lang=en_US&amp;offset=0&amp;query=any,contains,991000961879702656","Catalog Record")</f>
        <v/>
      </c>
      <c r="AV220">
        <f>HYPERLINK("http://www.worldcat.org/oclc/14819170","WorldCat Record")</f>
        <v/>
      </c>
      <c r="AW220" t="inlineStr">
        <is>
          <t>1026644:eng</t>
        </is>
      </c>
      <c r="AX220" t="inlineStr">
        <is>
          <t>14819170</t>
        </is>
      </c>
      <c r="AY220" t="inlineStr">
        <is>
          <t>991000961879702656</t>
        </is>
      </c>
      <c r="AZ220" t="inlineStr">
        <is>
          <t>991000961879702656</t>
        </is>
      </c>
      <c r="BA220" t="inlineStr">
        <is>
          <t>2260061270002656</t>
        </is>
      </c>
      <c r="BB220" t="inlineStr">
        <is>
          <t>BOOK</t>
        </is>
      </c>
      <c r="BD220" t="inlineStr">
        <is>
          <t>9780842022606</t>
        </is>
      </c>
      <c r="BE220" t="inlineStr">
        <is>
          <t>32285000133487</t>
        </is>
      </c>
      <c r="BF220" t="inlineStr">
        <is>
          <t>893419929</t>
        </is>
      </c>
    </row>
    <row r="221">
      <c r="B221" t="inlineStr">
        <is>
          <t>CURAL</t>
        </is>
      </c>
      <c r="C221" t="inlineStr">
        <is>
          <t>SHELVES</t>
        </is>
      </c>
      <c r="D221" t="inlineStr">
        <is>
          <t>KF4162.A7 W37</t>
        </is>
      </c>
      <c r="E221" t="inlineStr">
        <is>
          <t>0                      KF 4162000A  7                  W  37</t>
        </is>
      </c>
      <c r="F221" t="inlineStr">
        <is>
          <t>Religion, education, and the Supreme Court / Thayer S. Warshaw.</t>
        </is>
      </c>
      <c r="H221" t="inlineStr">
        <is>
          <t>No</t>
        </is>
      </c>
      <c r="I221" t="inlineStr">
        <is>
          <t>1</t>
        </is>
      </c>
      <c r="J221" t="inlineStr">
        <is>
          <t>No</t>
        </is>
      </c>
      <c r="K221" t="inlineStr">
        <is>
          <t>No</t>
        </is>
      </c>
      <c r="L221" t="inlineStr">
        <is>
          <t>0</t>
        </is>
      </c>
      <c r="M221" t="inlineStr">
        <is>
          <t>Warshaw, Thayer S., 1915-</t>
        </is>
      </c>
      <c r="N221" t="inlineStr">
        <is>
          <t>Nashville : Abingdon, c1979.</t>
        </is>
      </c>
      <c r="O221" t="inlineStr">
        <is>
          <t>1979</t>
        </is>
      </c>
      <c r="Q221" t="inlineStr">
        <is>
          <t>eng</t>
        </is>
      </c>
      <c r="R221" t="inlineStr">
        <is>
          <t>tnu</t>
        </is>
      </c>
      <c r="T221" t="inlineStr">
        <is>
          <t xml:space="preserve">KF </t>
        </is>
      </c>
      <c r="U221" t="n">
        <v>9</v>
      </c>
      <c r="V221" t="n">
        <v>9</v>
      </c>
      <c r="W221" t="inlineStr">
        <is>
          <t>2002-03-19</t>
        </is>
      </c>
      <c r="X221" t="inlineStr">
        <is>
          <t>2002-03-19</t>
        </is>
      </c>
      <c r="Y221" t="inlineStr">
        <is>
          <t>1992-01-10</t>
        </is>
      </c>
      <c r="Z221" t="inlineStr">
        <is>
          <t>1992-01-10</t>
        </is>
      </c>
      <c r="AA221" t="n">
        <v>412</v>
      </c>
      <c r="AB221" t="n">
        <v>389</v>
      </c>
      <c r="AC221" t="n">
        <v>391</v>
      </c>
      <c r="AD221" t="n">
        <v>4</v>
      </c>
      <c r="AE221" t="n">
        <v>4</v>
      </c>
      <c r="AF221" t="n">
        <v>27</v>
      </c>
      <c r="AG221" t="n">
        <v>27</v>
      </c>
      <c r="AH221" t="n">
        <v>5</v>
      </c>
      <c r="AI221" t="n">
        <v>5</v>
      </c>
      <c r="AJ221" t="n">
        <v>4</v>
      </c>
      <c r="AK221" t="n">
        <v>4</v>
      </c>
      <c r="AL221" t="n">
        <v>8</v>
      </c>
      <c r="AM221" t="n">
        <v>8</v>
      </c>
      <c r="AN221" t="n">
        <v>3</v>
      </c>
      <c r="AO221" t="n">
        <v>3</v>
      </c>
      <c r="AP221" t="n">
        <v>9</v>
      </c>
      <c r="AQ221" t="n">
        <v>9</v>
      </c>
      <c r="AR221" t="inlineStr">
        <is>
          <t>No</t>
        </is>
      </c>
      <c r="AS221" t="inlineStr">
        <is>
          <t>No</t>
        </is>
      </c>
      <c r="AU221">
        <f>HYPERLINK("https://creighton-primo.hosted.exlibrisgroup.com/primo-explore/search?tab=default_tab&amp;search_scope=EVERYTHING&amp;vid=01CRU&amp;lang=en_US&amp;offset=0&amp;query=any,contains,991004662399702656","Catalog Record")</f>
        <v/>
      </c>
      <c r="AV221">
        <f>HYPERLINK("http://www.worldcat.org/oclc/4497715","WorldCat Record")</f>
        <v/>
      </c>
      <c r="AW221" t="inlineStr">
        <is>
          <t>14779431:eng</t>
        </is>
      </c>
      <c r="AX221" t="inlineStr">
        <is>
          <t>4497715</t>
        </is>
      </c>
      <c r="AY221" t="inlineStr">
        <is>
          <t>991004662399702656</t>
        </is>
      </c>
      <c r="AZ221" t="inlineStr">
        <is>
          <t>991004662399702656</t>
        </is>
      </c>
      <c r="BA221" t="inlineStr">
        <is>
          <t>2266870880002656</t>
        </is>
      </c>
      <c r="BB221" t="inlineStr">
        <is>
          <t>BOOK</t>
        </is>
      </c>
      <c r="BD221" t="inlineStr">
        <is>
          <t>9780687360062</t>
        </is>
      </c>
      <c r="BE221" t="inlineStr">
        <is>
          <t>32285000912518</t>
        </is>
      </c>
      <c r="BF221" t="inlineStr">
        <is>
          <t>893612609</t>
        </is>
      </c>
    </row>
    <row r="222">
      <c r="B222" t="inlineStr">
        <is>
          <t>CURAL</t>
        </is>
      </c>
      <c r="C222" t="inlineStr">
        <is>
          <t>SHELVES</t>
        </is>
      </c>
      <c r="D222" t="inlineStr">
        <is>
          <t>KF4162.P8 D8</t>
        </is>
      </c>
      <c r="E222" t="inlineStr">
        <is>
          <t>0                      KF 4162000P  8                  D  8</t>
        </is>
      </c>
      <c r="F222" t="inlineStr">
        <is>
          <t>The public schools and religion : the legal context.</t>
        </is>
      </c>
      <c r="H222" t="inlineStr">
        <is>
          <t>No</t>
        </is>
      </c>
      <c r="I222" t="inlineStr">
        <is>
          <t>1</t>
        </is>
      </c>
      <c r="J222" t="inlineStr">
        <is>
          <t>No</t>
        </is>
      </c>
      <c r="K222" t="inlineStr">
        <is>
          <t>No</t>
        </is>
      </c>
      <c r="L222" t="inlineStr">
        <is>
          <t>0</t>
        </is>
      </c>
      <c r="M222" t="inlineStr">
        <is>
          <t>Duker, Sam, 1905-</t>
        </is>
      </c>
      <c r="N222" t="inlineStr">
        <is>
          <t>New York : Harper &amp; Row, [c1966]</t>
        </is>
      </c>
      <c r="O222" t="inlineStr">
        <is>
          <t>1966</t>
        </is>
      </c>
      <c r="Q222" t="inlineStr">
        <is>
          <t>eng</t>
        </is>
      </c>
      <c r="R222" t="inlineStr">
        <is>
          <t>nyu</t>
        </is>
      </c>
      <c r="S222" t="inlineStr">
        <is>
          <t>Exploration series in education</t>
        </is>
      </c>
      <c r="T222" t="inlineStr">
        <is>
          <t xml:space="preserve">KF </t>
        </is>
      </c>
      <c r="U222" t="n">
        <v>10</v>
      </c>
      <c r="V222" t="n">
        <v>10</v>
      </c>
      <c r="W222" t="inlineStr">
        <is>
          <t>2010-09-22</t>
        </is>
      </c>
      <c r="X222" t="inlineStr">
        <is>
          <t>2010-09-22</t>
        </is>
      </c>
      <c r="Y222" t="inlineStr">
        <is>
          <t>1992-01-14</t>
        </is>
      </c>
      <c r="Z222" t="inlineStr">
        <is>
          <t>1992-01-14</t>
        </is>
      </c>
      <c r="AA222" t="n">
        <v>821</v>
      </c>
      <c r="AB222" t="n">
        <v>775</v>
      </c>
      <c r="AC222" t="n">
        <v>778</v>
      </c>
      <c r="AD222" t="n">
        <v>7</v>
      </c>
      <c r="AE222" t="n">
        <v>7</v>
      </c>
      <c r="AF222" t="n">
        <v>38</v>
      </c>
      <c r="AG222" t="n">
        <v>38</v>
      </c>
      <c r="AH222" t="n">
        <v>10</v>
      </c>
      <c r="AI222" t="n">
        <v>10</v>
      </c>
      <c r="AJ222" t="n">
        <v>9</v>
      </c>
      <c r="AK222" t="n">
        <v>9</v>
      </c>
      <c r="AL222" t="n">
        <v>16</v>
      </c>
      <c r="AM222" t="n">
        <v>16</v>
      </c>
      <c r="AN222" t="n">
        <v>6</v>
      </c>
      <c r="AO222" t="n">
        <v>6</v>
      </c>
      <c r="AP222" t="n">
        <v>4</v>
      </c>
      <c r="AQ222" t="n">
        <v>4</v>
      </c>
      <c r="AR222" t="inlineStr">
        <is>
          <t>No</t>
        </is>
      </c>
      <c r="AS222" t="inlineStr">
        <is>
          <t>Yes</t>
        </is>
      </c>
      <c r="AT222">
        <f>HYPERLINK("http://catalog.hathitrust.org/Record/001449195","HathiTrust Record")</f>
        <v/>
      </c>
      <c r="AU222">
        <f>HYPERLINK("https://creighton-primo.hosted.exlibrisgroup.com/primo-explore/search?tab=default_tab&amp;search_scope=EVERYTHING&amp;vid=01CRU&amp;lang=en_US&amp;offset=0&amp;query=any,contains,991001177629702656","Catalog Record")</f>
        <v/>
      </c>
      <c r="AV222">
        <f>HYPERLINK("http://www.worldcat.org/oclc/189048","WorldCat Record")</f>
        <v/>
      </c>
      <c r="AW222" t="inlineStr">
        <is>
          <t>429360183:eng</t>
        </is>
      </c>
      <c r="AX222" t="inlineStr">
        <is>
          <t>189048</t>
        </is>
      </c>
      <c r="AY222" t="inlineStr">
        <is>
          <t>991001177629702656</t>
        </is>
      </c>
      <c r="AZ222" t="inlineStr">
        <is>
          <t>991001177629702656</t>
        </is>
      </c>
      <c r="BA222" t="inlineStr">
        <is>
          <t>2268040110002656</t>
        </is>
      </c>
      <c r="BB222" t="inlineStr">
        <is>
          <t>BOOK</t>
        </is>
      </c>
      <c r="BE222" t="inlineStr">
        <is>
          <t>32285000912005</t>
        </is>
      </c>
      <c r="BF222" t="inlineStr">
        <is>
          <t>893885106</t>
        </is>
      </c>
    </row>
    <row r="223">
      <c r="B223" t="inlineStr">
        <is>
          <t>CURAL</t>
        </is>
      </c>
      <c r="C223" t="inlineStr">
        <is>
          <t>SHELVES</t>
        </is>
      </c>
      <c r="D223" t="inlineStr">
        <is>
          <t>KF4165 .S7</t>
        </is>
      </c>
      <c r="E223" t="inlineStr">
        <is>
          <t>0                      KF 4165000S  7</t>
        </is>
      </c>
      <c r="F223" t="inlineStr">
        <is>
          <t>Law and the student press / [by] George E. Stevens [and] John B. Webster.</t>
        </is>
      </c>
      <c r="H223" t="inlineStr">
        <is>
          <t>No</t>
        </is>
      </c>
      <c r="I223" t="inlineStr">
        <is>
          <t>1</t>
        </is>
      </c>
      <c r="J223" t="inlineStr">
        <is>
          <t>Yes</t>
        </is>
      </c>
      <c r="K223" t="inlineStr">
        <is>
          <t>No</t>
        </is>
      </c>
      <c r="L223" t="inlineStr">
        <is>
          <t>0</t>
        </is>
      </c>
      <c r="M223" t="inlineStr">
        <is>
          <t>Stevens, George E., 1936-</t>
        </is>
      </c>
      <c r="N223" t="inlineStr">
        <is>
          <t>Ames : Iowa State University Press, 1973.</t>
        </is>
      </c>
      <c r="O223" t="inlineStr">
        <is>
          <t>1973</t>
        </is>
      </c>
      <c r="P223" t="inlineStr">
        <is>
          <t>[1st ed.]</t>
        </is>
      </c>
      <c r="Q223" t="inlineStr">
        <is>
          <t>eng</t>
        </is>
      </c>
      <c r="R223" t="inlineStr">
        <is>
          <t>iau</t>
        </is>
      </c>
      <c r="T223" t="inlineStr">
        <is>
          <t xml:space="preserve">KF </t>
        </is>
      </c>
      <c r="U223" t="n">
        <v>9</v>
      </c>
      <c r="V223" t="n">
        <v>10</v>
      </c>
      <c r="W223" t="inlineStr">
        <is>
          <t>2006-04-12</t>
        </is>
      </c>
      <c r="X223" t="inlineStr">
        <is>
          <t>2006-04-12</t>
        </is>
      </c>
      <c r="Y223" t="inlineStr">
        <is>
          <t>1990-07-23</t>
        </is>
      </c>
      <c r="Z223" t="inlineStr">
        <is>
          <t>1992-12-04</t>
        </is>
      </c>
      <c r="AA223" t="n">
        <v>610</v>
      </c>
      <c r="AB223" t="n">
        <v>572</v>
      </c>
      <c r="AC223" t="n">
        <v>583</v>
      </c>
      <c r="AD223" t="n">
        <v>6</v>
      </c>
      <c r="AE223" t="n">
        <v>6</v>
      </c>
      <c r="AF223" t="n">
        <v>32</v>
      </c>
      <c r="AG223" t="n">
        <v>32</v>
      </c>
      <c r="AH223" t="n">
        <v>9</v>
      </c>
      <c r="AI223" t="n">
        <v>9</v>
      </c>
      <c r="AJ223" t="n">
        <v>4</v>
      </c>
      <c r="AK223" t="n">
        <v>4</v>
      </c>
      <c r="AL223" t="n">
        <v>11</v>
      </c>
      <c r="AM223" t="n">
        <v>11</v>
      </c>
      <c r="AN223" t="n">
        <v>3</v>
      </c>
      <c r="AO223" t="n">
        <v>3</v>
      </c>
      <c r="AP223" t="n">
        <v>9</v>
      </c>
      <c r="AQ223" t="n">
        <v>9</v>
      </c>
      <c r="AR223" t="inlineStr">
        <is>
          <t>No</t>
        </is>
      </c>
      <c r="AS223" t="inlineStr">
        <is>
          <t>Yes</t>
        </is>
      </c>
      <c r="AT223">
        <f>HYPERLINK("http://catalog.hathitrust.org/Record/001285298","HathiTrust Record")</f>
        <v/>
      </c>
      <c r="AU223">
        <f>HYPERLINK("https://creighton-primo.hosted.exlibrisgroup.com/primo-explore/search?tab=default_tab&amp;search_scope=EVERYTHING&amp;vid=01CRU&amp;lang=en_US&amp;offset=0&amp;query=any,contains,991001667819702656","Catalog Record")</f>
        <v/>
      </c>
      <c r="AV223">
        <f>HYPERLINK("http://www.worldcat.org/oclc/673596","WorldCat Record")</f>
        <v/>
      </c>
      <c r="AW223" t="inlineStr">
        <is>
          <t>1718092:eng</t>
        </is>
      </c>
      <c r="AX223" t="inlineStr">
        <is>
          <t>673596</t>
        </is>
      </c>
      <c r="AY223" t="inlineStr">
        <is>
          <t>991001667819702656</t>
        </is>
      </c>
      <c r="AZ223" t="inlineStr">
        <is>
          <t>991001667819702656</t>
        </is>
      </c>
      <c r="BA223" t="inlineStr">
        <is>
          <t>2268943500002656</t>
        </is>
      </c>
      <c r="BB223" t="inlineStr">
        <is>
          <t>BOOK</t>
        </is>
      </c>
      <c r="BD223" t="inlineStr">
        <is>
          <t>9780813808758</t>
        </is>
      </c>
      <c r="BE223" t="inlineStr">
        <is>
          <t>32285000233972</t>
        </is>
      </c>
      <c r="BF223" t="inlineStr">
        <is>
          <t>893684504</t>
        </is>
      </c>
    </row>
    <row r="224">
      <c r="B224" t="inlineStr">
        <is>
          <t>CURAL</t>
        </is>
      </c>
      <c r="C224" t="inlineStr">
        <is>
          <t>SHELVES</t>
        </is>
      </c>
      <c r="D224" t="inlineStr">
        <is>
          <t>KF4175.Z9 F55 1987</t>
        </is>
      </c>
      <c r="E224" t="inlineStr">
        <is>
          <t>0                      KF 4175000Z  9                  F  55          1987</t>
        </is>
      </c>
      <c r="F224" t="inlineStr">
        <is>
          <t>Teachers and the law / Louis Fischer, David Schimmel, Cynthia Kelly.</t>
        </is>
      </c>
      <c r="H224" t="inlineStr">
        <is>
          <t>No</t>
        </is>
      </c>
      <c r="I224" t="inlineStr">
        <is>
          <t>1</t>
        </is>
      </c>
      <c r="J224" t="inlineStr">
        <is>
          <t>No</t>
        </is>
      </c>
      <c r="K224" t="inlineStr">
        <is>
          <t>Yes</t>
        </is>
      </c>
      <c r="L224" t="inlineStr">
        <is>
          <t>0</t>
        </is>
      </c>
      <c r="M224" t="inlineStr">
        <is>
          <t>Fischer, Louis, 1924-</t>
        </is>
      </c>
      <c r="N224" t="inlineStr">
        <is>
          <t>New York : Longman, c1987.</t>
        </is>
      </c>
      <c r="O224" t="inlineStr">
        <is>
          <t>1987</t>
        </is>
      </c>
      <c r="P224" t="inlineStr">
        <is>
          <t>2nd ed.</t>
        </is>
      </c>
      <c r="Q224" t="inlineStr">
        <is>
          <t>eng</t>
        </is>
      </c>
      <c r="R224" t="inlineStr">
        <is>
          <t>nyu</t>
        </is>
      </c>
      <c r="T224" t="inlineStr">
        <is>
          <t xml:space="preserve">KF </t>
        </is>
      </c>
      <c r="U224" t="n">
        <v>2</v>
      </c>
      <c r="V224" t="n">
        <v>2</v>
      </c>
      <c r="W224" t="inlineStr">
        <is>
          <t>2010-11-10</t>
        </is>
      </c>
      <c r="X224" t="inlineStr">
        <is>
          <t>2010-11-10</t>
        </is>
      </c>
      <c r="Y224" t="inlineStr">
        <is>
          <t>1992-07-03</t>
        </is>
      </c>
      <c r="Z224" t="inlineStr">
        <is>
          <t>1992-07-03</t>
        </is>
      </c>
      <c r="AA224" t="n">
        <v>353</v>
      </c>
      <c r="AB224" t="n">
        <v>338</v>
      </c>
      <c r="AC224" t="n">
        <v>1310</v>
      </c>
      <c r="AD224" t="n">
        <v>5</v>
      </c>
      <c r="AE224" t="n">
        <v>11</v>
      </c>
      <c r="AF224" t="n">
        <v>23</v>
      </c>
      <c r="AG224" t="n">
        <v>69</v>
      </c>
      <c r="AH224" t="n">
        <v>6</v>
      </c>
      <c r="AI224" t="n">
        <v>22</v>
      </c>
      <c r="AJ224" t="n">
        <v>1</v>
      </c>
      <c r="AK224" t="n">
        <v>8</v>
      </c>
      <c r="AL224" t="n">
        <v>8</v>
      </c>
      <c r="AM224" t="n">
        <v>21</v>
      </c>
      <c r="AN224" t="n">
        <v>4</v>
      </c>
      <c r="AO224" t="n">
        <v>9</v>
      </c>
      <c r="AP224" t="n">
        <v>7</v>
      </c>
      <c r="AQ224" t="n">
        <v>20</v>
      </c>
      <c r="AR224" t="inlineStr">
        <is>
          <t>No</t>
        </is>
      </c>
      <c r="AS224" t="inlineStr">
        <is>
          <t>Yes</t>
        </is>
      </c>
      <c r="AT224">
        <f>HYPERLINK("http://catalog.hathitrust.org/Record/010071001","HathiTrust Record")</f>
        <v/>
      </c>
      <c r="AU224">
        <f>HYPERLINK("https://creighton-primo.hosted.exlibrisgroup.com/primo-explore/search?tab=default_tab&amp;search_scope=EVERYTHING&amp;vid=01CRU&amp;lang=en_US&amp;offset=0&amp;query=any,contains,991000864359702656","Catalog Record")</f>
        <v/>
      </c>
      <c r="AV224">
        <f>HYPERLINK("http://www.worldcat.org/oclc/13703174","WorldCat Record")</f>
        <v/>
      </c>
      <c r="AW224" t="inlineStr">
        <is>
          <t>7786:eng</t>
        </is>
      </c>
      <c r="AX224" t="inlineStr">
        <is>
          <t>13703174</t>
        </is>
      </c>
      <c r="AY224" t="inlineStr">
        <is>
          <t>991000864359702656</t>
        </is>
      </c>
      <c r="AZ224" t="inlineStr">
        <is>
          <t>991000864359702656</t>
        </is>
      </c>
      <c r="BA224" t="inlineStr">
        <is>
          <t>2261538400002656</t>
        </is>
      </c>
      <c r="BB224" t="inlineStr">
        <is>
          <t>BOOK</t>
        </is>
      </c>
      <c r="BD224" t="inlineStr">
        <is>
          <t>9780582284487</t>
        </is>
      </c>
      <c r="BE224" t="inlineStr">
        <is>
          <t>32285001177087</t>
        </is>
      </c>
      <c r="BF224" t="inlineStr">
        <is>
          <t>893778312</t>
        </is>
      </c>
    </row>
    <row r="225">
      <c r="B225" t="inlineStr">
        <is>
          <t>CURAL</t>
        </is>
      </c>
      <c r="C225" t="inlineStr">
        <is>
          <t>SHELVES</t>
        </is>
      </c>
      <c r="D225" t="inlineStr">
        <is>
          <t>KF4180 .R67 1992</t>
        </is>
      </c>
      <c r="E225" t="inlineStr">
        <is>
          <t>0                      KF 4180000R  67          1992</t>
        </is>
      </c>
      <c r="F225" t="inlineStr">
        <is>
          <t>The law of teacher evaluation / Lawrence F. Rossow and Jerry Parkinson.</t>
        </is>
      </c>
      <c r="H225" t="inlineStr">
        <is>
          <t>No</t>
        </is>
      </c>
      <c r="I225" t="inlineStr">
        <is>
          <t>1</t>
        </is>
      </c>
      <c r="J225" t="inlineStr">
        <is>
          <t>No</t>
        </is>
      </c>
      <c r="K225" t="inlineStr">
        <is>
          <t>No</t>
        </is>
      </c>
      <c r="L225" t="inlineStr">
        <is>
          <t>0</t>
        </is>
      </c>
      <c r="M225" t="inlineStr">
        <is>
          <t>Rossow, Lawrence F.</t>
        </is>
      </c>
      <c r="N225" t="inlineStr">
        <is>
          <t>Topeka, Kan. : National Organization on Legal Problems of Education, c1992.</t>
        </is>
      </c>
      <c r="O225" t="inlineStr">
        <is>
          <t>1992</t>
        </is>
      </c>
      <c r="Q225" t="inlineStr">
        <is>
          <t>eng</t>
        </is>
      </c>
      <c r="R225" t="inlineStr">
        <is>
          <t>ksu</t>
        </is>
      </c>
      <c r="S225" t="inlineStr">
        <is>
          <t>NOLPE monograph/book series ; no. 42</t>
        </is>
      </c>
      <c r="T225" t="inlineStr">
        <is>
          <t xml:space="preserve">KF </t>
        </is>
      </c>
      <c r="U225" t="n">
        <v>3</v>
      </c>
      <c r="V225" t="n">
        <v>3</v>
      </c>
      <c r="W225" t="inlineStr">
        <is>
          <t>2005-11-27</t>
        </is>
      </c>
      <c r="X225" t="inlineStr">
        <is>
          <t>2005-11-27</t>
        </is>
      </c>
      <c r="Y225" t="inlineStr">
        <is>
          <t>1992-01-16</t>
        </is>
      </c>
      <c r="Z225" t="inlineStr">
        <is>
          <t>1992-01-16</t>
        </is>
      </c>
      <c r="AA225" t="n">
        <v>158</v>
      </c>
      <c r="AB225" t="n">
        <v>153</v>
      </c>
      <c r="AC225" t="n">
        <v>213</v>
      </c>
      <c r="AD225" t="n">
        <v>2</v>
      </c>
      <c r="AE225" t="n">
        <v>3</v>
      </c>
      <c r="AF225" t="n">
        <v>18</v>
      </c>
      <c r="AG225" t="n">
        <v>23</v>
      </c>
      <c r="AH225" t="n">
        <v>3</v>
      </c>
      <c r="AI225" t="n">
        <v>4</v>
      </c>
      <c r="AJ225" t="n">
        <v>0</v>
      </c>
      <c r="AK225" t="n">
        <v>1</v>
      </c>
      <c r="AL225" t="n">
        <v>1</v>
      </c>
      <c r="AM225" t="n">
        <v>4</v>
      </c>
      <c r="AN225" t="n">
        <v>1</v>
      </c>
      <c r="AO225" t="n">
        <v>2</v>
      </c>
      <c r="AP225" t="n">
        <v>13</v>
      </c>
      <c r="AQ225" t="n">
        <v>14</v>
      </c>
      <c r="AR225" t="inlineStr">
        <is>
          <t>No</t>
        </is>
      </c>
      <c r="AS225" t="inlineStr">
        <is>
          <t>Yes</t>
        </is>
      </c>
      <c r="AT225">
        <f>HYPERLINK("http://catalog.hathitrust.org/Record/002700306","HathiTrust Record")</f>
        <v/>
      </c>
      <c r="AU225">
        <f>HYPERLINK("https://creighton-primo.hosted.exlibrisgroup.com/primo-explore/search?tab=default_tab&amp;search_scope=EVERYTHING&amp;vid=01CRU&amp;lang=en_US&amp;offset=0&amp;query=any,contains,991001944809702656","Catalog Record")</f>
        <v/>
      </c>
      <c r="AV225">
        <f>HYPERLINK("http://www.worldcat.org/oclc/24566124","WorldCat Record")</f>
        <v/>
      </c>
      <c r="AW225" t="inlineStr">
        <is>
          <t>1050391:eng</t>
        </is>
      </c>
      <c r="AX225" t="inlineStr">
        <is>
          <t>24566124</t>
        </is>
      </c>
      <c r="AY225" t="inlineStr">
        <is>
          <t>991001944809702656</t>
        </is>
      </c>
      <c r="AZ225" t="inlineStr">
        <is>
          <t>991001944809702656</t>
        </is>
      </c>
      <c r="BA225" t="inlineStr">
        <is>
          <t>2260108970002656</t>
        </is>
      </c>
      <c r="BB225" t="inlineStr">
        <is>
          <t>BOOK</t>
        </is>
      </c>
      <c r="BD225" t="inlineStr">
        <is>
          <t>9781565340312</t>
        </is>
      </c>
      <c r="BE225" t="inlineStr">
        <is>
          <t>32285000864107</t>
        </is>
      </c>
      <c r="BF225" t="inlineStr">
        <is>
          <t>893590763</t>
        </is>
      </c>
    </row>
    <row r="226">
      <c r="B226" t="inlineStr">
        <is>
          <t>CURAL</t>
        </is>
      </c>
      <c r="C226" t="inlineStr">
        <is>
          <t>SHELVES</t>
        </is>
      </c>
      <c r="D226" t="inlineStr">
        <is>
          <t>KF4204 .L45 1980</t>
        </is>
      </c>
      <c r="E226" t="inlineStr">
        <is>
          <t>0                      KF 4204000L  45          1980</t>
        </is>
      </c>
      <c r="F226" t="inlineStr">
        <is>
          <t>The bilingual education act : a legislative analysis / Arnold H. Leibowitz.</t>
        </is>
      </c>
      <c r="H226" t="inlineStr">
        <is>
          <t>No</t>
        </is>
      </c>
      <c r="I226" t="inlineStr">
        <is>
          <t>1</t>
        </is>
      </c>
      <c r="J226" t="inlineStr">
        <is>
          <t>No</t>
        </is>
      </c>
      <c r="K226" t="inlineStr">
        <is>
          <t>No</t>
        </is>
      </c>
      <c r="L226" t="inlineStr">
        <is>
          <t>0</t>
        </is>
      </c>
      <c r="M226" t="inlineStr">
        <is>
          <t>Leibowitz, Arnold H.</t>
        </is>
      </c>
      <c r="N226" t="inlineStr">
        <is>
          <t>Rosslyn, Va. : InterAmerica Research Associates, National Clearinghouse for Bilingual Education, 1980.</t>
        </is>
      </c>
      <c r="O226" t="inlineStr">
        <is>
          <t>1980</t>
        </is>
      </c>
      <c r="Q226" t="inlineStr">
        <is>
          <t>eng</t>
        </is>
      </c>
      <c r="R226" t="inlineStr">
        <is>
          <t>vau</t>
        </is>
      </c>
      <c r="T226" t="inlineStr">
        <is>
          <t xml:space="preserve">KF </t>
        </is>
      </c>
      <c r="U226" t="n">
        <v>8</v>
      </c>
      <c r="V226" t="n">
        <v>8</v>
      </c>
      <c r="W226" t="inlineStr">
        <is>
          <t>2005-06-02</t>
        </is>
      </c>
      <c r="X226" t="inlineStr">
        <is>
          <t>2005-06-02</t>
        </is>
      </c>
      <c r="Y226" t="inlineStr">
        <is>
          <t>1990-04-25</t>
        </is>
      </c>
      <c r="Z226" t="inlineStr">
        <is>
          <t>1990-04-25</t>
        </is>
      </c>
      <c r="AA226" t="n">
        <v>485</v>
      </c>
      <c r="AB226" t="n">
        <v>479</v>
      </c>
      <c r="AC226" t="n">
        <v>494</v>
      </c>
      <c r="AD226" t="n">
        <v>9</v>
      </c>
      <c r="AE226" t="n">
        <v>9</v>
      </c>
      <c r="AF226" t="n">
        <v>27</v>
      </c>
      <c r="AG226" t="n">
        <v>27</v>
      </c>
      <c r="AH226" t="n">
        <v>9</v>
      </c>
      <c r="AI226" t="n">
        <v>9</v>
      </c>
      <c r="AJ226" t="n">
        <v>3</v>
      </c>
      <c r="AK226" t="n">
        <v>3</v>
      </c>
      <c r="AL226" t="n">
        <v>10</v>
      </c>
      <c r="AM226" t="n">
        <v>10</v>
      </c>
      <c r="AN226" t="n">
        <v>8</v>
      </c>
      <c r="AO226" t="n">
        <v>8</v>
      </c>
      <c r="AP226" t="n">
        <v>2</v>
      </c>
      <c r="AQ226" t="n">
        <v>2</v>
      </c>
      <c r="AR226" t="inlineStr">
        <is>
          <t>No</t>
        </is>
      </c>
      <c r="AS226" t="inlineStr">
        <is>
          <t>Yes</t>
        </is>
      </c>
      <c r="AT226">
        <f>HYPERLINK("http://catalog.hathitrust.org/Record/004508931","HathiTrust Record")</f>
        <v/>
      </c>
      <c r="AU226">
        <f>HYPERLINK("https://creighton-primo.hosted.exlibrisgroup.com/primo-explore/search?tab=default_tab&amp;search_scope=EVERYTHING&amp;vid=01CRU&amp;lang=en_US&amp;offset=0&amp;query=any,contains,991005149509702656","Catalog Record")</f>
        <v/>
      </c>
      <c r="AV226">
        <f>HYPERLINK("http://www.worldcat.org/oclc/7711963","WorldCat Record")</f>
        <v/>
      </c>
      <c r="AW226" t="inlineStr">
        <is>
          <t>29371102:eng</t>
        </is>
      </c>
      <c r="AX226" t="inlineStr">
        <is>
          <t>7711963</t>
        </is>
      </c>
      <c r="AY226" t="inlineStr">
        <is>
          <t>991005149509702656</t>
        </is>
      </c>
      <c r="AZ226" t="inlineStr">
        <is>
          <t>991005149509702656</t>
        </is>
      </c>
      <c r="BA226" t="inlineStr">
        <is>
          <t>2266963560002656</t>
        </is>
      </c>
      <c r="BB226" t="inlineStr">
        <is>
          <t>BOOK</t>
        </is>
      </c>
      <c r="BD226" t="inlineStr">
        <is>
          <t>9780897630221</t>
        </is>
      </c>
      <c r="BE226" t="inlineStr">
        <is>
          <t>32285000133495</t>
        </is>
      </c>
      <c r="BF226" t="inlineStr">
        <is>
          <t>893707351</t>
        </is>
      </c>
    </row>
    <row r="227">
      <c r="B227" t="inlineStr">
        <is>
          <t>CURAL</t>
        </is>
      </c>
      <c r="C227" t="inlineStr">
        <is>
          <t>SHELVES</t>
        </is>
      </c>
      <c r="D227" t="inlineStr">
        <is>
          <t>KF4210.A314 A164</t>
        </is>
      </c>
      <c r="E227" t="inlineStr">
        <is>
          <t>0                      KF 4210000A  314                A  164</t>
        </is>
      </c>
      <c r="F227" t="inlineStr">
        <is>
          <t>PL94-142 : an act of Congress / Erwin L. Levine, Elizabeth M. Wexler.</t>
        </is>
      </c>
      <c r="H227" t="inlineStr">
        <is>
          <t>No</t>
        </is>
      </c>
      <c r="I227" t="inlineStr">
        <is>
          <t>1</t>
        </is>
      </c>
      <c r="J227" t="inlineStr">
        <is>
          <t>No</t>
        </is>
      </c>
      <c r="K227" t="inlineStr">
        <is>
          <t>No</t>
        </is>
      </c>
      <c r="L227" t="inlineStr">
        <is>
          <t>0</t>
        </is>
      </c>
      <c r="M227" t="inlineStr">
        <is>
          <t>Levine, Erwin L.</t>
        </is>
      </c>
      <c r="N227" t="inlineStr">
        <is>
          <t>New York : Macmillan Pub. Co. ; London : Collier Macmillan Publishers, c1981.</t>
        </is>
      </c>
      <c r="O227" t="inlineStr">
        <is>
          <t>1981</t>
        </is>
      </c>
      <c r="Q227" t="inlineStr">
        <is>
          <t>eng</t>
        </is>
      </c>
      <c r="R227" t="inlineStr">
        <is>
          <t>nyu</t>
        </is>
      </c>
      <c r="T227" t="inlineStr">
        <is>
          <t xml:space="preserve">KF </t>
        </is>
      </c>
      <c r="U227" t="n">
        <v>4</v>
      </c>
      <c r="V227" t="n">
        <v>4</v>
      </c>
      <c r="W227" t="inlineStr">
        <is>
          <t>2000-11-18</t>
        </is>
      </c>
      <c r="X227" t="inlineStr">
        <is>
          <t>2000-11-18</t>
        </is>
      </c>
      <c r="Y227" t="inlineStr">
        <is>
          <t>1992-07-07</t>
        </is>
      </c>
      <c r="Z227" t="inlineStr">
        <is>
          <t>1992-07-07</t>
        </is>
      </c>
      <c r="AA227" t="n">
        <v>603</v>
      </c>
      <c r="AB227" t="n">
        <v>575</v>
      </c>
      <c r="AC227" t="n">
        <v>577</v>
      </c>
      <c r="AD227" t="n">
        <v>6</v>
      </c>
      <c r="AE227" t="n">
        <v>6</v>
      </c>
      <c r="AF227" t="n">
        <v>35</v>
      </c>
      <c r="AG227" t="n">
        <v>35</v>
      </c>
      <c r="AH227" t="n">
        <v>10</v>
      </c>
      <c r="AI227" t="n">
        <v>10</v>
      </c>
      <c r="AJ227" t="n">
        <v>6</v>
      </c>
      <c r="AK227" t="n">
        <v>6</v>
      </c>
      <c r="AL227" t="n">
        <v>13</v>
      </c>
      <c r="AM227" t="n">
        <v>13</v>
      </c>
      <c r="AN227" t="n">
        <v>5</v>
      </c>
      <c r="AO227" t="n">
        <v>5</v>
      </c>
      <c r="AP227" t="n">
        <v>7</v>
      </c>
      <c r="AQ227" t="n">
        <v>7</v>
      </c>
      <c r="AR227" t="inlineStr">
        <is>
          <t>No</t>
        </is>
      </c>
      <c r="AS227" t="inlineStr">
        <is>
          <t>Yes</t>
        </is>
      </c>
      <c r="AT227">
        <f>HYPERLINK("http://catalog.hathitrust.org/Record/006149699","HathiTrust Record")</f>
        <v/>
      </c>
      <c r="AU227">
        <f>HYPERLINK("https://creighton-primo.hosted.exlibrisgroup.com/primo-explore/search?tab=default_tab&amp;search_scope=EVERYTHING&amp;vid=01CRU&amp;lang=en_US&amp;offset=0&amp;query=any,contains,991004985059702656","Catalog Record")</f>
        <v/>
      </c>
      <c r="AV227">
        <f>HYPERLINK("http://www.worldcat.org/oclc/6447210","WorldCat Record")</f>
        <v/>
      </c>
      <c r="AW227" t="inlineStr">
        <is>
          <t>22616593:eng</t>
        </is>
      </c>
      <c r="AX227" t="inlineStr">
        <is>
          <t>6447210</t>
        </is>
      </c>
      <c r="AY227" t="inlineStr">
        <is>
          <t>991004985059702656</t>
        </is>
      </c>
      <c r="AZ227" t="inlineStr">
        <is>
          <t>991004985059702656</t>
        </is>
      </c>
      <c r="BA227" t="inlineStr">
        <is>
          <t>2255518620002656</t>
        </is>
      </c>
      <c r="BB227" t="inlineStr">
        <is>
          <t>BOOK</t>
        </is>
      </c>
      <c r="BD227" t="inlineStr">
        <is>
          <t>9780023702709</t>
        </is>
      </c>
      <c r="BE227" t="inlineStr">
        <is>
          <t>32285001177178</t>
        </is>
      </c>
      <c r="BF227" t="inlineStr">
        <is>
          <t>893430676</t>
        </is>
      </c>
    </row>
    <row r="228">
      <c r="B228" t="inlineStr">
        <is>
          <t>CURAL</t>
        </is>
      </c>
      <c r="C228" t="inlineStr">
        <is>
          <t>SHELVES</t>
        </is>
      </c>
      <c r="D228" t="inlineStr">
        <is>
          <t>KF4240.A75 C65</t>
        </is>
      </c>
      <c r="E228" t="inlineStr">
        <is>
          <t>0                      KF 4240000A  75                 C  65</t>
        </is>
      </c>
      <c r="F228" t="inlineStr">
        <is>
          <t>The Constitutional status of academic tenure / edited by Walter P. Metzger.</t>
        </is>
      </c>
      <c r="H228" t="inlineStr">
        <is>
          <t>No</t>
        </is>
      </c>
      <c r="I228" t="inlineStr">
        <is>
          <t>1</t>
        </is>
      </c>
      <c r="J228" t="inlineStr">
        <is>
          <t>No</t>
        </is>
      </c>
      <c r="K228" t="inlineStr">
        <is>
          <t>No</t>
        </is>
      </c>
      <c r="L228" t="inlineStr">
        <is>
          <t>0</t>
        </is>
      </c>
      <c r="N228" t="inlineStr">
        <is>
          <t>New York : Arno Press, 1977.</t>
        </is>
      </c>
      <c r="O228" t="inlineStr">
        <is>
          <t>1977</t>
        </is>
      </c>
      <c r="Q228" t="inlineStr">
        <is>
          <t>eng</t>
        </is>
      </c>
      <c r="R228" t="inlineStr">
        <is>
          <t>nyu</t>
        </is>
      </c>
      <c r="S228" t="inlineStr">
        <is>
          <t>The Academic profession</t>
        </is>
      </c>
      <c r="T228" t="inlineStr">
        <is>
          <t xml:space="preserve">KF </t>
        </is>
      </c>
      <c r="U228" t="n">
        <v>1</v>
      </c>
      <c r="V228" t="n">
        <v>1</v>
      </c>
      <c r="W228" t="inlineStr">
        <is>
          <t>2009-02-03</t>
        </is>
      </c>
      <c r="X228" t="inlineStr">
        <is>
          <t>2009-02-03</t>
        </is>
      </c>
      <c r="Y228" t="inlineStr">
        <is>
          <t>1997-04-16</t>
        </is>
      </c>
      <c r="Z228" t="inlineStr">
        <is>
          <t>1997-04-16</t>
        </is>
      </c>
      <c r="AA228" t="n">
        <v>269</v>
      </c>
      <c r="AB228" t="n">
        <v>256</v>
      </c>
      <c r="AC228" t="n">
        <v>264</v>
      </c>
      <c r="AD228" t="n">
        <v>2</v>
      </c>
      <c r="AE228" t="n">
        <v>2</v>
      </c>
      <c r="AF228" t="n">
        <v>16</v>
      </c>
      <c r="AG228" t="n">
        <v>16</v>
      </c>
      <c r="AH228" t="n">
        <v>1</v>
      </c>
      <c r="AI228" t="n">
        <v>1</v>
      </c>
      <c r="AJ228" t="n">
        <v>1</v>
      </c>
      <c r="AK228" t="n">
        <v>1</v>
      </c>
      <c r="AL228" t="n">
        <v>2</v>
      </c>
      <c r="AM228" t="n">
        <v>2</v>
      </c>
      <c r="AN228" t="n">
        <v>1</v>
      </c>
      <c r="AO228" t="n">
        <v>1</v>
      </c>
      <c r="AP228" t="n">
        <v>11</v>
      </c>
      <c r="AQ228" t="n">
        <v>11</v>
      </c>
      <c r="AR228" t="inlineStr">
        <is>
          <t>No</t>
        </is>
      </c>
      <c r="AS228" t="inlineStr">
        <is>
          <t>Yes</t>
        </is>
      </c>
      <c r="AT228">
        <f>HYPERLINK("http://catalog.hathitrust.org/Record/000250148","HathiTrust Record")</f>
        <v/>
      </c>
      <c r="AU228">
        <f>HYPERLINK("https://creighton-primo.hosted.exlibrisgroup.com/primo-explore/search?tab=default_tab&amp;search_scope=EVERYTHING&amp;vid=01CRU&amp;lang=en_US&amp;offset=0&amp;query=any,contains,991004305159702656","Catalog Record")</f>
        <v/>
      </c>
      <c r="AV228">
        <f>HYPERLINK("http://www.worldcat.org/oclc/2982952","WorldCat Record")</f>
        <v/>
      </c>
      <c r="AW228" t="inlineStr">
        <is>
          <t>6973718:eng</t>
        </is>
      </c>
      <c r="AX228" t="inlineStr">
        <is>
          <t>2982952</t>
        </is>
      </c>
      <c r="AY228" t="inlineStr">
        <is>
          <t>991004305159702656</t>
        </is>
      </c>
      <c r="AZ228" t="inlineStr">
        <is>
          <t>991004305159702656</t>
        </is>
      </c>
      <c r="BA228" t="inlineStr">
        <is>
          <t>2261691280002656</t>
        </is>
      </c>
      <c r="BB228" t="inlineStr">
        <is>
          <t>BOOK</t>
        </is>
      </c>
      <c r="BD228" t="inlineStr">
        <is>
          <t>9780405099823</t>
        </is>
      </c>
      <c r="BE228" t="inlineStr">
        <is>
          <t>32285002551207</t>
        </is>
      </c>
      <c r="BF228" t="inlineStr">
        <is>
          <t>893263190</t>
        </is>
      </c>
    </row>
    <row r="229">
      <c r="B229" t="inlineStr">
        <is>
          <t>CURAL</t>
        </is>
      </c>
      <c r="C229" t="inlineStr">
        <is>
          <t>SHELVES</t>
        </is>
      </c>
      <c r="D229" t="inlineStr">
        <is>
          <t>KF4243 .R38</t>
        </is>
      </c>
      <c r="E229" t="inlineStr">
        <is>
          <t>0                      KF 4243000R  38</t>
        </is>
      </c>
      <c r="F229" t="inlineStr">
        <is>
          <t>Constitutional rights of college students : a study in case law / by Richard C. Ratliff.</t>
        </is>
      </c>
      <c r="H229" t="inlineStr">
        <is>
          <t>No</t>
        </is>
      </c>
      <c r="I229" t="inlineStr">
        <is>
          <t>1</t>
        </is>
      </c>
      <c r="J229" t="inlineStr">
        <is>
          <t>No</t>
        </is>
      </c>
      <c r="K229" t="inlineStr">
        <is>
          <t>No</t>
        </is>
      </c>
      <c r="L229" t="inlineStr">
        <is>
          <t>0</t>
        </is>
      </c>
      <c r="M229" t="inlineStr">
        <is>
          <t>Ratliff, Richard C.</t>
        </is>
      </c>
      <c r="N229" t="inlineStr">
        <is>
          <t>Metuchen, N.J. : Scarecrow Press, 1972.</t>
        </is>
      </c>
      <c r="O229" t="inlineStr">
        <is>
          <t>1972</t>
        </is>
      </c>
      <c r="Q229" t="inlineStr">
        <is>
          <t>eng</t>
        </is>
      </c>
      <c r="R229" t="inlineStr">
        <is>
          <t>nju</t>
        </is>
      </c>
      <c r="T229" t="inlineStr">
        <is>
          <t xml:space="preserve">KF </t>
        </is>
      </c>
      <c r="U229" t="n">
        <v>3</v>
      </c>
      <c r="V229" t="n">
        <v>3</v>
      </c>
      <c r="W229" t="inlineStr">
        <is>
          <t>2005-09-27</t>
        </is>
      </c>
      <c r="X229" t="inlineStr">
        <is>
          <t>2005-09-27</t>
        </is>
      </c>
      <c r="Y229" t="inlineStr">
        <is>
          <t>1993-02-04</t>
        </is>
      </c>
      <c r="Z229" t="inlineStr">
        <is>
          <t>1993-02-04</t>
        </is>
      </c>
      <c r="AA229" t="n">
        <v>536</v>
      </c>
      <c r="AB229" t="n">
        <v>508</v>
      </c>
      <c r="AC229" t="n">
        <v>514</v>
      </c>
      <c r="AD229" t="n">
        <v>5</v>
      </c>
      <c r="AE229" t="n">
        <v>5</v>
      </c>
      <c r="AF229" t="n">
        <v>24</v>
      </c>
      <c r="AG229" t="n">
        <v>24</v>
      </c>
      <c r="AH229" t="n">
        <v>10</v>
      </c>
      <c r="AI229" t="n">
        <v>10</v>
      </c>
      <c r="AJ229" t="n">
        <v>3</v>
      </c>
      <c r="AK229" t="n">
        <v>3</v>
      </c>
      <c r="AL229" t="n">
        <v>7</v>
      </c>
      <c r="AM229" t="n">
        <v>7</v>
      </c>
      <c r="AN229" t="n">
        <v>3</v>
      </c>
      <c r="AO229" t="n">
        <v>3</v>
      </c>
      <c r="AP229" t="n">
        <v>6</v>
      </c>
      <c r="AQ229" t="n">
        <v>6</v>
      </c>
      <c r="AR229" t="inlineStr">
        <is>
          <t>No</t>
        </is>
      </c>
      <c r="AS229" t="inlineStr">
        <is>
          <t>Yes</t>
        </is>
      </c>
      <c r="AT229">
        <f>HYPERLINK("http://catalog.hathitrust.org/Record/001069164","HathiTrust Record")</f>
        <v/>
      </c>
      <c r="AU229">
        <f>HYPERLINK("https://creighton-primo.hosted.exlibrisgroup.com/primo-explore/search?tab=default_tab&amp;search_scope=EVERYTHING&amp;vid=01CRU&amp;lang=en_US&amp;offset=0&amp;query=any,contains,991002464649702656","Catalog Record")</f>
        <v/>
      </c>
      <c r="AV229">
        <f>HYPERLINK("http://www.worldcat.org/oclc/357082","WorldCat Record")</f>
        <v/>
      </c>
      <c r="AW229" t="inlineStr">
        <is>
          <t>1402311:eng</t>
        </is>
      </c>
      <c r="AX229" t="inlineStr">
        <is>
          <t>357082</t>
        </is>
      </c>
      <c r="AY229" t="inlineStr">
        <is>
          <t>991002464649702656</t>
        </is>
      </c>
      <c r="AZ229" t="inlineStr">
        <is>
          <t>991002464649702656</t>
        </is>
      </c>
      <c r="BA229" t="inlineStr">
        <is>
          <t>2263056420002656</t>
        </is>
      </c>
      <c r="BB229" t="inlineStr">
        <is>
          <t>BOOK</t>
        </is>
      </c>
      <c r="BD229" t="inlineStr">
        <is>
          <t>9780810805323</t>
        </is>
      </c>
      <c r="BE229" t="inlineStr">
        <is>
          <t>32285001482644</t>
        </is>
      </c>
      <c r="BF229" t="inlineStr">
        <is>
          <t>893427629</t>
        </is>
      </c>
    </row>
    <row r="230">
      <c r="B230" t="inlineStr">
        <is>
          <t>CURAL</t>
        </is>
      </c>
      <c r="C230" t="inlineStr">
        <is>
          <t>SHELVES</t>
        </is>
      </c>
      <c r="D230" t="inlineStr">
        <is>
          <t>KF425 .H87 1982</t>
        </is>
      </c>
      <c r="E230" t="inlineStr">
        <is>
          <t>0                      KF 0425000H  87          1982</t>
        </is>
      </c>
      <c r="F230" t="inlineStr">
        <is>
          <t>Dealing with statutes / James Willard Hurst.</t>
        </is>
      </c>
      <c r="H230" t="inlineStr">
        <is>
          <t>No</t>
        </is>
      </c>
      <c r="I230" t="inlineStr">
        <is>
          <t>1</t>
        </is>
      </c>
      <c r="J230" t="inlineStr">
        <is>
          <t>Yes</t>
        </is>
      </c>
      <c r="K230" t="inlineStr">
        <is>
          <t>No</t>
        </is>
      </c>
      <c r="L230" t="inlineStr">
        <is>
          <t>0</t>
        </is>
      </c>
      <c r="M230" t="inlineStr">
        <is>
          <t>Hurst, James Willard, 1910-1997.</t>
        </is>
      </c>
      <c r="N230" t="inlineStr">
        <is>
          <t>New York : Columbia University Press, 1982.</t>
        </is>
      </c>
      <c r="O230" t="inlineStr">
        <is>
          <t>1982</t>
        </is>
      </c>
      <c r="Q230" t="inlineStr">
        <is>
          <t>eng</t>
        </is>
      </c>
      <c r="R230" t="inlineStr">
        <is>
          <t>nyu</t>
        </is>
      </c>
      <c r="S230" t="inlineStr">
        <is>
          <t>James S. Carpentier lectures ; 1982</t>
        </is>
      </c>
      <c r="T230" t="inlineStr">
        <is>
          <t xml:space="preserve">KF </t>
        </is>
      </c>
      <c r="U230" t="n">
        <v>0</v>
      </c>
      <c r="V230" t="n">
        <v>2</v>
      </c>
      <c r="W230" t="inlineStr">
        <is>
          <t>2007-09-12</t>
        </is>
      </c>
      <c r="X230" t="inlineStr">
        <is>
          <t>2007-09-12</t>
        </is>
      </c>
      <c r="Y230" t="inlineStr">
        <is>
          <t>1994-06-07</t>
        </is>
      </c>
      <c r="Z230" t="inlineStr">
        <is>
          <t>1994-06-07</t>
        </is>
      </c>
      <c r="AA230" t="n">
        <v>374</v>
      </c>
      <c r="AB230" t="n">
        <v>312</v>
      </c>
      <c r="AC230" t="n">
        <v>317</v>
      </c>
      <c r="AD230" t="n">
        <v>4</v>
      </c>
      <c r="AE230" t="n">
        <v>4</v>
      </c>
      <c r="AF230" t="n">
        <v>29</v>
      </c>
      <c r="AG230" t="n">
        <v>29</v>
      </c>
      <c r="AH230" t="n">
        <v>1</v>
      </c>
      <c r="AI230" t="n">
        <v>1</v>
      </c>
      <c r="AJ230" t="n">
        <v>2</v>
      </c>
      <c r="AK230" t="n">
        <v>2</v>
      </c>
      <c r="AL230" t="n">
        <v>4</v>
      </c>
      <c r="AM230" t="n">
        <v>4</v>
      </c>
      <c r="AN230" t="n">
        <v>1</v>
      </c>
      <c r="AO230" t="n">
        <v>1</v>
      </c>
      <c r="AP230" t="n">
        <v>23</v>
      </c>
      <c r="AQ230" t="n">
        <v>23</v>
      </c>
      <c r="AR230" t="inlineStr">
        <is>
          <t>No</t>
        </is>
      </c>
      <c r="AS230" t="inlineStr">
        <is>
          <t>No</t>
        </is>
      </c>
      <c r="AU230">
        <f>HYPERLINK("https://creighton-primo.hosted.exlibrisgroup.com/primo-explore/search?tab=default_tab&amp;search_scope=EVERYTHING&amp;vid=01CRU&amp;lang=en_US&amp;offset=0&amp;query=any,contains,991001620859702656","Catalog Record")</f>
        <v/>
      </c>
      <c r="AV230">
        <f>HYPERLINK("http://www.worldcat.org/oclc/7597894","WorldCat Record")</f>
        <v/>
      </c>
      <c r="AW230" t="inlineStr">
        <is>
          <t>146862844:eng</t>
        </is>
      </c>
      <c r="AX230" t="inlineStr">
        <is>
          <t>7597894</t>
        </is>
      </c>
      <c r="AY230" t="inlineStr">
        <is>
          <t>991001620859702656</t>
        </is>
      </c>
      <c r="AZ230" t="inlineStr">
        <is>
          <t>991001620859702656</t>
        </is>
      </c>
      <c r="BA230" t="inlineStr">
        <is>
          <t>2255087660002656</t>
        </is>
      </c>
      <c r="BB230" t="inlineStr">
        <is>
          <t>BOOK</t>
        </is>
      </c>
      <c r="BD230" t="inlineStr">
        <is>
          <t>9780231053907</t>
        </is>
      </c>
      <c r="BE230" t="inlineStr">
        <is>
          <t>32285001921708</t>
        </is>
      </c>
      <c r="BF230" t="inlineStr">
        <is>
          <t>893872635</t>
        </is>
      </c>
    </row>
    <row r="231">
      <c r="B231" t="inlineStr">
        <is>
          <t>CURAL</t>
        </is>
      </c>
      <c r="C231" t="inlineStr">
        <is>
          <t>SHELVES</t>
        </is>
      </c>
      <c r="D231" t="inlineStr">
        <is>
          <t>KF425 .L4</t>
        </is>
      </c>
      <c r="E231" t="inlineStr">
        <is>
          <t>0                      KF 0425000L  4</t>
        </is>
      </c>
      <c r="F231" t="inlineStr">
        <is>
          <t>An introduction to legal reasoning / by Edward H. Levi.</t>
        </is>
      </c>
      <c r="H231" t="inlineStr">
        <is>
          <t>No</t>
        </is>
      </c>
      <c r="I231" t="inlineStr">
        <is>
          <t>1</t>
        </is>
      </c>
      <c r="J231" t="inlineStr">
        <is>
          <t>No</t>
        </is>
      </c>
      <c r="K231" t="inlineStr">
        <is>
          <t>Yes</t>
        </is>
      </c>
      <c r="L231" t="inlineStr">
        <is>
          <t>0</t>
        </is>
      </c>
      <c r="M231" t="inlineStr">
        <is>
          <t>Levi, Edward H. (Edward Hirsch), 1911-2000.</t>
        </is>
      </c>
      <c r="N231" t="inlineStr">
        <is>
          <t>Chicago : University of Chicago Press, 1949.</t>
        </is>
      </c>
      <c r="O231" t="inlineStr">
        <is>
          <t>1949</t>
        </is>
      </c>
      <c r="Q231" t="inlineStr">
        <is>
          <t>eng</t>
        </is>
      </c>
      <c r="R231" t="inlineStr">
        <is>
          <t>ilu</t>
        </is>
      </c>
      <c r="T231" t="inlineStr">
        <is>
          <t xml:space="preserve">KF </t>
        </is>
      </c>
      <c r="U231" t="n">
        <v>3</v>
      </c>
      <c r="V231" t="n">
        <v>3</v>
      </c>
      <c r="W231" t="inlineStr">
        <is>
          <t>2001-05-13</t>
        </is>
      </c>
      <c r="X231" t="inlineStr">
        <is>
          <t>2001-05-13</t>
        </is>
      </c>
      <c r="Y231" t="inlineStr">
        <is>
          <t>1997-04-14</t>
        </is>
      </c>
      <c r="Z231" t="inlineStr">
        <is>
          <t>1997-04-14</t>
        </is>
      </c>
      <c r="AA231" t="n">
        <v>417</v>
      </c>
      <c r="AB231" t="n">
        <v>365</v>
      </c>
      <c r="AC231" t="n">
        <v>985</v>
      </c>
      <c r="AD231" t="n">
        <v>3</v>
      </c>
      <c r="AE231" t="n">
        <v>7</v>
      </c>
      <c r="AF231" t="n">
        <v>35</v>
      </c>
      <c r="AG231" t="n">
        <v>62</v>
      </c>
      <c r="AH231" t="n">
        <v>6</v>
      </c>
      <c r="AI231" t="n">
        <v>15</v>
      </c>
      <c r="AJ231" t="n">
        <v>3</v>
      </c>
      <c r="AK231" t="n">
        <v>10</v>
      </c>
      <c r="AL231" t="n">
        <v>11</v>
      </c>
      <c r="AM231" t="n">
        <v>21</v>
      </c>
      <c r="AN231" t="n">
        <v>2</v>
      </c>
      <c r="AO231" t="n">
        <v>3</v>
      </c>
      <c r="AP231" t="n">
        <v>17</v>
      </c>
      <c r="AQ231" t="n">
        <v>23</v>
      </c>
      <c r="AR231" t="inlineStr">
        <is>
          <t>No</t>
        </is>
      </c>
      <c r="AS231" t="inlineStr">
        <is>
          <t>No</t>
        </is>
      </c>
      <c r="AU231">
        <f>HYPERLINK("https://creighton-primo.hosted.exlibrisgroup.com/primo-explore/search?tab=default_tab&amp;search_scope=EVERYTHING&amp;vid=01CRU&amp;lang=en_US&amp;offset=0&amp;query=any,contains,991002879999702656","Catalog Record")</f>
        <v/>
      </c>
      <c r="AV231">
        <f>HYPERLINK("http://www.worldcat.org/oclc/505178","WorldCat Record")</f>
        <v/>
      </c>
      <c r="AW231" t="inlineStr">
        <is>
          <t>350695328:eng</t>
        </is>
      </c>
      <c r="AX231" t="inlineStr">
        <is>
          <t>505178</t>
        </is>
      </c>
      <c r="AY231" t="inlineStr">
        <is>
          <t>991002879999702656</t>
        </is>
      </c>
      <c r="AZ231" t="inlineStr">
        <is>
          <t>991002879999702656</t>
        </is>
      </c>
      <c r="BA231" t="inlineStr">
        <is>
          <t>2263756810002656</t>
        </is>
      </c>
      <c r="BB231" t="inlineStr">
        <is>
          <t>BOOK</t>
        </is>
      </c>
      <c r="BE231" t="inlineStr">
        <is>
          <t>32285002524899</t>
        </is>
      </c>
      <c r="BF231" t="inlineStr">
        <is>
          <t>893348041</t>
        </is>
      </c>
    </row>
    <row r="232">
      <c r="B232" t="inlineStr">
        <is>
          <t>CURAL</t>
        </is>
      </c>
      <c r="C232" t="inlineStr">
        <is>
          <t>SHELVES</t>
        </is>
      </c>
      <c r="D232" t="inlineStr">
        <is>
          <t>KF4280.S6 C47 1985</t>
        </is>
      </c>
      <c r="E232" t="inlineStr">
        <is>
          <t>0                      KF 4280000S  6                  C  47          1985</t>
        </is>
      </c>
      <c r="F232" t="inlineStr">
        <is>
          <t>Social science methods in the legal process / by Noreen L. Channels.</t>
        </is>
      </c>
      <c r="H232" t="inlineStr">
        <is>
          <t>No</t>
        </is>
      </c>
      <c r="I232" t="inlineStr">
        <is>
          <t>1</t>
        </is>
      </c>
      <c r="J232" t="inlineStr">
        <is>
          <t>No</t>
        </is>
      </c>
      <c r="K232" t="inlineStr">
        <is>
          <t>No</t>
        </is>
      </c>
      <c r="L232" t="inlineStr">
        <is>
          <t>0</t>
        </is>
      </c>
      <c r="M232" t="inlineStr">
        <is>
          <t>Channels, Noreen L.</t>
        </is>
      </c>
      <c r="N232" t="inlineStr">
        <is>
          <t>Totowa, NJ : Rowman and Allanheld, 1985.</t>
        </is>
      </c>
      <c r="O232" t="inlineStr">
        <is>
          <t>1984</t>
        </is>
      </c>
      <c r="Q232" t="inlineStr">
        <is>
          <t>eng</t>
        </is>
      </c>
      <c r="R232" t="inlineStr">
        <is>
          <t>nju</t>
        </is>
      </c>
      <c r="T232" t="inlineStr">
        <is>
          <t xml:space="preserve">KF </t>
        </is>
      </c>
      <c r="U232" t="n">
        <v>1</v>
      </c>
      <c r="V232" t="n">
        <v>1</v>
      </c>
      <c r="W232" t="inlineStr">
        <is>
          <t>2005-09-27</t>
        </is>
      </c>
      <c r="X232" t="inlineStr">
        <is>
          <t>2005-09-27</t>
        </is>
      </c>
      <c r="Y232" t="inlineStr">
        <is>
          <t>1992-07-07</t>
        </is>
      </c>
      <c r="Z232" t="inlineStr">
        <is>
          <t>1992-07-07</t>
        </is>
      </c>
      <c r="AA232" t="n">
        <v>361</v>
      </c>
      <c r="AB232" t="n">
        <v>316</v>
      </c>
      <c r="AC232" t="n">
        <v>330</v>
      </c>
      <c r="AD232" t="n">
        <v>3</v>
      </c>
      <c r="AE232" t="n">
        <v>3</v>
      </c>
      <c r="AF232" t="n">
        <v>26</v>
      </c>
      <c r="AG232" t="n">
        <v>27</v>
      </c>
      <c r="AH232" t="n">
        <v>2</v>
      </c>
      <c r="AI232" t="n">
        <v>3</v>
      </c>
      <c r="AJ232" t="n">
        <v>1</v>
      </c>
      <c r="AK232" t="n">
        <v>1</v>
      </c>
      <c r="AL232" t="n">
        <v>6</v>
      </c>
      <c r="AM232" t="n">
        <v>7</v>
      </c>
      <c r="AN232" t="n">
        <v>1</v>
      </c>
      <c r="AO232" t="n">
        <v>1</v>
      </c>
      <c r="AP232" t="n">
        <v>18</v>
      </c>
      <c r="AQ232" t="n">
        <v>18</v>
      </c>
      <c r="AR232" t="inlineStr">
        <is>
          <t>No</t>
        </is>
      </c>
      <c r="AS232" t="inlineStr">
        <is>
          <t>Yes</t>
        </is>
      </c>
      <c r="AT232">
        <f>HYPERLINK("http://catalog.hathitrust.org/Record/000359314","HathiTrust Record")</f>
        <v/>
      </c>
      <c r="AU232">
        <f>HYPERLINK("https://creighton-primo.hosted.exlibrisgroup.com/primo-explore/search?tab=default_tab&amp;search_scope=EVERYTHING&amp;vid=01CRU&amp;lang=en_US&amp;offset=0&amp;query=any,contains,991000437869702656","Catalog Record")</f>
        <v/>
      </c>
      <c r="AV232">
        <f>HYPERLINK("http://www.worldcat.org/oclc/10800116","WorldCat Record")</f>
        <v/>
      </c>
      <c r="AW232" t="inlineStr">
        <is>
          <t>2800909:eng</t>
        </is>
      </c>
      <c r="AX232" t="inlineStr">
        <is>
          <t>10800116</t>
        </is>
      </c>
      <c r="AY232" t="inlineStr">
        <is>
          <t>991000437869702656</t>
        </is>
      </c>
      <c r="AZ232" t="inlineStr">
        <is>
          <t>991000437869702656</t>
        </is>
      </c>
      <c r="BA232" t="inlineStr">
        <is>
          <t>2270578810002656</t>
        </is>
      </c>
      <c r="BB232" t="inlineStr">
        <is>
          <t>BOOK</t>
        </is>
      </c>
      <c r="BD232" t="inlineStr">
        <is>
          <t>9780865980136</t>
        </is>
      </c>
      <c r="BE232" t="inlineStr">
        <is>
          <t>32285001177400</t>
        </is>
      </c>
      <c r="BF232" t="inlineStr">
        <is>
          <t>893419455</t>
        </is>
      </c>
    </row>
    <row r="233">
      <c r="B233" t="inlineStr">
        <is>
          <t>CURAL</t>
        </is>
      </c>
      <c r="C233" t="inlineStr">
        <is>
          <t>SHELVES</t>
        </is>
      </c>
      <c r="D233" t="inlineStr">
        <is>
          <t>KF4280.S6 F43</t>
        </is>
      </c>
      <c r="E233" t="inlineStr">
        <is>
          <t>0                      KF 4280000S  6                  F  43</t>
        </is>
      </c>
      <c r="F233" t="inlineStr">
        <is>
          <t>Federal regulations : ethical issues and social research / edited by Murray L. Wax and Joan Cassell.</t>
        </is>
      </c>
      <c r="H233" t="inlineStr">
        <is>
          <t>No</t>
        </is>
      </c>
      <c r="I233" t="inlineStr">
        <is>
          <t>1</t>
        </is>
      </c>
      <c r="J233" t="inlineStr">
        <is>
          <t>Yes</t>
        </is>
      </c>
      <c r="K233" t="inlineStr">
        <is>
          <t>No</t>
        </is>
      </c>
      <c r="L233" t="inlineStr">
        <is>
          <t>0</t>
        </is>
      </c>
      <c r="N233" t="inlineStr">
        <is>
          <t>Boulder, Colo. : Published by Westview Press for the American Association for the Advancement of Science, 1979.</t>
        </is>
      </c>
      <c r="O233" t="inlineStr">
        <is>
          <t>1979</t>
        </is>
      </c>
      <c r="Q233" t="inlineStr">
        <is>
          <t>eng</t>
        </is>
      </c>
      <c r="R233" t="inlineStr">
        <is>
          <t>cou</t>
        </is>
      </c>
      <c r="S233" t="inlineStr">
        <is>
          <t>AAAS selected symposium ; 36</t>
        </is>
      </c>
      <c r="T233" t="inlineStr">
        <is>
          <t xml:space="preserve">KF </t>
        </is>
      </c>
      <c r="U233" t="n">
        <v>2</v>
      </c>
      <c r="V233" t="n">
        <v>2</v>
      </c>
      <c r="W233" t="inlineStr">
        <is>
          <t>2005-09-27</t>
        </is>
      </c>
      <c r="X233" t="inlineStr">
        <is>
          <t>2005-09-27</t>
        </is>
      </c>
      <c r="Y233" t="inlineStr">
        <is>
          <t>1992-07-07</t>
        </is>
      </c>
      <c r="Z233" t="inlineStr">
        <is>
          <t>2006-05-05</t>
        </is>
      </c>
      <c r="AA233" t="n">
        <v>350</v>
      </c>
      <c r="AB233" t="n">
        <v>311</v>
      </c>
      <c r="AC233" t="n">
        <v>329</v>
      </c>
      <c r="AD233" t="n">
        <v>5</v>
      </c>
      <c r="AE233" t="n">
        <v>5</v>
      </c>
      <c r="AF233" t="n">
        <v>22</v>
      </c>
      <c r="AG233" t="n">
        <v>22</v>
      </c>
      <c r="AH233" t="n">
        <v>1</v>
      </c>
      <c r="AI233" t="n">
        <v>1</v>
      </c>
      <c r="AJ233" t="n">
        <v>5</v>
      </c>
      <c r="AK233" t="n">
        <v>5</v>
      </c>
      <c r="AL233" t="n">
        <v>3</v>
      </c>
      <c r="AM233" t="n">
        <v>3</v>
      </c>
      <c r="AN233" t="n">
        <v>2</v>
      </c>
      <c r="AO233" t="n">
        <v>2</v>
      </c>
      <c r="AP233" t="n">
        <v>13</v>
      </c>
      <c r="AQ233" t="n">
        <v>13</v>
      </c>
      <c r="AR233" t="inlineStr">
        <is>
          <t>No</t>
        </is>
      </c>
      <c r="AS233" t="inlineStr">
        <is>
          <t>Yes</t>
        </is>
      </c>
      <c r="AT233">
        <f>HYPERLINK("http://catalog.hathitrust.org/Record/000753676","HathiTrust Record")</f>
        <v/>
      </c>
      <c r="AU233">
        <f>HYPERLINK("https://creighton-primo.hosted.exlibrisgroup.com/primo-explore/search?tab=default_tab&amp;search_scope=EVERYTHING&amp;vid=01CRU&amp;lang=en_US&amp;offset=0&amp;query=any,contains,991001767519702656","Catalog Record")</f>
        <v/>
      </c>
      <c r="AV233">
        <f>HYPERLINK("http://www.worldcat.org/oclc/5103379","WorldCat Record")</f>
        <v/>
      </c>
      <c r="AW233" t="inlineStr">
        <is>
          <t>2240368:eng</t>
        </is>
      </c>
      <c r="AX233" t="inlineStr">
        <is>
          <t>5103379</t>
        </is>
      </c>
      <c r="AY233" t="inlineStr">
        <is>
          <t>991001767519702656</t>
        </is>
      </c>
      <c r="AZ233" t="inlineStr">
        <is>
          <t>991001767519702656</t>
        </is>
      </c>
      <c r="BA233" t="inlineStr">
        <is>
          <t>2270780970002656</t>
        </is>
      </c>
      <c r="BB233" t="inlineStr">
        <is>
          <t>BOOK</t>
        </is>
      </c>
      <c r="BD233" t="inlineStr">
        <is>
          <t>9780891584872</t>
        </is>
      </c>
      <c r="BE233" t="inlineStr">
        <is>
          <t>32285001177418</t>
        </is>
      </c>
      <c r="BF233" t="inlineStr">
        <is>
          <t>893885525</t>
        </is>
      </c>
    </row>
    <row r="234">
      <c r="B234" t="inlineStr">
        <is>
          <t>CURAL</t>
        </is>
      </c>
      <c r="C234" t="inlineStr">
        <is>
          <t>SHELVES</t>
        </is>
      </c>
      <c r="D234" t="inlineStr">
        <is>
          <t>KF4296 .F37 1997</t>
        </is>
      </c>
      <c r="E234" t="inlineStr">
        <is>
          <t>0                      KF 4296000F  37          1997</t>
        </is>
      </c>
      <c r="F234" t="inlineStr">
        <is>
          <t>Producing theatre : a comprehensive legal and business guide / by Donald C. Farber.</t>
        </is>
      </c>
      <c r="H234" t="inlineStr">
        <is>
          <t>No</t>
        </is>
      </c>
      <c r="I234" t="inlineStr">
        <is>
          <t>1</t>
        </is>
      </c>
      <c r="J234" t="inlineStr">
        <is>
          <t>No</t>
        </is>
      </c>
      <c r="K234" t="inlineStr">
        <is>
          <t>No</t>
        </is>
      </c>
      <c r="L234" t="inlineStr">
        <is>
          <t>0</t>
        </is>
      </c>
      <c r="M234" t="inlineStr">
        <is>
          <t>Farber, Donald C.</t>
        </is>
      </c>
      <c r="N234" t="inlineStr">
        <is>
          <t>New York : Limelight Editions, 1997.</t>
        </is>
      </c>
      <c r="O234" t="inlineStr">
        <is>
          <t>1997</t>
        </is>
      </c>
      <c r="P234" t="inlineStr">
        <is>
          <t>2nd rev. ed.</t>
        </is>
      </c>
      <c r="Q234" t="inlineStr">
        <is>
          <t>eng</t>
        </is>
      </c>
      <c r="R234" t="inlineStr">
        <is>
          <t>nyu</t>
        </is>
      </c>
      <c r="T234" t="inlineStr">
        <is>
          <t xml:space="preserve">KF </t>
        </is>
      </c>
      <c r="U234" t="n">
        <v>1</v>
      </c>
      <c r="V234" t="n">
        <v>1</v>
      </c>
      <c r="W234" t="inlineStr">
        <is>
          <t>2006-12-09</t>
        </is>
      </c>
      <c r="X234" t="inlineStr">
        <is>
          <t>2006-12-09</t>
        </is>
      </c>
      <c r="Y234" t="inlineStr">
        <is>
          <t>1998-11-04</t>
        </is>
      </c>
      <c r="Z234" t="inlineStr">
        <is>
          <t>1998-11-04</t>
        </is>
      </c>
      <c r="AA234" t="n">
        <v>110</v>
      </c>
      <c r="AB234" t="n">
        <v>96</v>
      </c>
      <c r="AC234" t="n">
        <v>791</v>
      </c>
      <c r="AD234" t="n">
        <v>1</v>
      </c>
      <c r="AE234" t="n">
        <v>4</v>
      </c>
      <c r="AF234" t="n">
        <v>6</v>
      </c>
      <c r="AG234" t="n">
        <v>44</v>
      </c>
      <c r="AH234" t="n">
        <v>1</v>
      </c>
      <c r="AI234" t="n">
        <v>13</v>
      </c>
      <c r="AJ234" t="n">
        <v>2</v>
      </c>
      <c r="AK234" t="n">
        <v>6</v>
      </c>
      <c r="AL234" t="n">
        <v>5</v>
      </c>
      <c r="AM234" t="n">
        <v>16</v>
      </c>
      <c r="AN234" t="n">
        <v>0</v>
      </c>
      <c r="AO234" t="n">
        <v>2</v>
      </c>
      <c r="AP234" t="n">
        <v>0</v>
      </c>
      <c r="AQ234" t="n">
        <v>14</v>
      </c>
      <c r="AR234" t="inlineStr">
        <is>
          <t>No</t>
        </is>
      </c>
      <c r="AS234" t="inlineStr">
        <is>
          <t>Yes</t>
        </is>
      </c>
      <c r="AT234">
        <f>HYPERLINK("http://catalog.hathitrust.org/Record/008306616","HathiTrust Record")</f>
        <v/>
      </c>
      <c r="AU234">
        <f>HYPERLINK("https://creighton-primo.hosted.exlibrisgroup.com/primo-explore/search?tab=default_tab&amp;search_scope=EVERYTHING&amp;vid=01CRU&amp;lang=en_US&amp;offset=0&amp;query=any,contains,991002889109702656","Catalog Record")</f>
        <v/>
      </c>
      <c r="AV234">
        <f>HYPERLINK("http://www.worldcat.org/oclc/38063658","WorldCat Record")</f>
        <v/>
      </c>
      <c r="AW234" t="inlineStr">
        <is>
          <t>980500:eng</t>
        </is>
      </c>
      <c r="AX234" t="inlineStr">
        <is>
          <t>38063658</t>
        </is>
      </c>
      <c r="AY234" t="inlineStr">
        <is>
          <t>991002889109702656</t>
        </is>
      </c>
      <c r="AZ234" t="inlineStr">
        <is>
          <t>991002889109702656</t>
        </is>
      </c>
      <c r="BA234" t="inlineStr">
        <is>
          <t>2262556420002656</t>
        </is>
      </c>
      <c r="BB234" t="inlineStr">
        <is>
          <t>BOOK</t>
        </is>
      </c>
      <c r="BD234" t="inlineStr">
        <is>
          <t>9780879101039</t>
        </is>
      </c>
      <c r="BE234" t="inlineStr">
        <is>
          <t>32285003485132</t>
        </is>
      </c>
      <c r="BF234" t="inlineStr">
        <is>
          <t>893774150</t>
        </is>
      </c>
    </row>
    <row r="235">
      <c r="B235" t="inlineStr">
        <is>
          <t>CURAL</t>
        </is>
      </c>
      <c r="C235" t="inlineStr">
        <is>
          <t>SHELVES</t>
        </is>
      </c>
      <c r="D235" t="inlineStr">
        <is>
          <t>KF4300 .R3 1970</t>
        </is>
      </c>
      <c r="E235" t="inlineStr">
        <is>
          <t>0                      KF 4300000R  3           1970</t>
        </is>
      </c>
      <c r="F235" t="inlineStr">
        <is>
          <t>Censorship of the movies : the social and political control of a mass medium / [by] Richard S. Randall.</t>
        </is>
      </c>
      <c r="H235" t="inlineStr">
        <is>
          <t>No</t>
        </is>
      </c>
      <c r="I235" t="inlineStr">
        <is>
          <t>1</t>
        </is>
      </c>
      <c r="J235" t="inlineStr">
        <is>
          <t>No</t>
        </is>
      </c>
      <c r="K235" t="inlineStr">
        <is>
          <t>Yes</t>
        </is>
      </c>
      <c r="L235" t="inlineStr">
        <is>
          <t>0</t>
        </is>
      </c>
      <c r="M235" t="inlineStr">
        <is>
          <t>Randall, Richard S.</t>
        </is>
      </c>
      <c r="N235" t="inlineStr">
        <is>
          <t>Madison : University of Wisconsin Press, [1970]</t>
        </is>
      </c>
      <c r="O235" t="inlineStr">
        <is>
          <t>1970</t>
        </is>
      </c>
      <c r="Q235" t="inlineStr">
        <is>
          <t>eng</t>
        </is>
      </c>
      <c r="R235" t="inlineStr">
        <is>
          <t>wiu</t>
        </is>
      </c>
      <c r="T235" t="inlineStr">
        <is>
          <t xml:space="preserve">KF </t>
        </is>
      </c>
      <c r="U235" t="n">
        <v>1</v>
      </c>
      <c r="V235" t="n">
        <v>1</v>
      </c>
      <c r="W235" t="inlineStr">
        <is>
          <t>2002-01-15</t>
        </is>
      </c>
      <c r="X235" t="inlineStr">
        <is>
          <t>2002-01-15</t>
        </is>
      </c>
      <c r="Y235" t="inlineStr">
        <is>
          <t>2002-01-14</t>
        </is>
      </c>
      <c r="Z235" t="inlineStr">
        <is>
          <t>2002-01-14</t>
        </is>
      </c>
      <c r="AA235" t="n">
        <v>130</v>
      </c>
      <c r="AB235" t="n">
        <v>112</v>
      </c>
      <c r="AC235" t="n">
        <v>1200</v>
      </c>
      <c r="AD235" t="n">
        <v>1</v>
      </c>
      <c r="AE235" t="n">
        <v>10</v>
      </c>
      <c r="AF235" t="n">
        <v>6</v>
      </c>
      <c r="AG235" t="n">
        <v>61</v>
      </c>
      <c r="AH235" t="n">
        <v>4</v>
      </c>
      <c r="AI235" t="n">
        <v>24</v>
      </c>
      <c r="AJ235" t="n">
        <v>1</v>
      </c>
      <c r="AK235" t="n">
        <v>9</v>
      </c>
      <c r="AL235" t="n">
        <v>0</v>
      </c>
      <c r="AM235" t="n">
        <v>17</v>
      </c>
      <c r="AN235" t="n">
        <v>0</v>
      </c>
      <c r="AO235" t="n">
        <v>7</v>
      </c>
      <c r="AP235" t="n">
        <v>1</v>
      </c>
      <c r="AQ235" t="n">
        <v>15</v>
      </c>
      <c r="AR235" t="inlineStr">
        <is>
          <t>No</t>
        </is>
      </c>
      <c r="AS235" t="inlineStr">
        <is>
          <t>No</t>
        </is>
      </c>
      <c r="AU235">
        <f>HYPERLINK("https://creighton-primo.hosted.exlibrisgroup.com/primo-explore/search?tab=default_tab&amp;search_scope=EVERYTHING&amp;vid=01CRU&amp;lang=en_US&amp;offset=0&amp;query=any,contains,991003711179702656","Catalog Record")</f>
        <v/>
      </c>
      <c r="AV235">
        <f>HYPERLINK("http://www.worldcat.org/oclc/152168","WorldCat Record")</f>
        <v/>
      </c>
      <c r="AW235" t="inlineStr">
        <is>
          <t>836618815:eng</t>
        </is>
      </c>
      <c r="AX235" t="inlineStr">
        <is>
          <t>152168</t>
        </is>
      </c>
      <c r="AY235" t="inlineStr">
        <is>
          <t>991003711179702656</t>
        </is>
      </c>
      <c r="AZ235" t="inlineStr">
        <is>
          <t>991003711179702656</t>
        </is>
      </c>
      <c r="BA235" t="inlineStr">
        <is>
          <t>2271831890002656</t>
        </is>
      </c>
      <c r="BB235" t="inlineStr">
        <is>
          <t>BOOK</t>
        </is>
      </c>
      <c r="BD235" t="inlineStr">
        <is>
          <t>9780299047344</t>
        </is>
      </c>
      <c r="BE235" t="inlineStr">
        <is>
          <t>32285004448261</t>
        </is>
      </c>
      <c r="BF235" t="inlineStr">
        <is>
          <t>893441614</t>
        </is>
      </c>
    </row>
    <row r="236">
      <c r="B236" t="inlineStr">
        <is>
          <t>CURAL</t>
        </is>
      </c>
      <c r="C236" t="inlineStr">
        <is>
          <t>SHELVES</t>
        </is>
      </c>
      <c r="D236" t="inlineStr">
        <is>
          <t>KF4502 .O73 1986</t>
        </is>
      </c>
      <c r="E236" t="inlineStr">
        <is>
          <t>0                      KF 4502000O  73          1986</t>
        </is>
      </c>
      <c r="F236" t="inlineStr">
        <is>
          <t>The Origins of the American Constitution : a documentary history / edited with an introduction by Michael Kammen.</t>
        </is>
      </c>
      <c r="H236" t="inlineStr">
        <is>
          <t>No</t>
        </is>
      </c>
      <c r="I236" t="inlineStr">
        <is>
          <t>1</t>
        </is>
      </c>
      <c r="J236" t="inlineStr">
        <is>
          <t>No</t>
        </is>
      </c>
      <c r="K236" t="inlineStr">
        <is>
          <t>No</t>
        </is>
      </c>
      <c r="L236" t="inlineStr">
        <is>
          <t>0</t>
        </is>
      </c>
      <c r="N236" t="inlineStr">
        <is>
          <t>New York, NY : Penguin, c1986, 1987 printing.</t>
        </is>
      </c>
      <c r="O236" t="inlineStr">
        <is>
          <t>1986</t>
        </is>
      </c>
      <c r="Q236" t="inlineStr">
        <is>
          <t>eng</t>
        </is>
      </c>
      <c r="R236" t="inlineStr">
        <is>
          <t>nyu</t>
        </is>
      </c>
      <c r="T236" t="inlineStr">
        <is>
          <t xml:space="preserve">KF </t>
        </is>
      </c>
      <c r="U236" t="n">
        <v>5</v>
      </c>
      <c r="V236" t="n">
        <v>5</v>
      </c>
      <c r="W236" t="inlineStr">
        <is>
          <t>2007-02-03</t>
        </is>
      </c>
      <c r="X236" t="inlineStr">
        <is>
          <t>2007-02-03</t>
        </is>
      </c>
      <c r="Y236" t="inlineStr">
        <is>
          <t>1991-12-13</t>
        </is>
      </c>
      <c r="Z236" t="inlineStr">
        <is>
          <t>1991-12-13</t>
        </is>
      </c>
      <c r="AA236" t="n">
        <v>1152</v>
      </c>
      <c r="AB236" t="n">
        <v>1083</v>
      </c>
      <c r="AC236" t="n">
        <v>1090</v>
      </c>
      <c r="AD236" t="n">
        <v>4</v>
      </c>
      <c r="AE236" t="n">
        <v>4</v>
      </c>
      <c r="AF236" t="n">
        <v>32</v>
      </c>
      <c r="AG236" t="n">
        <v>32</v>
      </c>
      <c r="AH236" t="n">
        <v>11</v>
      </c>
      <c r="AI236" t="n">
        <v>11</v>
      </c>
      <c r="AJ236" t="n">
        <v>5</v>
      </c>
      <c r="AK236" t="n">
        <v>5</v>
      </c>
      <c r="AL236" t="n">
        <v>11</v>
      </c>
      <c r="AM236" t="n">
        <v>11</v>
      </c>
      <c r="AN236" t="n">
        <v>2</v>
      </c>
      <c r="AO236" t="n">
        <v>2</v>
      </c>
      <c r="AP236" t="n">
        <v>9</v>
      </c>
      <c r="AQ236" t="n">
        <v>9</v>
      </c>
      <c r="AR236" t="inlineStr">
        <is>
          <t>No</t>
        </is>
      </c>
      <c r="AS236" t="inlineStr">
        <is>
          <t>Yes</t>
        </is>
      </c>
      <c r="AT236">
        <f>HYPERLINK("http://catalog.hathitrust.org/Record/000806864","HathiTrust Record")</f>
        <v/>
      </c>
      <c r="AU236">
        <f>HYPERLINK("https://creighton-primo.hosted.exlibrisgroup.com/primo-explore/search?tab=default_tab&amp;search_scope=EVERYTHING&amp;vid=01CRU&amp;lang=en_US&amp;offset=0&amp;query=any,contains,991000826309702656","Catalog Record")</f>
        <v/>
      </c>
      <c r="AV236">
        <f>HYPERLINK("http://www.worldcat.org/oclc/13423503","WorldCat Record")</f>
        <v/>
      </c>
      <c r="AW236" t="inlineStr">
        <is>
          <t>54806567:eng</t>
        </is>
      </c>
      <c r="AX236" t="inlineStr">
        <is>
          <t>13423503</t>
        </is>
      </c>
      <c r="AY236" t="inlineStr">
        <is>
          <t>991000826309702656</t>
        </is>
      </c>
      <c r="AZ236" t="inlineStr">
        <is>
          <t>991000826309702656</t>
        </is>
      </c>
      <c r="BA236" t="inlineStr">
        <is>
          <t>2266053590002656</t>
        </is>
      </c>
      <c r="BB236" t="inlineStr">
        <is>
          <t>BOOK</t>
        </is>
      </c>
      <c r="BD236" t="inlineStr">
        <is>
          <t>9780140087444</t>
        </is>
      </c>
      <c r="BE236" t="inlineStr">
        <is>
          <t>32285000900950</t>
        </is>
      </c>
      <c r="BF236" t="inlineStr">
        <is>
          <t>893496591</t>
        </is>
      </c>
    </row>
    <row r="237">
      <c r="B237" t="inlineStr">
        <is>
          <t>CURAL</t>
        </is>
      </c>
      <c r="C237" t="inlineStr">
        <is>
          <t>SHELVES</t>
        </is>
      </c>
      <c r="D237" t="inlineStr">
        <is>
          <t>KF4515 .A44 1987</t>
        </is>
      </c>
      <c r="E237" t="inlineStr">
        <is>
          <t>0                      KF 4515000A  44          1987</t>
        </is>
      </c>
      <c r="F237" t="inlineStr">
        <is>
          <t>The American Constitution--for and against : the Federalist and anti-Federalist papers / selected and edited, with an introduction, by J.R. Pole.</t>
        </is>
      </c>
      <c r="H237" t="inlineStr">
        <is>
          <t>No</t>
        </is>
      </c>
      <c r="I237" t="inlineStr">
        <is>
          <t>1</t>
        </is>
      </c>
      <c r="J237" t="inlineStr">
        <is>
          <t>No</t>
        </is>
      </c>
      <c r="K237" t="inlineStr">
        <is>
          <t>No</t>
        </is>
      </c>
      <c r="L237" t="inlineStr">
        <is>
          <t>0</t>
        </is>
      </c>
      <c r="N237" t="inlineStr">
        <is>
          <t>New York : Hill and Wang, 1987.</t>
        </is>
      </c>
      <c r="O237" t="inlineStr">
        <is>
          <t>1987</t>
        </is>
      </c>
      <c r="P237" t="inlineStr">
        <is>
          <t>1st ed.</t>
        </is>
      </c>
      <c r="Q237" t="inlineStr">
        <is>
          <t>eng</t>
        </is>
      </c>
      <c r="R237" t="inlineStr">
        <is>
          <t>nyu</t>
        </is>
      </c>
      <c r="T237" t="inlineStr">
        <is>
          <t xml:space="preserve">KF </t>
        </is>
      </c>
      <c r="U237" t="n">
        <v>8</v>
      </c>
      <c r="V237" t="n">
        <v>8</v>
      </c>
      <c r="W237" t="inlineStr">
        <is>
          <t>2003-09-11</t>
        </is>
      </c>
      <c r="X237" t="inlineStr">
        <is>
          <t>2003-09-11</t>
        </is>
      </c>
      <c r="Y237" t="inlineStr">
        <is>
          <t>1992-07-07</t>
        </is>
      </c>
      <c r="Z237" t="inlineStr">
        <is>
          <t>1992-07-07</t>
        </is>
      </c>
      <c r="AA237" t="n">
        <v>970</v>
      </c>
      <c r="AB237" t="n">
        <v>922</v>
      </c>
      <c r="AC237" t="n">
        <v>934</v>
      </c>
      <c r="AD237" t="n">
        <v>7</v>
      </c>
      <c r="AE237" t="n">
        <v>7</v>
      </c>
      <c r="AF237" t="n">
        <v>29</v>
      </c>
      <c r="AG237" t="n">
        <v>29</v>
      </c>
      <c r="AH237" t="n">
        <v>5</v>
      </c>
      <c r="AI237" t="n">
        <v>5</v>
      </c>
      <c r="AJ237" t="n">
        <v>4</v>
      </c>
      <c r="AK237" t="n">
        <v>4</v>
      </c>
      <c r="AL237" t="n">
        <v>11</v>
      </c>
      <c r="AM237" t="n">
        <v>11</v>
      </c>
      <c r="AN237" t="n">
        <v>3</v>
      </c>
      <c r="AO237" t="n">
        <v>3</v>
      </c>
      <c r="AP237" t="n">
        <v>11</v>
      </c>
      <c r="AQ237" t="n">
        <v>11</v>
      </c>
      <c r="AR237" t="inlineStr">
        <is>
          <t>No</t>
        </is>
      </c>
      <c r="AS237" t="inlineStr">
        <is>
          <t>No</t>
        </is>
      </c>
      <c r="AU237">
        <f>HYPERLINK("https://creighton-primo.hosted.exlibrisgroup.com/primo-explore/search?tab=default_tab&amp;search_scope=EVERYTHING&amp;vid=01CRU&amp;lang=en_US&amp;offset=0&amp;query=any,contains,991000983969702656","Catalog Record")</f>
        <v/>
      </c>
      <c r="AV237">
        <f>HYPERLINK("http://www.worldcat.org/oclc/15054938","WorldCat Record")</f>
        <v/>
      </c>
      <c r="AW237" t="inlineStr">
        <is>
          <t>993691523:eng</t>
        </is>
      </c>
      <c r="AX237" t="inlineStr">
        <is>
          <t>15054938</t>
        </is>
      </c>
      <c r="AY237" t="inlineStr">
        <is>
          <t>991000983969702656</t>
        </is>
      </c>
      <c r="AZ237" t="inlineStr">
        <is>
          <t>991000983969702656</t>
        </is>
      </c>
      <c r="BA237" t="inlineStr">
        <is>
          <t>2255792750002656</t>
        </is>
      </c>
      <c r="BB237" t="inlineStr">
        <is>
          <t>BOOK</t>
        </is>
      </c>
      <c r="BD237" t="inlineStr">
        <is>
          <t>9780809024667</t>
        </is>
      </c>
      <c r="BE237" t="inlineStr">
        <is>
          <t>32285001177517</t>
        </is>
      </c>
      <c r="BF237" t="inlineStr">
        <is>
          <t>893589921</t>
        </is>
      </c>
    </row>
    <row r="238">
      <c r="B238" t="inlineStr">
        <is>
          <t>CURAL</t>
        </is>
      </c>
      <c r="C238" t="inlineStr">
        <is>
          <t>SHELVES</t>
        </is>
      </c>
      <c r="D238" t="inlineStr">
        <is>
          <t>KF4515 .F44 1989</t>
        </is>
      </c>
      <c r="E238" t="inlineStr">
        <is>
          <t>0                      KF 4515000F  44          1989</t>
        </is>
      </c>
      <c r="F238" t="inlineStr">
        <is>
          <t>Federalists and antifederalists : the debate over the ratification of the Constitution / edited by John P. Kaminski and Richard Leffler.</t>
        </is>
      </c>
      <c r="H238" t="inlineStr">
        <is>
          <t>No</t>
        </is>
      </c>
      <c r="I238" t="inlineStr">
        <is>
          <t>1</t>
        </is>
      </c>
      <c r="J238" t="inlineStr">
        <is>
          <t>No</t>
        </is>
      </c>
      <c r="K238" t="inlineStr">
        <is>
          <t>No</t>
        </is>
      </c>
      <c r="L238" t="inlineStr">
        <is>
          <t>0</t>
        </is>
      </c>
      <c r="N238" t="inlineStr">
        <is>
          <t>Madison : Published for the Center for the Study of the American Constitution [by] Madison House, 1989.</t>
        </is>
      </c>
      <c r="O238" t="inlineStr">
        <is>
          <t>1989</t>
        </is>
      </c>
      <c r="P238" t="inlineStr">
        <is>
          <t>1st ed.</t>
        </is>
      </c>
      <c r="Q238" t="inlineStr">
        <is>
          <t>eng</t>
        </is>
      </c>
      <c r="R238" t="inlineStr">
        <is>
          <t>wiu</t>
        </is>
      </c>
      <c r="S238" t="inlineStr">
        <is>
          <t>Constitutional heritage series, 0895-9633 ; v. 1</t>
        </is>
      </c>
      <c r="T238" t="inlineStr">
        <is>
          <t xml:space="preserve">KF </t>
        </is>
      </c>
      <c r="U238" t="n">
        <v>10</v>
      </c>
      <c r="V238" t="n">
        <v>10</v>
      </c>
      <c r="W238" t="inlineStr">
        <is>
          <t>2010-02-15</t>
        </is>
      </c>
      <c r="X238" t="inlineStr">
        <is>
          <t>2010-02-15</t>
        </is>
      </c>
      <c r="Y238" t="inlineStr">
        <is>
          <t>1989-10-24</t>
        </is>
      </c>
      <c r="Z238" t="inlineStr">
        <is>
          <t>1989-10-24</t>
        </is>
      </c>
      <c r="AA238" t="n">
        <v>621</v>
      </c>
      <c r="AB238" t="n">
        <v>567</v>
      </c>
      <c r="AC238" t="n">
        <v>782</v>
      </c>
      <c r="AD238" t="n">
        <v>4</v>
      </c>
      <c r="AE238" t="n">
        <v>4</v>
      </c>
      <c r="AF238" t="n">
        <v>34</v>
      </c>
      <c r="AG238" t="n">
        <v>45</v>
      </c>
      <c r="AH238" t="n">
        <v>7</v>
      </c>
      <c r="AI238" t="n">
        <v>12</v>
      </c>
      <c r="AJ238" t="n">
        <v>6</v>
      </c>
      <c r="AK238" t="n">
        <v>7</v>
      </c>
      <c r="AL238" t="n">
        <v>11</v>
      </c>
      <c r="AM238" t="n">
        <v>16</v>
      </c>
      <c r="AN238" t="n">
        <v>3</v>
      </c>
      <c r="AO238" t="n">
        <v>3</v>
      </c>
      <c r="AP238" t="n">
        <v>14</v>
      </c>
      <c r="AQ238" t="n">
        <v>17</v>
      </c>
      <c r="AR238" t="inlineStr">
        <is>
          <t>No</t>
        </is>
      </c>
      <c r="AS238" t="inlineStr">
        <is>
          <t>Yes</t>
        </is>
      </c>
      <c r="AT238">
        <f>HYPERLINK("http://catalog.hathitrust.org/Record/006217257","HathiTrust Record")</f>
        <v/>
      </c>
      <c r="AU238">
        <f>HYPERLINK("https://creighton-primo.hosted.exlibrisgroup.com/primo-explore/search?tab=default_tab&amp;search_scope=EVERYTHING&amp;vid=01CRU&amp;lang=en_US&amp;offset=0&amp;query=any,contains,991001283589702656","Catalog Record")</f>
        <v/>
      </c>
      <c r="AV238">
        <f>HYPERLINK("http://www.worldcat.org/oclc/17951429","WorldCat Record")</f>
        <v/>
      </c>
      <c r="AW238" t="inlineStr">
        <is>
          <t>350535680:eng</t>
        </is>
      </c>
      <c r="AX238" t="inlineStr">
        <is>
          <t>17951429</t>
        </is>
      </c>
      <c r="AY238" t="inlineStr">
        <is>
          <t>991001283589702656</t>
        </is>
      </c>
      <c r="AZ238" t="inlineStr">
        <is>
          <t>991001283589702656</t>
        </is>
      </c>
      <c r="BA238" t="inlineStr">
        <is>
          <t>2271053000002656</t>
        </is>
      </c>
      <c r="BB238" t="inlineStr">
        <is>
          <t>BOOK</t>
        </is>
      </c>
      <c r="BD238" t="inlineStr">
        <is>
          <t>9780945612001</t>
        </is>
      </c>
      <c r="BE238" t="inlineStr">
        <is>
          <t>32285000010404</t>
        </is>
      </c>
      <c r="BF238" t="inlineStr">
        <is>
          <t>893885208</t>
        </is>
      </c>
    </row>
    <row r="239">
      <c r="B239" t="inlineStr">
        <is>
          <t>CURAL</t>
        </is>
      </c>
      <c r="C239" t="inlineStr">
        <is>
          <t>SHELVES</t>
        </is>
      </c>
      <c r="D239" t="inlineStr">
        <is>
          <t>KF4520 .B37 1987</t>
        </is>
      </c>
      <c r="E239" t="inlineStr">
        <is>
          <t>0                      KF 4520000B  37          1987</t>
        </is>
      </c>
      <c r="F239" t="inlineStr">
        <is>
          <t>The founding : a dramatic account of the writing of the Constitution / Fred Barbash.</t>
        </is>
      </c>
      <c r="H239" t="inlineStr">
        <is>
          <t>No</t>
        </is>
      </c>
      <c r="I239" t="inlineStr">
        <is>
          <t>1</t>
        </is>
      </c>
      <c r="J239" t="inlineStr">
        <is>
          <t>No</t>
        </is>
      </c>
      <c r="K239" t="inlineStr">
        <is>
          <t>No</t>
        </is>
      </c>
      <c r="L239" t="inlineStr">
        <is>
          <t>0</t>
        </is>
      </c>
      <c r="M239" t="inlineStr">
        <is>
          <t>Barbash, Fred.</t>
        </is>
      </c>
      <c r="N239" t="inlineStr">
        <is>
          <t>New York, N.Y. : Linden Press/Simon and Schuster, 1987.</t>
        </is>
      </c>
      <c r="O239" t="inlineStr">
        <is>
          <t>1987</t>
        </is>
      </c>
      <c r="Q239" t="inlineStr">
        <is>
          <t>eng</t>
        </is>
      </c>
      <c r="R239" t="inlineStr">
        <is>
          <t>nyu</t>
        </is>
      </c>
      <c r="T239" t="inlineStr">
        <is>
          <t xml:space="preserve">KF </t>
        </is>
      </c>
      <c r="U239" t="n">
        <v>4</v>
      </c>
      <c r="V239" t="n">
        <v>4</v>
      </c>
      <c r="W239" t="inlineStr">
        <is>
          <t>2004-04-01</t>
        </is>
      </c>
      <c r="X239" t="inlineStr">
        <is>
          <t>2004-04-01</t>
        </is>
      </c>
      <c r="Y239" t="inlineStr">
        <is>
          <t>1990-04-17</t>
        </is>
      </c>
      <c r="Z239" t="inlineStr">
        <is>
          <t>1990-04-17</t>
        </is>
      </c>
      <c r="AA239" t="n">
        <v>1068</v>
      </c>
      <c r="AB239" t="n">
        <v>1043</v>
      </c>
      <c r="AC239" t="n">
        <v>1050</v>
      </c>
      <c r="AD239" t="n">
        <v>9</v>
      </c>
      <c r="AE239" t="n">
        <v>9</v>
      </c>
      <c r="AF239" t="n">
        <v>28</v>
      </c>
      <c r="AG239" t="n">
        <v>28</v>
      </c>
      <c r="AH239" t="n">
        <v>6</v>
      </c>
      <c r="AI239" t="n">
        <v>6</v>
      </c>
      <c r="AJ239" t="n">
        <v>4</v>
      </c>
      <c r="AK239" t="n">
        <v>4</v>
      </c>
      <c r="AL239" t="n">
        <v>9</v>
      </c>
      <c r="AM239" t="n">
        <v>9</v>
      </c>
      <c r="AN239" t="n">
        <v>2</v>
      </c>
      <c r="AO239" t="n">
        <v>2</v>
      </c>
      <c r="AP239" t="n">
        <v>11</v>
      </c>
      <c r="AQ239" t="n">
        <v>11</v>
      </c>
      <c r="AR239" t="inlineStr">
        <is>
          <t>No</t>
        </is>
      </c>
      <c r="AS239" t="inlineStr">
        <is>
          <t>Yes</t>
        </is>
      </c>
      <c r="AT239">
        <f>HYPERLINK("http://catalog.hathitrust.org/Record/000825297","HathiTrust Record")</f>
        <v/>
      </c>
      <c r="AU239">
        <f>HYPERLINK("https://creighton-primo.hosted.exlibrisgroup.com/primo-explore/search?tab=default_tab&amp;search_scope=EVERYTHING&amp;vid=01CRU&amp;lang=en_US&amp;offset=0&amp;query=any,contains,991001011199702656","Catalog Record")</f>
        <v/>
      </c>
      <c r="AV239">
        <f>HYPERLINK("http://www.worldcat.org/oclc/15283707","WorldCat Record")</f>
        <v/>
      </c>
      <c r="AW239" t="inlineStr">
        <is>
          <t>10143141465:eng</t>
        </is>
      </c>
      <c r="AX239" t="inlineStr">
        <is>
          <t>15283707</t>
        </is>
      </c>
      <c r="AY239" t="inlineStr">
        <is>
          <t>991001011199702656</t>
        </is>
      </c>
      <c r="AZ239" t="inlineStr">
        <is>
          <t>991001011199702656</t>
        </is>
      </c>
      <c r="BA239" t="inlineStr">
        <is>
          <t>2264417380002656</t>
        </is>
      </c>
      <c r="BB239" t="inlineStr">
        <is>
          <t>BOOK</t>
        </is>
      </c>
      <c r="BD239" t="inlineStr">
        <is>
          <t>9780671552565</t>
        </is>
      </c>
      <c r="BE239" t="inlineStr">
        <is>
          <t>32285000121342</t>
        </is>
      </c>
      <c r="BF239" t="inlineStr">
        <is>
          <t>893589946</t>
        </is>
      </c>
    </row>
    <row r="240">
      <c r="B240" t="inlineStr">
        <is>
          <t>CURAL</t>
        </is>
      </c>
      <c r="C240" t="inlineStr">
        <is>
          <t>SHELVES</t>
        </is>
      </c>
      <c r="D240" t="inlineStr">
        <is>
          <t>KF4520 .C87</t>
        </is>
      </c>
      <c r="E240" t="inlineStr">
        <is>
          <t>0                      KF 4520000C  87</t>
        </is>
      </c>
      <c r="F240" t="inlineStr">
        <is>
          <t>History of the origin, formation, and adoption of the Constitution of the United States; with notices of its principal framers. By George Ticknor Curtis.</t>
        </is>
      </c>
      <c r="G240" t="inlineStr">
        <is>
          <t>V.2</t>
        </is>
      </c>
      <c r="H240" t="inlineStr">
        <is>
          <t>Yes</t>
        </is>
      </c>
      <c r="I240" t="inlineStr">
        <is>
          <t>1</t>
        </is>
      </c>
      <c r="J240" t="inlineStr">
        <is>
          <t>No</t>
        </is>
      </c>
      <c r="K240" t="inlineStr">
        <is>
          <t>No</t>
        </is>
      </c>
      <c r="L240" t="inlineStr">
        <is>
          <t>0</t>
        </is>
      </c>
      <c r="M240" t="inlineStr">
        <is>
          <t>Curtis, George Ticknor, 1812-1894.</t>
        </is>
      </c>
      <c r="N240" t="inlineStr">
        <is>
          <t>New York, Harper and Brothers, 1861.</t>
        </is>
      </c>
      <c r="O240" t="inlineStr">
        <is>
          <t>1861</t>
        </is>
      </c>
      <c r="Q240" t="inlineStr">
        <is>
          <t>eng</t>
        </is>
      </c>
      <c r="R240" t="inlineStr">
        <is>
          <t>nyu</t>
        </is>
      </c>
      <c r="T240" t="inlineStr">
        <is>
          <t xml:space="preserve">KF </t>
        </is>
      </c>
      <c r="U240" t="n">
        <v>6</v>
      </c>
      <c r="V240" t="n">
        <v>8</v>
      </c>
      <c r="W240" t="inlineStr">
        <is>
          <t>2005-02-12</t>
        </is>
      </c>
      <c r="X240" t="inlineStr">
        <is>
          <t>2005-02-12</t>
        </is>
      </c>
      <c r="Y240" t="inlineStr">
        <is>
          <t>1991-12-10</t>
        </is>
      </c>
      <c r="Z240" t="inlineStr">
        <is>
          <t>1997-09-04</t>
        </is>
      </c>
      <c r="AA240" t="n">
        <v>28</v>
      </c>
      <c r="AB240" t="n">
        <v>25</v>
      </c>
      <c r="AC240" t="n">
        <v>660</v>
      </c>
      <c r="AD240" t="n">
        <v>1</v>
      </c>
      <c r="AE240" t="n">
        <v>8</v>
      </c>
      <c r="AF240" t="n">
        <v>1</v>
      </c>
      <c r="AG240" t="n">
        <v>48</v>
      </c>
      <c r="AH240" t="n">
        <v>0</v>
      </c>
      <c r="AI240" t="n">
        <v>9</v>
      </c>
      <c r="AJ240" t="n">
        <v>0</v>
      </c>
      <c r="AK240" t="n">
        <v>6</v>
      </c>
      <c r="AL240" t="n">
        <v>0</v>
      </c>
      <c r="AM240" t="n">
        <v>11</v>
      </c>
      <c r="AN240" t="n">
        <v>0</v>
      </c>
      <c r="AO240" t="n">
        <v>5</v>
      </c>
      <c r="AP240" t="n">
        <v>1</v>
      </c>
      <c r="AQ240" t="n">
        <v>21</v>
      </c>
      <c r="AR240" t="inlineStr">
        <is>
          <t>Yes</t>
        </is>
      </c>
      <c r="AS240" t="inlineStr">
        <is>
          <t>No</t>
        </is>
      </c>
      <c r="AT240">
        <f>HYPERLINK("http://catalog.hathitrust.org/Record/007647096","HathiTrust Record")</f>
        <v/>
      </c>
      <c r="AU240">
        <f>HYPERLINK("https://creighton-primo.hosted.exlibrisgroup.com/primo-explore/search?tab=default_tab&amp;search_scope=EVERYTHING&amp;vid=01CRU&amp;lang=en_US&amp;offset=0&amp;query=any,contains,991005178549702656","Catalog Record")</f>
        <v/>
      </c>
      <c r="AV240">
        <f>HYPERLINK("http://www.worldcat.org/oclc/7927691","WorldCat Record")</f>
        <v/>
      </c>
      <c r="AW240" t="inlineStr">
        <is>
          <t>1108218:eng</t>
        </is>
      </c>
      <c r="AX240" t="inlineStr">
        <is>
          <t>7927691</t>
        </is>
      </c>
      <c r="AY240" t="inlineStr">
        <is>
          <t>991005178549702656</t>
        </is>
      </c>
      <c r="AZ240" t="inlineStr">
        <is>
          <t>991005178549702656</t>
        </is>
      </c>
      <c r="BA240" t="inlineStr">
        <is>
          <t>2267312960002656</t>
        </is>
      </c>
      <c r="BB240" t="inlineStr">
        <is>
          <t>BOOK</t>
        </is>
      </c>
      <c r="BE240" t="inlineStr">
        <is>
          <t>32285000838994</t>
        </is>
      </c>
      <c r="BF240" t="inlineStr">
        <is>
          <t>893527048</t>
        </is>
      </c>
    </row>
    <row r="241">
      <c r="B241" t="inlineStr">
        <is>
          <t>CURAL</t>
        </is>
      </c>
      <c r="C241" t="inlineStr">
        <is>
          <t>SHELVES</t>
        </is>
      </c>
      <c r="D241" t="inlineStr">
        <is>
          <t>KF4520 .C87</t>
        </is>
      </c>
      <c r="E241" t="inlineStr">
        <is>
          <t>0                      KF 4520000C  87</t>
        </is>
      </c>
      <c r="F241" t="inlineStr">
        <is>
          <t>History of the origin, formation, and adoption of the Constitution of the United States; with notices of its principal framers. By George Ticknor Curtis.</t>
        </is>
      </c>
      <c r="G241" t="inlineStr">
        <is>
          <t>V.1</t>
        </is>
      </c>
      <c r="H241" t="inlineStr">
        <is>
          <t>Yes</t>
        </is>
      </c>
      <c r="I241" t="inlineStr">
        <is>
          <t>1</t>
        </is>
      </c>
      <c r="J241" t="inlineStr">
        <is>
          <t>No</t>
        </is>
      </c>
      <c r="K241" t="inlineStr">
        <is>
          <t>No</t>
        </is>
      </c>
      <c r="L241" t="inlineStr">
        <is>
          <t>0</t>
        </is>
      </c>
      <c r="M241" t="inlineStr">
        <is>
          <t>Curtis, George Ticknor, 1812-1894.</t>
        </is>
      </c>
      <c r="N241" t="inlineStr">
        <is>
          <t>New York, Harper and Brothers, 1861.</t>
        </is>
      </c>
      <c r="O241" t="inlineStr">
        <is>
          <t>1861</t>
        </is>
      </c>
      <c r="Q241" t="inlineStr">
        <is>
          <t>eng</t>
        </is>
      </c>
      <c r="R241" t="inlineStr">
        <is>
          <t>nyu</t>
        </is>
      </c>
      <c r="T241" t="inlineStr">
        <is>
          <t xml:space="preserve">KF </t>
        </is>
      </c>
      <c r="U241" t="n">
        <v>2</v>
      </c>
      <c r="V241" t="n">
        <v>8</v>
      </c>
      <c r="X241" t="inlineStr">
        <is>
          <t>2005-02-12</t>
        </is>
      </c>
      <c r="Y241" t="inlineStr">
        <is>
          <t>1997-09-04</t>
        </is>
      </c>
      <c r="Z241" t="inlineStr">
        <is>
          <t>1997-09-04</t>
        </is>
      </c>
      <c r="AA241" t="n">
        <v>28</v>
      </c>
      <c r="AB241" t="n">
        <v>25</v>
      </c>
      <c r="AC241" t="n">
        <v>660</v>
      </c>
      <c r="AD241" t="n">
        <v>1</v>
      </c>
      <c r="AE241" t="n">
        <v>8</v>
      </c>
      <c r="AF241" t="n">
        <v>1</v>
      </c>
      <c r="AG241" t="n">
        <v>48</v>
      </c>
      <c r="AH241" t="n">
        <v>0</v>
      </c>
      <c r="AI241" t="n">
        <v>9</v>
      </c>
      <c r="AJ241" t="n">
        <v>0</v>
      </c>
      <c r="AK241" t="n">
        <v>6</v>
      </c>
      <c r="AL241" t="n">
        <v>0</v>
      </c>
      <c r="AM241" t="n">
        <v>11</v>
      </c>
      <c r="AN241" t="n">
        <v>0</v>
      </c>
      <c r="AO241" t="n">
        <v>5</v>
      </c>
      <c r="AP241" t="n">
        <v>1</v>
      </c>
      <c r="AQ241" t="n">
        <v>21</v>
      </c>
      <c r="AR241" t="inlineStr">
        <is>
          <t>Yes</t>
        </is>
      </c>
      <c r="AS241" t="inlineStr">
        <is>
          <t>No</t>
        </is>
      </c>
      <c r="AT241">
        <f>HYPERLINK("http://catalog.hathitrust.org/Record/007647096","HathiTrust Record")</f>
        <v/>
      </c>
      <c r="AU241">
        <f>HYPERLINK("https://creighton-primo.hosted.exlibrisgroup.com/primo-explore/search?tab=default_tab&amp;search_scope=EVERYTHING&amp;vid=01CRU&amp;lang=en_US&amp;offset=0&amp;query=any,contains,991005178549702656","Catalog Record")</f>
        <v/>
      </c>
      <c r="AV241">
        <f>HYPERLINK("http://www.worldcat.org/oclc/7927691","WorldCat Record")</f>
        <v/>
      </c>
      <c r="AW241" t="inlineStr">
        <is>
          <t>1108218:eng</t>
        </is>
      </c>
      <c r="AX241" t="inlineStr">
        <is>
          <t>7927691</t>
        </is>
      </c>
      <c r="AY241" t="inlineStr">
        <is>
          <t>991005178549702656</t>
        </is>
      </c>
      <c r="AZ241" t="inlineStr">
        <is>
          <t>991005178549702656</t>
        </is>
      </c>
      <c r="BA241" t="inlineStr">
        <is>
          <t>2267312960002656</t>
        </is>
      </c>
      <c r="BB241" t="inlineStr">
        <is>
          <t>BOOK</t>
        </is>
      </c>
      <c r="BE241" t="inlineStr">
        <is>
          <t>32285003162137</t>
        </is>
      </c>
      <c r="BF241" t="inlineStr">
        <is>
          <t>893507735</t>
        </is>
      </c>
    </row>
    <row r="242">
      <c r="B242" t="inlineStr">
        <is>
          <t>CURAL</t>
        </is>
      </c>
      <c r="C242" t="inlineStr">
        <is>
          <t>SHELVES</t>
        </is>
      </c>
      <c r="D242" t="inlineStr">
        <is>
          <t>KF4520 .J55 1988</t>
        </is>
      </c>
      <c r="E242" t="inlineStr">
        <is>
          <t>0                      KF 4520000J  55          1988</t>
        </is>
      </c>
      <c r="F242" t="inlineStr">
        <is>
          <t>Constitution making : conflict and consensus in the Federal Convention of 1787 / Calvin C. Jillson.</t>
        </is>
      </c>
      <c r="H242" t="inlineStr">
        <is>
          <t>No</t>
        </is>
      </c>
      <c r="I242" t="inlineStr">
        <is>
          <t>1</t>
        </is>
      </c>
      <c r="J242" t="inlineStr">
        <is>
          <t>No</t>
        </is>
      </c>
      <c r="K242" t="inlineStr">
        <is>
          <t>No</t>
        </is>
      </c>
      <c r="L242" t="inlineStr">
        <is>
          <t>0</t>
        </is>
      </c>
      <c r="M242" t="inlineStr">
        <is>
          <t>Jillson, Calvin C., 1949-</t>
        </is>
      </c>
      <c r="N242" t="inlineStr">
        <is>
          <t>New York : Agathon Press, c1988.</t>
        </is>
      </c>
      <c r="O242" t="inlineStr">
        <is>
          <t>1988</t>
        </is>
      </c>
      <c r="Q242" t="inlineStr">
        <is>
          <t>eng</t>
        </is>
      </c>
      <c r="R242" t="inlineStr">
        <is>
          <t>nyu</t>
        </is>
      </c>
      <c r="T242" t="inlineStr">
        <is>
          <t xml:space="preserve">KF </t>
        </is>
      </c>
      <c r="U242" t="n">
        <v>6</v>
      </c>
      <c r="V242" t="n">
        <v>6</v>
      </c>
      <c r="W242" t="inlineStr">
        <is>
          <t>2008-10-15</t>
        </is>
      </c>
      <c r="X242" t="inlineStr">
        <is>
          <t>2008-10-15</t>
        </is>
      </c>
      <c r="Y242" t="inlineStr">
        <is>
          <t>1989-12-29</t>
        </is>
      </c>
      <c r="Z242" t="inlineStr">
        <is>
          <t>1989-12-29</t>
        </is>
      </c>
      <c r="AA242" t="n">
        <v>397</v>
      </c>
      <c r="AB242" t="n">
        <v>359</v>
      </c>
      <c r="AC242" t="n">
        <v>1512</v>
      </c>
      <c r="AD242" t="n">
        <v>2</v>
      </c>
      <c r="AE242" t="n">
        <v>32</v>
      </c>
      <c r="AF242" t="n">
        <v>19</v>
      </c>
      <c r="AG242" t="n">
        <v>60</v>
      </c>
      <c r="AH242" t="n">
        <v>7</v>
      </c>
      <c r="AI242" t="n">
        <v>17</v>
      </c>
      <c r="AJ242" t="n">
        <v>3</v>
      </c>
      <c r="AK242" t="n">
        <v>10</v>
      </c>
      <c r="AL242" t="n">
        <v>4</v>
      </c>
      <c r="AM242" t="n">
        <v>16</v>
      </c>
      <c r="AN242" t="n">
        <v>1</v>
      </c>
      <c r="AO242" t="n">
        <v>16</v>
      </c>
      <c r="AP242" t="n">
        <v>6</v>
      </c>
      <c r="AQ242" t="n">
        <v>10</v>
      </c>
      <c r="AR242" t="inlineStr">
        <is>
          <t>No</t>
        </is>
      </c>
      <c r="AS242" t="inlineStr">
        <is>
          <t>No</t>
        </is>
      </c>
      <c r="AU242">
        <f>HYPERLINK("https://creighton-primo.hosted.exlibrisgroup.com/primo-explore/search?tab=default_tab&amp;search_scope=EVERYTHING&amp;vid=01CRU&amp;lang=en_US&amp;offset=0&amp;query=any,contains,991001153189702656","Catalog Record")</f>
        <v/>
      </c>
      <c r="AV242">
        <f>HYPERLINK("http://www.worldcat.org/oclc/16831446","WorldCat Record")</f>
        <v/>
      </c>
      <c r="AW242" t="inlineStr">
        <is>
          <t>10630806:eng</t>
        </is>
      </c>
      <c r="AX242" t="inlineStr">
        <is>
          <t>16831446</t>
        </is>
      </c>
      <c r="AY242" t="inlineStr">
        <is>
          <t>991001153189702656</t>
        </is>
      </c>
      <c r="AZ242" t="inlineStr">
        <is>
          <t>991001153189702656</t>
        </is>
      </c>
      <c r="BA242" t="inlineStr">
        <is>
          <t>2255898260002656</t>
        </is>
      </c>
      <c r="BB242" t="inlineStr">
        <is>
          <t>BOOK</t>
        </is>
      </c>
      <c r="BD242" t="inlineStr">
        <is>
          <t>9780875860824</t>
        </is>
      </c>
      <c r="BE242" t="inlineStr">
        <is>
          <t>32285000019900</t>
        </is>
      </c>
      <c r="BF242" t="inlineStr">
        <is>
          <t>893420119</t>
        </is>
      </c>
    </row>
    <row r="243">
      <c r="B243" t="inlineStr">
        <is>
          <t>CURAL</t>
        </is>
      </c>
      <c r="C243" t="inlineStr">
        <is>
          <t>SHELVES</t>
        </is>
      </c>
      <c r="D243" t="inlineStr">
        <is>
          <t>KF4520 .P48 1987</t>
        </is>
      </c>
      <c r="E243" t="inlineStr">
        <is>
          <t>0                      KF 4520000P  48          1987</t>
        </is>
      </c>
      <c r="F243" t="inlineStr">
        <is>
          <t>A more perfect union / William Peters.</t>
        </is>
      </c>
      <c r="H243" t="inlineStr">
        <is>
          <t>No</t>
        </is>
      </c>
      <c r="I243" t="inlineStr">
        <is>
          <t>1</t>
        </is>
      </c>
      <c r="J243" t="inlineStr">
        <is>
          <t>No</t>
        </is>
      </c>
      <c r="K243" t="inlineStr">
        <is>
          <t>No</t>
        </is>
      </c>
      <c r="L243" t="inlineStr">
        <is>
          <t>0</t>
        </is>
      </c>
      <c r="M243" t="inlineStr">
        <is>
          <t>Peters, William, 1921-2007.</t>
        </is>
      </c>
      <c r="N243" t="inlineStr">
        <is>
          <t>New York : Crown Publishers, c1987.</t>
        </is>
      </c>
      <c r="O243" t="inlineStr">
        <is>
          <t>1987</t>
        </is>
      </c>
      <c r="P243" t="inlineStr">
        <is>
          <t>1st ed.</t>
        </is>
      </c>
      <c r="Q243" t="inlineStr">
        <is>
          <t>eng</t>
        </is>
      </c>
      <c r="R243" t="inlineStr">
        <is>
          <t>nyu</t>
        </is>
      </c>
      <c r="T243" t="inlineStr">
        <is>
          <t xml:space="preserve">KF </t>
        </is>
      </c>
      <c r="U243" t="n">
        <v>5</v>
      </c>
      <c r="V243" t="n">
        <v>5</v>
      </c>
      <c r="W243" t="inlineStr">
        <is>
          <t>2007-02-03</t>
        </is>
      </c>
      <c r="X243" t="inlineStr">
        <is>
          <t>2007-02-03</t>
        </is>
      </c>
      <c r="Y243" t="inlineStr">
        <is>
          <t>1992-07-07</t>
        </is>
      </c>
      <c r="Z243" t="inlineStr">
        <is>
          <t>1992-07-07</t>
        </is>
      </c>
      <c r="AA243" t="n">
        <v>1857</v>
      </c>
      <c r="AB243" t="n">
        <v>1799</v>
      </c>
      <c r="AC243" t="n">
        <v>1808</v>
      </c>
      <c r="AD243" t="n">
        <v>17</v>
      </c>
      <c r="AE243" t="n">
        <v>17</v>
      </c>
      <c r="AF243" t="n">
        <v>44</v>
      </c>
      <c r="AG243" t="n">
        <v>44</v>
      </c>
      <c r="AH243" t="n">
        <v>14</v>
      </c>
      <c r="AI243" t="n">
        <v>14</v>
      </c>
      <c r="AJ243" t="n">
        <v>7</v>
      </c>
      <c r="AK243" t="n">
        <v>7</v>
      </c>
      <c r="AL243" t="n">
        <v>15</v>
      </c>
      <c r="AM243" t="n">
        <v>15</v>
      </c>
      <c r="AN243" t="n">
        <v>7</v>
      </c>
      <c r="AO243" t="n">
        <v>7</v>
      </c>
      <c r="AP243" t="n">
        <v>9</v>
      </c>
      <c r="AQ243" t="n">
        <v>9</v>
      </c>
      <c r="AR243" t="inlineStr">
        <is>
          <t>No</t>
        </is>
      </c>
      <c r="AS243" t="inlineStr">
        <is>
          <t>Yes</t>
        </is>
      </c>
      <c r="AT243">
        <f>HYPERLINK("http://catalog.hathitrust.org/Record/000805852","HathiTrust Record")</f>
        <v/>
      </c>
      <c r="AU243">
        <f>HYPERLINK("https://creighton-primo.hosted.exlibrisgroup.com/primo-explore/search?tab=default_tab&amp;search_scope=EVERYTHING&amp;vid=01CRU&amp;lang=en_US&amp;offset=0&amp;query=any,contains,991000878779702656","Catalog Record")</f>
        <v/>
      </c>
      <c r="AV243">
        <f>HYPERLINK("http://www.worldcat.org/oclc/13822185","WorldCat Record")</f>
        <v/>
      </c>
      <c r="AW243" t="inlineStr">
        <is>
          <t>7311520:eng</t>
        </is>
      </c>
      <c r="AX243" t="inlineStr">
        <is>
          <t>13822185</t>
        </is>
      </c>
      <c r="AY243" t="inlineStr">
        <is>
          <t>991000878779702656</t>
        </is>
      </c>
      <c r="AZ243" t="inlineStr">
        <is>
          <t>991000878779702656</t>
        </is>
      </c>
      <c r="BA243" t="inlineStr">
        <is>
          <t>2266771120002656</t>
        </is>
      </c>
      <c r="BB243" t="inlineStr">
        <is>
          <t>BOOK</t>
        </is>
      </c>
      <c r="BD243" t="inlineStr">
        <is>
          <t>9780517564509</t>
        </is>
      </c>
      <c r="BE243" t="inlineStr">
        <is>
          <t>32285001177541</t>
        </is>
      </c>
      <c r="BF243" t="inlineStr">
        <is>
          <t>893696247</t>
        </is>
      </c>
    </row>
    <row r="244">
      <c r="B244" t="inlineStr">
        <is>
          <t>CURAL</t>
        </is>
      </c>
      <c r="C244" t="inlineStr">
        <is>
          <t>SHELVES</t>
        </is>
      </c>
      <c r="D244" t="inlineStr">
        <is>
          <t>KF4528 .A53 1989</t>
        </is>
      </c>
      <c r="E244" t="inlineStr">
        <is>
          <t>0                      KF 4528000A  53          1989</t>
        </is>
      </c>
      <c r="F244" t="inlineStr">
        <is>
          <t>The Constitution of 1787 : a commentary / George Anastaplo.</t>
        </is>
      </c>
      <c r="H244" t="inlineStr">
        <is>
          <t>No</t>
        </is>
      </c>
      <c r="I244" t="inlineStr">
        <is>
          <t>1</t>
        </is>
      </c>
      <c r="J244" t="inlineStr">
        <is>
          <t>Yes</t>
        </is>
      </c>
      <c r="K244" t="inlineStr">
        <is>
          <t>No</t>
        </is>
      </c>
      <c r="L244" t="inlineStr">
        <is>
          <t>0</t>
        </is>
      </c>
      <c r="M244" t="inlineStr">
        <is>
          <t>Anastaplo, George, 1925-2014.</t>
        </is>
      </c>
      <c r="N244" t="inlineStr">
        <is>
          <t>Baltimore : Johns Hopkins University Press, c1989.</t>
        </is>
      </c>
      <c r="O244" t="inlineStr">
        <is>
          <t>1989</t>
        </is>
      </c>
      <c r="Q244" t="inlineStr">
        <is>
          <t>eng</t>
        </is>
      </c>
      <c r="R244" t="inlineStr">
        <is>
          <t>mdu</t>
        </is>
      </c>
      <c r="T244" t="inlineStr">
        <is>
          <t xml:space="preserve">KF </t>
        </is>
      </c>
      <c r="U244" t="n">
        <v>4</v>
      </c>
      <c r="V244" t="n">
        <v>6</v>
      </c>
      <c r="W244" t="inlineStr">
        <is>
          <t>2000-01-05</t>
        </is>
      </c>
      <c r="X244" t="inlineStr">
        <is>
          <t>2000-01-05</t>
        </is>
      </c>
      <c r="Y244" t="inlineStr">
        <is>
          <t>1991-06-11</t>
        </is>
      </c>
      <c r="Z244" t="inlineStr">
        <is>
          <t>1992-04-07</t>
        </is>
      </c>
      <c r="AA244" t="n">
        <v>771</v>
      </c>
      <c r="AB244" t="n">
        <v>711</v>
      </c>
      <c r="AC244" t="n">
        <v>735</v>
      </c>
      <c r="AD244" t="n">
        <v>3</v>
      </c>
      <c r="AE244" t="n">
        <v>3</v>
      </c>
      <c r="AF244" t="n">
        <v>35</v>
      </c>
      <c r="AG244" t="n">
        <v>38</v>
      </c>
      <c r="AH244" t="n">
        <v>6</v>
      </c>
      <c r="AI244" t="n">
        <v>9</v>
      </c>
      <c r="AJ244" t="n">
        <v>6</v>
      </c>
      <c r="AK244" t="n">
        <v>6</v>
      </c>
      <c r="AL244" t="n">
        <v>12</v>
      </c>
      <c r="AM244" t="n">
        <v>13</v>
      </c>
      <c r="AN244" t="n">
        <v>1</v>
      </c>
      <c r="AO244" t="n">
        <v>1</v>
      </c>
      <c r="AP244" t="n">
        <v>17</v>
      </c>
      <c r="AQ244" t="n">
        <v>17</v>
      </c>
      <c r="AR244" t="inlineStr">
        <is>
          <t>No</t>
        </is>
      </c>
      <c r="AS244" t="inlineStr">
        <is>
          <t>Yes</t>
        </is>
      </c>
      <c r="AT244">
        <f>HYPERLINK("http://catalog.hathitrust.org/Record/001091005","HathiTrust Record")</f>
        <v/>
      </c>
      <c r="AU244">
        <f>HYPERLINK("https://creighton-primo.hosted.exlibrisgroup.com/primo-explore/search?tab=default_tab&amp;search_scope=EVERYTHING&amp;vid=01CRU&amp;lang=en_US&amp;offset=0&amp;query=any,contains,991001639519702656","Catalog Record")</f>
        <v/>
      </c>
      <c r="AV244">
        <f>HYPERLINK("http://www.worldcat.org/oclc/18324948","WorldCat Record")</f>
        <v/>
      </c>
      <c r="AW244" t="inlineStr">
        <is>
          <t>291027883:eng</t>
        </is>
      </c>
      <c r="AX244" t="inlineStr">
        <is>
          <t>18324948</t>
        </is>
      </c>
      <c r="AY244" t="inlineStr">
        <is>
          <t>991001639519702656</t>
        </is>
      </c>
      <c r="AZ244" t="inlineStr">
        <is>
          <t>991001639519702656</t>
        </is>
      </c>
      <c r="BA244" t="inlineStr">
        <is>
          <t>2257420660002656</t>
        </is>
      </c>
      <c r="BB244" t="inlineStr">
        <is>
          <t>BOOK</t>
        </is>
      </c>
      <c r="BD244" t="inlineStr">
        <is>
          <t>9780801836053</t>
        </is>
      </c>
      <c r="BE244" t="inlineStr">
        <is>
          <t>32285000594357</t>
        </is>
      </c>
      <c r="BF244" t="inlineStr">
        <is>
          <t>893872653</t>
        </is>
      </c>
    </row>
    <row r="245">
      <c r="B245" t="inlineStr">
        <is>
          <t>CURAL</t>
        </is>
      </c>
      <c r="C245" t="inlineStr">
        <is>
          <t>SHELVES</t>
        </is>
      </c>
      <c r="D245" t="inlineStr">
        <is>
          <t>KF4541 .M35 1935a</t>
        </is>
      </c>
      <c r="E245" t="inlineStr">
        <is>
          <t>0                      KF 4541000M  35          1935a</t>
        </is>
      </c>
      <c r="F245" t="inlineStr">
        <is>
          <t>A constitutional history of the United States / by Andrew C. McLaughlin.</t>
        </is>
      </c>
      <c r="H245" t="inlineStr">
        <is>
          <t>No</t>
        </is>
      </c>
      <c r="I245" t="inlineStr">
        <is>
          <t>1</t>
        </is>
      </c>
      <c r="J245" t="inlineStr">
        <is>
          <t>No</t>
        </is>
      </c>
      <c r="K245" t="inlineStr">
        <is>
          <t>No</t>
        </is>
      </c>
      <c r="L245" t="inlineStr">
        <is>
          <t>0</t>
        </is>
      </c>
      <c r="M245" t="inlineStr">
        <is>
          <t>McLaughlin, Andrew C. (Andrew Cunningham), 1861-1947.</t>
        </is>
      </c>
      <c r="N245" t="inlineStr">
        <is>
          <t>New York : D. Appleton-Century Co., c1935.</t>
        </is>
      </c>
      <c r="O245" t="inlineStr">
        <is>
          <t>1935</t>
        </is>
      </c>
      <c r="Q245" t="inlineStr">
        <is>
          <t>eng</t>
        </is>
      </c>
      <c r="R245" t="inlineStr">
        <is>
          <t>nyu</t>
        </is>
      </c>
      <c r="S245" t="inlineStr">
        <is>
          <t>The Century political science series</t>
        </is>
      </c>
      <c r="T245" t="inlineStr">
        <is>
          <t xml:space="preserve">KF </t>
        </is>
      </c>
      <c r="U245" t="n">
        <v>3</v>
      </c>
      <c r="V245" t="n">
        <v>3</v>
      </c>
      <c r="W245" t="inlineStr">
        <is>
          <t>1999-09-02</t>
        </is>
      </c>
      <c r="X245" t="inlineStr">
        <is>
          <t>1999-09-02</t>
        </is>
      </c>
      <c r="Y245" t="inlineStr">
        <is>
          <t>1997-04-16</t>
        </is>
      </c>
      <c r="Z245" t="inlineStr">
        <is>
          <t>1997-04-16</t>
        </is>
      </c>
      <c r="AA245" t="n">
        <v>166</v>
      </c>
      <c r="AB245" t="n">
        <v>158</v>
      </c>
      <c r="AC245" t="n">
        <v>1174</v>
      </c>
      <c r="AD245" t="n">
        <v>1</v>
      </c>
      <c r="AE245" t="n">
        <v>9</v>
      </c>
      <c r="AF245" t="n">
        <v>10</v>
      </c>
      <c r="AG245" t="n">
        <v>63</v>
      </c>
      <c r="AH245" t="n">
        <v>3</v>
      </c>
      <c r="AI245" t="n">
        <v>15</v>
      </c>
      <c r="AJ245" t="n">
        <v>4</v>
      </c>
      <c r="AK245" t="n">
        <v>8</v>
      </c>
      <c r="AL245" t="n">
        <v>4</v>
      </c>
      <c r="AM245" t="n">
        <v>21</v>
      </c>
      <c r="AN245" t="n">
        <v>0</v>
      </c>
      <c r="AO245" t="n">
        <v>6</v>
      </c>
      <c r="AP245" t="n">
        <v>1</v>
      </c>
      <c r="AQ245" t="n">
        <v>21</v>
      </c>
      <c r="AR245" t="inlineStr">
        <is>
          <t>No</t>
        </is>
      </c>
      <c r="AS245" t="inlineStr">
        <is>
          <t>Yes</t>
        </is>
      </c>
      <c r="AT245">
        <f>HYPERLINK("http://catalog.hathitrust.org/Record/001140884","HathiTrust Record")</f>
        <v/>
      </c>
      <c r="AU245">
        <f>HYPERLINK("https://creighton-primo.hosted.exlibrisgroup.com/primo-explore/search?tab=default_tab&amp;search_scope=EVERYTHING&amp;vid=01CRU&amp;lang=en_US&amp;offset=0&amp;query=any,contains,991000881619702656","Catalog Record")</f>
        <v/>
      </c>
      <c r="AV245">
        <f>HYPERLINK("http://www.worldcat.org/oclc/13836230","WorldCat Record")</f>
        <v/>
      </c>
      <c r="AW245" t="inlineStr">
        <is>
          <t>1592161:eng</t>
        </is>
      </c>
      <c r="AX245" t="inlineStr">
        <is>
          <t>13836230</t>
        </is>
      </c>
      <c r="AY245" t="inlineStr">
        <is>
          <t>991000881619702656</t>
        </is>
      </c>
      <c r="AZ245" t="inlineStr">
        <is>
          <t>991000881619702656</t>
        </is>
      </c>
      <c r="BA245" t="inlineStr">
        <is>
          <t>2268188840002656</t>
        </is>
      </c>
      <c r="BB245" t="inlineStr">
        <is>
          <t>BOOK</t>
        </is>
      </c>
      <c r="BE245" t="inlineStr">
        <is>
          <t>32285002551330</t>
        </is>
      </c>
      <c r="BF245" t="inlineStr">
        <is>
          <t>893522095</t>
        </is>
      </c>
    </row>
    <row r="246">
      <c r="B246" t="inlineStr">
        <is>
          <t>CURAL</t>
        </is>
      </c>
      <c r="C246" t="inlineStr">
        <is>
          <t>SHELVES</t>
        </is>
      </c>
      <c r="D246" t="inlineStr">
        <is>
          <t>KF4541 .M37</t>
        </is>
      </c>
      <c r="E246" t="inlineStr">
        <is>
          <t>0                      KF 4541000M  37</t>
        </is>
      </c>
      <c r="F246" t="inlineStr">
        <is>
          <t>An introduction to the study of the American Constitution; a study of the formation and development of the American constitutional system and of the ideals upon which it is based with illustrative materials, by Charles E. Martin.</t>
        </is>
      </c>
      <c r="H246" t="inlineStr">
        <is>
          <t>No</t>
        </is>
      </c>
      <c r="I246" t="inlineStr">
        <is>
          <t>1</t>
        </is>
      </c>
      <c r="J246" t="inlineStr">
        <is>
          <t>No</t>
        </is>
      </c>
      <c r="K246" t="inlineStr">
        <is>
          <t>No</t>
        </is>
      </c>
      <c r="L246" t="inlineStr">
        <is>
          <t>0</t>
        </is>
      </c>
      <c r="M246" t="inlineStr">
        <is>
          <t>Martin, Charles E. (Charles Emanuel), 1891-1977.</t>
        </is>
      </c>
      <c r="N246" t="inlineStr">
        <is>
          <t>New York [etc.] Oxford university press, 1928.</t>
        </is>
      </c>
      <c r="O246" t="inlineStr">
        <is>
          <t>1928</t>
        </is>
      </c>
      <c r="Q246" t="inlineStr">
        <is>
          <t>eng</t>
        </is>
      </c>
      <c r="R246" t="inlineStr">
        <is>
          <t>nyu</t>
        </is>
      </c>
      <c r="T246" t="inlineStr">
        <is>
          <t xml:space="preserve">KF </t>
        </is>
      </c>
      <c r="U246" t="n">
        <v>5</v>
      </c>
      <c r="V246" t="n">
        <v>5</v>
      </c>
      <c r="W246" t="inlineStr">
        <is>
          <t>1994-11-10</t>
        </is>
      </c>
      <c r="X246" t="inlineStr">
        <is>
          <t>1994-11-10</t>
        </is>
      </c>
      <c r="Y246" t="inlineStr">
        <is>
          <t>1991-12-10</t>
        </is>
      </c>
      <c r="Z246" t="inlineStr">
        <is>
          <t>1991-12-10</t>
        </is>
      </c>
      <c r="AA246" t="n">
        <v>68</v>
      </c>
      <c r="AB246" t="n">
        <v>68</v>
      </c>
      <c r="AC246" t="n">
        <v>372</v>
      </c>
      <c r="AD246" t="n">
        <v>2</v>
      </c>
      <c r="AE246" t="n">
        <v>7</v>
      </c>
      <c r="AF246" t="n">
        <v>5</v>
      </c>
      <c r="AG246" t="n">
        <v>32</v>
      </c>
      <c r="AH246" t="n">
        <v>0</v>
      </c>
      <c r="AI246" t="n">
        <v>1</v>
      </c>
      <c r="AJ246" t="n">
        <v>1</v>
      </c>
      <c r="AK246" t="n">
        <v>3</v>
      </c>
      <c r="AL246" t="n">
        <v>2</v>
      </c>
      <c r="AM246" t="n">
        <v>8</v>
      </c>
      <c r="AN246" t="n">
        <v>1</v>
      </c>
      <c r="AO246" t="n">
        <v>4</v>
      </c>
      <c r="AP246" t="n">
        <v>2</v>
      </c>
      <c r="AQ246" t="n">
        <v>18</v>
      </c>
      <c r="AR246" t="inlineStr">
        <is>
          <t>No</t>
        </is>
      </c>
      <c r="AS246" t="inlineStr">
        <is>
          <t>No</t>
        </is>
      </c>
      <c r="AU246">
        <f>HYPERLINK("https://creighton-primo.hosted.exlibrisgroup.com/primo-explore/search?tab=default_tab&amp;search_scope=EVERYTHING&amp;vid=01CRU&amp;lang=en_US&amp;offset=0&amp;query=any,contains,991004188849702656","Catalog Record")</f>
        <v/>
      </c>
      <c r="AV246">
        <f>HYPERLINK("http://www.worldcat.org/oclc/2624028","WorldCat Record")</f>
        <v/>
      </c>
      <c r="AW246" t="inlineStr">
        <is>
          <t>198591543:eng</t>
        </is>
      </c>
      <c r="AX246" t="inlineStr">
        <is>
          <t>2624028</t>
        </is>
      </c>
      <c r="AY246" t="inlineStr">
        <is>
          <t>991004188849702656</t>
        </is>
      </c>
      <c r="AZ246" t="inlineStr">
        <is>
          <t>991004188849702656</t>
        </is>
      </c>
      <c r="BA246" t="inlineStr">
        <is>
          <t>2271454810002656</t>
        </is>
      </c>
      <c r="BB246" t="inlineStr">
        <is>
          <t>BOOK</t>
        </is>
      </c>
      <c r="BE246" t="inlineStr">
        <is>
          <t>32285000838986</t>
        </is>
      </c>
      <c r="BF246" t="inlineStr">
        <is>
          <t>893781949</t>
        </is>
      </c>
    </row>
    <row r="247">
      <c r="B247" t="inlineStr">
        <is>
          <t>CURAL</t>
        </is>
      </c>
      <c r="C247" t="inlineStr">
        <is>
          <t>SHELVES</t>
        </is>
      </c>
      <c r="D247" t="inlineStr">
        <is>
          <t>KF4541 .W87 1979</t>
        </is>
      </c>
      <c r="E247" t="inlineStr">
        <is>
          <t>0                      KF 4541000W  87          1979</t>
        </is>
      </c>
      <c r="F247" t="inlineStr">
        <is>
          <t>The Confederation and the Constitution : the critical issues / edited by Gordon S. Wood.</t>
        </is>
      </c>
      <c r="H247" t="inlineStr">
        <is>
          <t>No</t>
        </is>
      </c>
      <c r="I247" t="inlineStr">
        <is>
          <t>1</t>
        </is>
      </c>
      <c r="J247" t="inlineStr">
        <is>
          <t>No</t>
        </is>
      </c>
      <c r="K247" t="inlineStr">
        <is>
          <t>No</t>
        </is>
      </c>
      <c r="L247" t="inlineStr">
        <is>
          <t>0</t>
        </is>
      </c>
      <c r="N247" t="inlineStr">
        <is>
          <t>Washington : University Press of America, c1979.</t>
        </is>
      </c>
      <c r="O247" t="inlineStr">
        <is>
          <t>1979</t>
        </is>
      </c>
      <c r="Q247" t="inlineStr">
        <is>
          <t>eng</t>
        </is>
      </c>
      <c r="R247" t="inlineStr">
        <is>
          <t>dcu</t>
        </is>
      </c>
      <c r="T247" t="inlineStr">
        <is>
          <t xml:space="preserve">KF </t>
        </is>
      </c>
      <c r="U247" t="n">
        <v>5</v>
      </c>
      <c r="V247" t="n">
        <v>5</v>
      </c>
      <c r="W247" t="inlineStr">
        <is>
          <t>2010-10-29</t>
        </is>
      </c>
      <c r="X247" t="inlineStr">
        <is>
          <t>2010-10-29</t>
        </is>
      </c>
      <c r="Y247" t="inlineStr">
        <is>
          <t>1991-12-13</t>
        </is>
      </c>
      <c r="Z247" t="inlineStr">
        <is>
          <t>1991-12-13</t>
        </is>
      </c>
      <c r="AA247" t="n">
        <v>284</v>
      </c>
      <c r="AB247" t="n">
        <v>274</v>
      </c>
      <c r="AC247" t="n">
        <v>490</v>
      </c>
      <c r="AD247" t="n">
        <v>1</v>
      </c>
      <c r="AE247" t="n">
        <v>3</v>
      </c>
      <c r="AF247" t="n">
        <v>18</v>
      </c>
      <c r="AG247" t="n">
        <v>29</v>
      </c>
      <c r="AH247" t="n">
        <v>6</v>
      </c>
      <c r="AI247" t="n">
        <v>8</v>
      </c>
      <c r="AJ247" t="n">
        <v>3</v>
      </c>
      <c r="AK247" t="n">
        <v>5</v>
      </c>
      <c r="AL247" t="n">
        <v>9</v>
      </c>
      <c r="AM247" t="n">
        <v>13</v>
      </c>
      <c r="AN247" t="n">
        <v>0</v>
      </c>
      <c r="AO247" t="n">
        <v>1</v>
      </c>
      <c r="AP247" t="n">
        <v>3</v>
      </c>
      <c r="AQ247" t="n">
        <v>8</v>
      </c>
      <c r="AR247" t="inlineStr">
        <is>
          <t>No</t>
        </is>
      </c>
      <c r="AS247" t="inlineStr">
        <is>
          <t>Yes</t>
        </is>
      </c>
      <c r="AT247">
        <f>HYPERLINK("http://catalog.hathitrust.org/Record/101932278","HathiTrust Record")</f>
        <v/>
      </c>
      <c r="AU247">
        <f>HYPERLINK("https://creighton-primo.hosted.exlibrisgroup.com/primo-explore/search?tab=default_tab&amp;search_scope=EVERYTHING&amp;vid=01CRU&amp;lang=en_US&amp;offset=0&amp;query=any,contains,991004932339702656","Catalog Record")</f>
        <v/>
      </c>
      <c r="AV247">
        <f>HYPERLINK("http://www.worldcat.org/oclc/6044758","WorldCat Record")</f>
        <v/>
      </c>
      <c r="AW247" t="inlineStr">
        <is>
          <t>1733190:eng</t>
        </is>
      </c>
      <c r="AX247" t="inlineStr">
        <is>
          <t>6044758</t>
        </is>
      </c>
      <c r="AY247" t="inlineStr">
        <is>
          <t>991004932339702656</t>
        </is>
      </c>
      <c r="AZ247" t="inlineStr">
        <is>
          <t>991004932339702656</t>
        </is>
      </c>
      <c r="BA247" t="inlineStr">
        <is>
          <t>2267582240002656</t>
        </is>
      </c>
      <c r="BB247" t="inlineStr">
        <is>
          <t>BOOK</t>
        </is>
      </c>
      <c r="BD247" t="inlineStr">
        <is>
          <t>9780819108210</t>
        </is>
      </c>
      <c r="BE247" t="inlineStr">
        <is>
          <t>32285000901255</t>
        </is>
      </c>
      <c r="BF247" t="inlineStr">
        <is>
          <t>893700837</t>
        </is>
      </c>
    </row>
    <row r="248">
      <c r="B248" t="inlineStr">
        <is>
          <t>CURAL</t>
        </is>
      </c>
      <c r="C248" t="inlineStr">
        <is>
          <t>SHELVES</t>
        </is>
      </c>
      <c r="D248" t="inlineStr">
        <is>
          <t>KF4541.Z9 B49 1988</t>
        </is>
      </c>
      <c r="E248" t="inlineStr">
        <is>
          <t>0                      KF 4541000Z  9                  B  49          1988</t>
        </is>
      </c>
      <c r="F248" t="inlineStr">
        <is>
          <t>Our Constitution : the myth that binds us / Eric Black.</t>
        </is>
      </c>
      <c r="H248" t="inlineStr">
        <is>
          <t>No</t>
        </is>
      </c>
      <c r="I248" t="inlineStr">
        <is>
          <t>1</t>
        </is>
      </c>
      <c r="J248" t="inlineStr">
        <is>
          <t>No</t>
        </is>
      </c>
      <c r="K248" t="inlineStr">
        <is>
          <t>No</t>
        </is>
      </c>
      <c r="L248" t="inlineStr">
        <is>
          <t>0</t>
        </is>
      </c>
      <c r="M248" t="inlineStr">
        <is>
          <t>Black, Eric.</t>
        </is>
      </c>
      <c r="N248" t="inlineStr">
        <is>
          <t>Boulder : Westview Press, 1988.</t>
        </is>
      </c>
      <c r="O248" t="inlineStr">
        <is>
          <t>1988</t>
        </is>
      </c>
      <c r="Q248" t="inlineStr">
        <is>
          <t>eng</t>
        </is>
      </c>
      <c r="R248" t="inlineStr">
        <is>
          <t>cou</t>
        </is>
      </c>
      <c r="T248" t="inlineStr">
        <is>
          <t xml:space="preserve">KF </t>
        </is>
      </c>
      <c r="U248" t="n">
        <v>5</v>
      </c>
      <c r="V248" t="n">
        <v>5</v>
      </c>
      <c r="W248" t="inlineStr">
        <is>
          <t>2006-04-05</t>
        </is>
      </c>
      <c r="X248" t="inlineStr">
        <is>
          <t>2006-04-05</t>
        </is>
      </c>
      <c r="Y248" t="inlineStr">
        <is>
          <t>1991-09-06</t>
        </is>
      </c>
      <c r="Z248" t="inlineStr">
        <is>
          <t>1991-09-06</t>
        </is>
      </c>
      <c r="AA248" t="n">
        <v>417</v>
      </c>
      <c r="AB248" t="n">
        <v>397</v>
      </c>
      <c r="AC248" t="n">
        <v>402</v>
      </c>
      <c r="AD248" t="n">
        <v>4</v>
      </c>
      <c r="AE248" t="n">
        <v>4</v>
      </c>
      <c r="AF248" t="n">
        <v>26</v>
      </c>
      <c r="AG248" t="n">
        <v>26</v>
      </c>
      <c r="AH248" t="n">
        <v>8</v>
      </c>
      <c r="AI248" t="n">
        <v>8</v>
      </c>
      <c r="AJ248" t="n">
        <v>5</v>
      </c>
      <c r="AK248" t="n">
        <v>5</v>
      </c>
      <c r="AL248" t="n">
        <v>8</v>
      </c>
      <c r="AM248" t="n">
        <v>8</v>
      </c>
      <c r="AN248" t="n">
        <v>3</v>
      </c>
      <c r="AO248" t="n">
        <v>3</v>
      </c>
      <c r="AP248" t="n">
        <v>8</v>
      </c>
      <c r="AQ248" t="n">
        <v>8</v>
      </c>
      <c r="AR248" t="inlineStr">
        <is>
          <t>No</t>
        </is>
      </c>
      <c r="AS248" t="inlineStr">
        <is>
          <t>No</t>
        </is>
      </c>
      <c r="AU248">
        <f>HYPERLINK("https://creighton-primo.hosted.exlibrisgroup.com/primo-explore/search?tab=default_tab&amp;search_scope=EVERYTHING&amp;vid=01CRU&amp;lang=en_US&amp;offset=0&amp;query=any,contains,991001188769702656","Catalog Record")</f>
        <v/>
      </c>
      <c r="AV248">
        <f>HYPERLINK("http://www.worldcat.org/oclc/17234007","WorldCat Record")</f>
        <v/>
      </c>
      <c r="AW248" t="inlineStr">
        <is>
          <t>198639284:eng</t>
        </is>
      </c>
      <c r="AX248" t="inlineStr">
        <is>
          <t>17234007</t>
        </is>
      </c>
      <c r="AY248" t="inlineStr">
        <is>
          <t>991001188769702656</t>
        </is>
      </c>
      <c r="AZ248" t="inlineStr">
        <is>
          <t>991001188769702656</t>
        </is>
      </c>
      <c r="BA248" t="inlineStr">
        <is>
          <t>2271952420002656</t>
        </is>
      </c>
      <c r="BB248" t="inlineStr">
        <is>
          <t>BOOK</t>
        </is>
      </c>
      <c r="BD248" t="inlineStr">
        <is>
          <t>9780813306940</t>
        </is>
      </c>
      <c r="BE248" t="inlineStr">
        <is>
          <t>32285000702729</t>
        </is>
      </c>
      <c r="BF248" t="inlineStr">
        <is>
          <t>893321720</t>
        </is>
      </c>
    </row>
    <row r="249">
      <c r="B249" t="inlineStr">
        <is>
          <t>CURAL</t>
        </is>
      </c>
      <c r="C249" t="inlineStr">
        <is>
          <t>SHELVES</t>
        </is>
      </c>
      <c r="D249" t="inlineStr">
        <is>
          <t>KF4549 .B3 1973</t>
        </is>
      </c>
      <c r="E249" t="inlineStr">
        <is>
          <t>0                      KF 4549000B  3           1973</t>
        </is>
      </c>
      <c r="F249" t="inlineStr">
        <is>
          <t>Constitutional law : cases and materials / by Edward L. Barrett, Jr. [and] Paul W. Bruton.</t>
        </is>
      </c>
      <c r="H249" t="inlineStr">
        <is>
          <t>No</t>
        </is>
      </c>
      <c r="I249" t="inlineStr">
        <is>
          <t>1</t>
        </is>
      </c>
      <c r="J249" t="inlineStr">
        <is>
          <t>No</t>
        </is>
      </c>
      <c r="K249" t="inlineStr">
        <is>
          <t>No</t>
        </is>
      </c>
      <c r="L249" t="inlineStr">
        <is>
          <t>0</t>
        </is>
      </c>
      <c r="M249" t="inlineStr">
        <is>
          <t>Barrett, Edward L., Jr., 1917-2016.</t>
        </is>
      </c>
      <c r="N249" t="inlineStr">
        <is>
          <t>Mineola, N.Y. : Foundation Press, 1973.</t>
        </is>
      </c>
      <c r="O249" t="inlineStr">
        <is>
          <t>1973</t>
        </is>
      </c>
      <c r="P249" t="inlineStr">
        <is>
          <t>4th ed.</t>
        </is>
      </c>
      <c r="Q249" t="inlineStr">
        <is>
          <t>eng</t>
        </is>
      </c>
      <c r="R249" t="inlineStr">
        <is>
          <t>nyu</t>
        </is>
      </c>
      <c r="S249" t="inlineStr">
        <is>
          <t>University casebook series</t>
        </is>
      </c>
      <c r="T249" t="inlineStr">
        <is>
          <t xml:space="preserve">KF </t>
        </is>
      </c>
      <c r="U249" t="n">
        <v>5</v>
      </c>
      <c r="V249" t="n">
        <v>5</v>
      </c>
      <c r="W249" t="inlineStr">
        <is>
          <t>2006-10-07</t>
        </is>
      </c>
      <c r="X249" t="inlineStr">
        <is>
          <t>2006-10-07</t>
        </is>
      </c>
      <c r="Y249" t="inlineStr">
        <is>
          <t>1992-03-13</t>
        </is>
      </c>
      <c r="Z249" t="inlineStr">
        <is>
          <t>1992-03-13</t>
        </is>
      </c>
      <c r="AA249" t="n">
        <v>132</v>
      </c>
      <c r="AB249" t="n">
        <v>103</v>
      </c>
      <c r="AC249" t="n">
        <v>325</v>
      </c>
      <c r="AD249" t="n">
        <v>2</v>
      </c>
      <c r="AE249" t="n">
        <v>3</v>
      </c>
      <c r="AF249" t="n">
        <v>11</v>
      </c>
      <c r="AG249" t="n">
        <v>22</v>
      </c>
      <c r="AH249" t="n">
        <v>0</v>
      </c>
      <c r="AI249" t="n">
        <v>1</v>
      </c>
      <c r="AJ249" t="n">
        <v>1</v>
      </c>
      <c r="AK249" t="n">
        <v>2</v>
      </c>
      <c r="AL249" t="n">
        <v>2</v>
      </c>
      <c r="AM249" t="n">
        <v>6</v>
      </c>
      <c r="AN249" t="n">
        <v>1</v>
      </c>
      <c r="AO249" t="n">
        <v>1</v>
      </c>
      <c r="AP249" t="n">
        <v>8</v>
      </c>
      <c r="AQ249" t="n">
        <v>14</v>
      </c>
      <c r="AR249" t="inlineStr">
        <is>
          <t>No</t>
        </is>
      </c>
      <c r="AS249" t="inlineStr">
        <is>
          <t>No</t>
        </is>
      </c>
      <c r="AU249">
        <f>HYPERLINK("https://creighton-primo.hosted.exlibrisgroup.com/primo-explore/search?tab=default_tab&amp;search_scope=EVERYTHING&amp;vid=01CRU&amp;lang=en_US&amp;offset=0&amp;query=any,contains,991005044689702656","Catalog Record")</f>
        <v/>
      </c>
      <c r="AV249">
        <f>HYPERLINK("http://www.worldcat.org/oclc/695912","WorldCat Record")</f>
        <v/>
      </c>
      <c r="AW249" t="inlineStr">
        <is>
          <t>4915896919:eng</t>
        </is>
      </c>
      <c r="AX249" t="inlineStr">
        <is>
          <t>695912</t>
        </is>
      </c>
      <c r="AY249" t="inlineStr">
        <is>
          <t>991005044689702656</t>
        </is>
      </c>
      <c r="AZ249" t="inlineStr">
        <is>
          <t>991005044689702656</t>
        </is>
      </c>
      <c r="BA249" t="inlineStr">
        <is>
          <t>2267916980002656</t>
        </is>
      </c>
      <c r="BB249" t="inlineStr">
        <is>
          <t>BOOK</t>
        </is>
      </c>
      <c r="BE249" t="inlineStr">
        <is>
          <t>32285000999085</t>
        </is>
      </c>
      <c r="BF249" t="inlineStr">
        <is>
          <t>893625375</t>
        </is>
      </c>
    </row>
    <row r="250">
      <c r="B250" t="inlineStr">
        <is>
          <t>CURAL</t>
        </is>
      </c>
      <c r="C250" t="inlineStr">
        <is>
          <t>SHELVES</t>
        </is>
      </c>
      <c r="D250" t="inlineStr">
        <is>
          <t>KF4550 .B26 1984</t>
        </is>
      </c>
      <c r="E250" t="inlineStr">
        <is>
          <t>0                      KF 4550000B  26          1984</t>
        </is>
      </c>
      <c r="F250" t="inlineStr">
        <is>
          <t>On what the Constitution means / Sotirios A. Barber.</t>
        </is>
      </c>
      <c r="H250" t="inlineStr">
        <is>
          <t>No</t>
        </is>
      </c>
      <c r="I250" t="inlineStr">
        <is>
          <t>1</t>
        </is>
      </c>
      <c r="J250" t="inlineStr">
        <is>
          <t>No</t>
        </is>
      </c>
      <c r="K250" t="inlineStr">
        <is>
          <t>No</t>
        </is>
      </c>
      <c r="L250" t="inlineStr">
        <is>
          <t>0</t>
        </is>
      </c>
      <c r="M250" t="inlineStr">
        <is>
          <t>Barber, Sotirios A.</t>
        </is>
      </c>
      <c r="N250" t="inlineStr">
        <is>
          <t>Baltimore : Johns Hopkins University Press, c1984.</t>
        </is>
      </c>
      <c r="O250" t="inlineStr">
        <is>
          <t>1984</t>
        </is>
      </c>
      <c r="Q250" t="inlineStr">
        <is>
          <t>eng</t>
        </is>
      </c>
      <c r="R250" t="inlineStr">
        <is>
          <t>mdu</t>
        </is>
      </c>
      <c r="T250" t="inlineStr">
        <is>
          <t xml:space="preserve">KF </t>
        </is>
      </c>
      <c r="U250" t="n">
        <v>1</v>
      </c>
      <c r="V250" t="n">
        <v>1</v>
      </c>
      <c r="W250" t="inlineStr">
        <is>
          <t>2008-10-27</t>
        </is>
      </c>
      <c r="X250" t="inlineStr">
        <is>
          <t>2008-10-27</t>
        </is>
      </c>
      <c r="Y250" t="inlineStr">
        <is>
          <t>1992-07-07</t>
        </is>
      </c>
      <c r="Z250" t="inlineStr">
        <is>
          <t>1992-07-07</t>
        </is>
      </c>
      <c r="AA250" t="n">
        <v>742</v>
      </c>
      <c r="AB250" t="n">
        <v>670</v>
      </c>
      <c r="AC250" t="n">
        <v>679</v>
      </c>
      <c r="AD250" t="n">
        <v>4</v>
      </c>
      <c r="AE250" t="n">
        <v>4</v>
      </c>
      <c r="AF250" t="n">
        <v>44</v>
      </c>
      <c r="AG250" t="n">
        <v>44</v>
      </c>
      <c r="AH250" t="n">
        <v>11</v>
      </c>
      <c r="AI250" t="n">
        <v>11</v>
      </c>
      <c r="AJ250" t="n">
        <v>7</v>
      </c>
      <c r="AK250" t="n">
        <v>7</v>
      </c>
      <c r="AL250" t="n">
        <v>14</v>
      </c>
      <c r="AM250" t="n">
        <v>14</v>
      </c>
      <c r="AN250" t="n">
        <v>2</v>
      </c>
      <c r="AO250" t="n">
        <v>2</v>
      </c>
      <c r="AP250" t="n">
        <v>17</v>
      </c>
      <c r="AQ250" t="n">
        <v>17</v>
      </c>
      <c r="AR250" t="inlineStr">
        <is>
          <t>No</t>
        </is>
      </c>
      <c r="AS250" t="inlineStr">
        <is>
          <t>Yes</t>
        </is>
      </c>
      <c r="AT250">
        <f>HYPERLINK("http://catalog.hathitrust.org/Record/000283860","HathiTrust Record")</f>
        <v/>
      </c>
      <c r="AU250">
        <f>HYPERLINK("https://creighton-primo.hosted.exlibrisgroup.com/primo-explore/search?tab=default_tab&amp;search_scope=EVERYTHING&amp;vid=01CRU&amp;lang=en_US&amp;offset=0&amp;query=any,contains,991000257559702656","Catalog Record")</f>
        <v/>
      </c>
      <c r="AV250">
        <f>HYPERLINK("http://www.worldcat.org/oclc/9784091","WorldCat Record")</f>
        <v/>
      </c>
      <c r="AW250" t="inlineStr">
        <is>
          <t>195391128:eng</t>
        </is>
      </c>
      <c r="AX250" t="inlineStr">
        <is>
          <t>9784091</t>
        </is>
      </c>
      <c r="AY250" t="inlineStr">
        <is>
          <t>991000257559702656</t>
        </is>
      </c>
      <c r="AZ250" t="inlineStr">
        <is>
          <t>991000257559702656</t>
        </is>
      </c>
      <c r="BA250" t="inlineStr">
        <is>
          <t>2268668350002656</t>
        </is>
      </c>
      <c r="BB250" t="inlineStr">
        <is>
          <t>BOOK</t>
        </is>
      </c>
      <c r="BD250" t="inlineStr">
        <is>
          <t>9780801830204</t>
        </is>
      </c>
      <c r="BE250" t="inlineStr">
        <is>
          <t>32285001177632</t>
        </is>
      </c>
      <c r="BF250" t="inlineStr">
        <is>
          <t>893438131</t>
        </is>
      </c>
    </row>
    <row r="251">
      <c r="B251" t="inlineStr">
        <is>
          <t>CURAL</t>
        </is>
      </c>
      <c r="C251" t="inlineStr">
        <is>
          <t>SHELVES</t>
        </is>
      </c>
      <c r="D251" t="inlineStr">
        <is>
          <t>KF4550 .C69 1987</t>
        </is>
      </c>
      <c r="E251" t="inlineStr">
        <is>
          <t>0                      KF 4550000C  69          1987</t>
        </is>
      </c>
      <c r="F251" t="inlineStr">
        <is>
          <t>The court and the constitution / Archibald Cox.</t>
        </is>
      </c>
      <c r="H251" t="inlineStr">
        <is>
          <t>No</t>
        </is>
      </c>
      <c r="I251" t="inlineStr">
        <is>
          <t>1</t>
        </is>
      </c>
      <c r="J251" t="inlineStr">
        <is>
          <t>Yes</t>
        </is>
      </c>
      <c r="K251" t="inlineStr">
        <is>
          <t>No</t>
        </is>
      </c>
      <c r="L251" t="inlineStr">
        <is>
          <t>0</t>
        </is>
      </c>
      <c r="M251" t="inlineStr">
        <is>
          <t>Cox, Archibald, 1912-2004.</t>
        </is>
      </c>
      <c r="N251" t="inlineStr">
        <is>
          <t>Boston : Houghton Mifflin, 1987.</t>
        </is>
      </c>
      <c r="O251" t="inlineStr">
        <is>
          <t>1987</t>
        </is>
      </c>
      <c r="Q251" t="inlineStr">
        <is>
          <t>eng</t>
        </is>
      </c>
      <c r="R251" t="inlineStr">
        <is>
          <t>mau</t>
        </is>
      </c>
      <c r="T251" t="inlineStr">
        <is>
          <t xml:space="preserve">KF </t>
        </is>
      </c>
      <c r="U251" t="n">
        <v>3</v>
      </c>
      <c r="V251" t="n">
        <v>3</v>
      </c>
      <c r="W251" t="inlineStr">
        <is>
          <t>2007-04-02</t>
        </is>
      </c>
      <c r="X251" t="inlineStr">
        <is>
          <t>2007-04-02</t>
        </is>
      </c>
      <c r="Y251" t="inlineStr">
        <is>
          <t>1992-07-07</t>
        </is>
      </c>
      <c r="Z251" t="inlineStr">
        <is>
          <t>2017-02-15</t>
        </is>
      </c>
      <c r="AA251" t="n">
        <v>2089</v>
      </c>
      <c r="AB251" t="n">
        <v>1981</v>
      </c>
      <c r="AC251" t="n">
        <v>1989</v>
      </c>
      <c r="AD251" t="n">
        <v>15</v>
      </c>
      <c r="AE251" t="n">
        <v>15</v>
      </c>
      <c r="AF251" t="n">
        <v>72</v>
      </c>
      <c r="AG251" t="n">
        <v>72</v>
      </c>
      <c r="AH251" t="n">
        <v>20</v>
      </c>
      <c r="AI251" t="n">
        <v>20</v>
      </c>
      <c r="AJ251" t="n">
        <v>8</v>
      </c>
      <c r="AK251" t="n">
        <v>8</v>
      </c>
      <c r="AL251" t="n">
        <v>24</v>
      </c>
      <c r="AM251" t="n">
        <v>24</v>
      </c>
      <c r="AN251" t="n">
        <v>8</v>
      </c>
      <c r="AO251" t="n">
        <v>8</v>
      </c>
      <c r="AP251" t="n">
        <v>24</v>
      </c>
      <c r="AQ251" t="n">
        <v>24</v>
      </c>
      <c r="AR251" t="inlineStr">
        <is>
          <t>No</t>
        </is>
      </c>
      <c r="AS251" t="inlineStr">
        <is>
          <t>Yes</t>
        </is>
      </c>
      <c r="AT251">
        <f>HYPERLINK("http://catalog.hathitrust.org/Record/000838049","HathiTrust Record")</f>
        <v/>
      </c>
      <c r="AU251">
        <f>HYPERLINK("https://creighton-primo.hosted.exlibrisgroup.com/primo-explore/search?tab=default_tab&amp;search_scope=EVERYTHING&amp;vid=01CRU&amp;lang=en_US&amp;offset=0&amp;query=any,contains,991001031849702656","Catalog Record")</f>
        <v/>
      </c>
      <c r="AV251">
        <f>HYPERLINK("http://www.worldcat.org/oclc/15519342","WorldCat Record")</f>
        <v/>
      </c>
      <c r="AW251" t="inlineStr">
        <is>
          <t>10164226:eng</t>
        </is>
      </c>
      <c r="AX251" t="inlineStr">
        <is>
          <t>15519342</t>
        </is>
      </c>
      <c r="AY251" t="inlineStr">
        <is>
          <t>991001031849702656</t>
        </is>
      </c>
      <c r="AZ251" t="inlineStr">
        <is>
          <t>991001031849702656</t>
        </is>
      </c>
      <c r="BA251" t="inlineStr">
        <is>
          <t>2265204630002656</t>
        </is>
      </c>
      <c r="BB251" t="inlineStr">
        <is>
          <t>BOOK</t>
        </is>
      </c>
      <c r="BD251" t="inlineStr">
        <is>
          <t>9780395379332</t>
        </is>
      </c>
      <c r="BE251" t="inlineStr">
        <is>
          <t>32285001177657</t>
        </is>
      </c>
      <c r="BF251" t="inlineStr">
        <is>
          <t>893509319</t>
        </is>
      </c>
    </row>
    <row r="252">
      <c r="B252" t="inlineStr">
        <is>
          <t>CURAL</t>
        </is>
      </c>
      <c r="C252" t="inlineStr">
        <is>
          <t>SHELVES</t>
        </is>
      </c>
      <c r="D252" t="inlineStr">
        <is>
          <t>KF4550 .L48 1988</t>
        </is>
      </c>
      <c r="E252" t="inlineStr">
        <is>
          <t>0                      KF 4550000L  48          1988</t>
        </is>
      </c>
      <c r="F252" t="inlineStr">
        <is>
          <t>Original intent and the framers' constitution / Leonard W. Levy.</t>
        </is>
      </c>
      <c r="H252" t="inlineStr">
        <is>
          <t>No</t>
        </is>
      </c>
      <c r="I252" t="inlineStr">
        <is>
          <t>1</t>
        </is>
      </c>
      <c r="J252" t="inlineStr">
        <is>
          <t>Yes</t>
        </is>
      </c>
      <c r="K252" t="inlineStr">
        <is>
          <t>Yes</t>
        </is>
      </c>
      <c r="L252" t="inlineStr">
        <is>
          <t>0</t>
        </is>
      </c>
      <c r="M252" t="inlineStr">
        <is>
          <t>Levy, Leonard W. (Leonard Williams), 1923-2006.</t>
        </is>
      </c>
      <c r="N252" t="inlineStr">
        <is>
          <t>New York : Macmillan ; London : Collier Macmillan, c1988.</t>
        </is>
      </c>
      <c r="O252" t="inlineStr">
        <is>
          <t>1988</t>
        </is>
      </c>
      <c r="Q252" t="inlineStr">
        <is>
          <t>eng</t>
        </is>
      </c>
      <c r="R252" t="inlineStr">
        <is>
          <t>nyu</t>
        </is>
      </c>
      <c r="T252" t="inlineStr">
        <is>
          <t xml:space="preserve">KF </t>
        </is>
      </c>
      <c r="U252" t="n">
        <v>2</v>
      </c>
      <c r="V252" t="n">
        <v>16</v>
      </c>
      <c r="W252" t="inlineStr">
        <is>
          <t>2005-02-12</t>
        </is>
      </c>
      <c r="X252" t="inlineStr">
        <is>
          <t>2005-02-12</t>
        </is>
      </c>
      <c r="Y252" t="inlineStr">
        <is>
          <t>1991-12-09</t>
        </is>
      </c>
      <c r="Z252" t="inlineStr">
        <is>
          <t>1991-12-09</t>
        </is>
      </c>
      <c r="AA252" t="n">
        <v>1247</v>
      </c>
      <c r="AB252" t="n">
        <v>1184</v>
      </c>
      <c r="AC252" t="n">
        <v>1306</v>
      </c>
      <c r="AD252" t="n">
        <v>10</v>
      </c>
      <c r="AE252" t="n">
        <v>10</v>
      </c>
      <c r="AF252" t="n">
        <v>60</v>
      </c>
      <c r="AG252" t="n">
        <v>60</v>
      </c>
      <c r="AH252" t="n">
        <v>15</v>
      </c>
      <c r="AI252" t="n">
        <v>15</v>
      </c>
      <c r="AJ252" t="n">
        <v>8</v>
      </c>
      <c r="AK252" t="n">
        <v>8</v>
      </c>
      <c r="AL252" t="n">
        <v>19</v>
      </c>
      <c r="AM252" t="n">
        <v>19</v>
      </c>
      <c r="AN252" t="n">
        <v>6</v>
      </c>
      <c r="AO252" t="n">
        <v>6</v>
      </c>
      <c r="AP252" t="n">
        <v>21</v>
      </c>
      <c r="AQ252" t="n">
        <v>21</v>
      </c>
      <c r="AR252" t="inlineStr">
        <is>
          <t>No</t>
        </is>
      </c>
      <c r="AS252" t="inlineStr">
        <is>
          <t>Yes</t>
        </is>
      </c>
      <c r="AT252">
        <f>HYPERLINK("http://catalog.hathitrust.org/Record/000947113","HathiTrust Record")</f>
        <v/>
      </c>
      <c r="AU252">
        <f>HYPERLINK("https://creighton-primo.hosted.exlibrisgroup.com/primo-explore/search?tab=default_tab&amp;search_scope=EVERYTHING&amp;vid=01CRU&amp;lang=en_US&amp;offset=0&amp;query=any,contains,991001638859702656","Catalog Record")</f>
        <v/>
      </c>
      <c r="AV252">
        <f>HYPERLINK("http://www.worldcat.org/oclc/17763894","WorldCat Record")</f>
        <v/>
      </c>
      <c r="AW252" t="inlineStr">
        <is>
          <t>58210140:eng</t>
        </is>
      </c>
      <c r="AX252" t="inlineStr">
        <is>
          <t>17763894</t>
        </is>
      </c>
      <c r="AY252" t="inlineStr">
        <is>
          <t>991001638859702656</t>
        </is>
      </c>
      <c r="AZ252" t="inlineStr">
        <is>
          <t>991001638859702656</t>
        </is>
      </c>
      <c r="BA252" t="inlineStr">
        <is>
          <t>2271067470002656</t>
        </is>
      </c>
      <c r="BB252" t="inlineStr">
        <is>
          <t>BOOK</t>
        </is>
      </c>
      <c r="BD252" t="inlineStr">
        <is>
          <t>9780029187913</t>
        </is>
      </c>
      <c r="BE252" t="inlineStr">
        <is>
          <t>32285000873116</t>
        </is>
      </c>
      <c r="BF252" t="inlineStr">
        <is>
          <t>893522705</t>
        </is>
      </c>
    </row>
    <row r="253">
      <c r="B253" t="inlineStr">
        <is>
          <t>CURAL</t>
        </is>
      </c>
      <c r="C253" t="inlineStr">
        <is>
          <t>SHELVES</t>
        </is>
      </c>
      <c r="D253" t="inlineStr">
        <is>
          <t>KF4550 .P83 1993</t>
        </is>
      </c>
      <c r="E253" t="inlineStr">
        <is>
          <t>0                      KF 4550000P  83          1993</t>
        </is>
      </c>
      <c r="F253" t="inlineStr">
        <is>
          <t>Public values in constitutional law / Stephen E. Gottlieb, editor.</t>
        </is>
      </c>
      <c r="H253" t="inlineStr">
        <is>
          <t>No</t>
        </is>
      </c>
      <c r="I253" t="inlineStr">
        <is>
          <t>1</t>
        </is>
      </c>
      <c r="J253" t="inlineStr">
        <is>
          <t>Yes</t>
        </is>
      </c>
      <c r="K253" t="inlineStr">
        <is>
          <t>No</t>
        </is>
      </c>
      <c r="L253" t="inlineStr">
        <is>
          <t>0</t>
        </is>
      </c>
      <c r="N253" t="inlineStr">
        <is>
          <t>Ann Arbor : University of Michigan Press, c1993.</t>
        </is>
      </c>
      <c r="O253" t="inlineStr">
        <is>
          <t>1993</t>
        </is>
      </c>
      <c r="Q253" t="inlineStr">
        <is>
          <t>eng</t>
        </is>
      </c>
      <c r="R253" t="inlineStr">
        <is>
          <t>miu</t>
        </is>
      </c>
      <c r="T253" t="inlineStr">
        <is>
          <t xml:space="preserve">KF </t>
        </is>
      </c>
      <c r="U253" t="n">
        <v>2</v>
      </c>
      <c r="V253" t="n">
        <v>2</v>
      </c>
      <c r="W253" t="inlineStr">
        <is>
          <t>2005-11-23</t>
        </is>
      </c>
      <c r="X253" t="inlineStr">
        <is>
          <t>2005-11-23</t>
        </is>
      </c>
      <c r="Y253" t="inlineStr">
        <is>
          <t>1995-03-31</t>
        </is>
      </c>
      <c r="Z253" t="inlineStr">
        <is>
          <t>1995-03-31</t>
        </is>
      </c>
      <c r="AA253" t="n">
        <v>353</v>
      </c>
      <c r="AB253" t="n">
        <v>314</v>
      </c>
      <c r="AC253" t="n">
        <v>321</v>
      </c>
      <c r="AD253" t="n">
        <v>3</v>
      </c>
      <c r="AE253" t="n">
        <v>3</v>
      </c>
      <c r="AF253" t="n">
        <v>27</v>
      </c>
      <c r="AG253" t="n">
        <v>27</v>
      </c>
      <c r="AH253" t="n">
        <v>4</v>
      </c>
      <c r="AI253" t="n">
        <v>4</v>
      </c>
      <c r="AJ253" t="n">
        <v>4</v>
      </c>
      <c r="AK253" t="n">
        <v>4</v>
      </c>
      <c r="AL253" t="n">
        <v>8</v>
      </c>
      <c r="AM253" t="n">
        <v>8</v>
      </c>
      <c r="AN253" t="n">
        <v>0</v>
      </c>
      <c r="AO253" t="n">
        <v>0</v>
      </c>
      <c r="AP253" t="n">
        <v>16</v>
      </c>
      <c r="AQ253" t="n">
        <v>16</v>
      </c>
      <c r="AR253" t="inlineStr">
        <is>
          <t>No</t>
        </is>
      </c>
      <c r="AS253" t="inlineStr">
        <is>
          <t>Yes</t>
        </is>
      </c>
      <c r="AT253">
        <f>HYPERLINK("http://catalog.hathitrust.org/Record/002788360","HathiTrust Record")</f>
        <v/>
      </c>
      <c r="AU253">
        <f>HYPERLINK("https://creighton-primo.hosted.exlibrisgroup.com/primo-explore/search?tab=default_tab&amp;search_scope=EVERYTHING&amp;vid=01CRU&amp;lang=en_US&amp;offset=0&amp;query=any,contains,991001659809702656","Catalog Record")</f>
        <v/>
      </c>
      <c r="AV253">
        <f>HYPERLINK("http://www.worldcat.org/oclc/28665493","WorldCat Record")</f>
        <v/>
      </c>
      <c r="AW253" t="inlineStr">
        <is>
          <t>350557113:eng</t>
        </is>
      </c>
      <c r="AX253" t="inlineStr">
        <is>
          <t>28665493</t>
        </is>
      </c>
      <c r="AY253" t="inlineStr">
        <is>
          <t>991001659809702656</t>
        </is>
      </c>
      <c r="AZ253" t="inlineStr">
        <is>
          <t>991001659809702656</t>
        </is>
      </c>
      <c r="BA253" t="inlineStr">
        <is>
          <t>2267730880002656</t>
        </is>
      </c>
      <c r="BB253" t="inlineStr">
        <is>
          <t>BOOK</t>
        </is>
      </c>
      <c r="BD253" t="inlineStr">
        <is>
          <t>9780472104345</t>
        </is>
      </c>
      <c r="BE253" t="inlineStr">
        <is>
          <t>32285002015591</t>
        </is>
      </c>
      <c r="BF253" t="inlineStr">
        <is>
          <t>893602771</t>
        </is>
      </c>
    </row>
    <row r="254">
      <c r="B254" t="inlineStr">
        <is>
          <t>CURAL</t>
        </is>
      </c>
      <c r="C254" t="inlineStr">
        <is>
          <t>SHELVES</t>
        </is>
      </c>
      <c r="D254" t="inlineStr">
        <is>
          <t>KF4550.Z9 S37 1996</t>
        </is>
      </c>
      <c r="E254" t="inlineStr">
        <is>
          <t>0                      KF 4550000Z  9                  S  37          1996</t>
        </is>
      </c>
      <c r="F254" t="inlineStr">
        <is>
          <t>Remnants of belief : contemporary constitutional issues / Louis Michael Seidman, Mark V. Tushnet.</t>
        </is>
      </c>
      <c r="H254" t="inlineStr">
        <is>
          <t>No</t>
        </is>
      </c>
      <c r="I254" t="inlineStr">
        <is>
          <t>1</t>
        </is>
      </c>
      <c r="J254" t="inlineStr">
        <is>
          <t>Yes</t>
        </is>
      </c>
      <c r="K254" t="inlineStr">
        <is>
          <t>No</t>
        </is>
      </c>
      <c r="L254" t="inlineStr">
        <is>
          <t>0</t>
        </is>
      </c>
      <c r="M254" t="inlineStr">
        <is>
          <t>Seidman, Louis Michael.</t>
        </is>
      </c>
      <c r="N254" t="inlineStr">
        <is>
          <t>New York : Oxford University Press, 1996.</t>
        </is>
      </c>
      <c r="O254" t="inlineStr">
        <is>
          <t>1996</t>
        </is>
      </c>
      <c r="Q254" t="inlineStr">
        <is>
          <t>eng</t>
        </is>
      </c>
      <c r="R254" t="inlineStr">
        <is>
          <t>nyu</t>
        </is>
      </c>
      <c r="T254" t="inlineStr">
        <is>
          <t xml:space="preserve">KF </t>
        </is>
      </c>
      <c r="U254" t="n">
        <v>2</v>
      </c>
      <c r="V254" t="n">
        <v>3</v>
      </c>
      <c r="W254" t="inlineStr">
        <is>
          <t>1996-09-18</t>
        </is>
      </c>
      <c r="X254" t="inlineStr">
        <is>
          <t>2001-02-17</t>
        </is>
      </c>
      <c r="Y254" t="inlineStr">
        <is>
          <t>1996-08-21</t>
        </is>
      </c>
      <c r="Z254" t="inlineStr">
        <is>
          <t>1996-08-21</t>
        </is>
      </c>
      <c r="AA254" t="n">
        <v>437</v>
      </c>
      <c r="AB254" t="n">
        <v>380</v>
      </c>
      <c r="AC254" t="n">
        <v>385</v>
      </c>
      <c r="AD254" t="n">
        <v>4</v>
      </c>
      <c r="AE254" t="n">
        <v>4</v>
      </c>
      <c r="AF254" t="n">
        <v>38</v>
      </c>
      <c r="AG254" t="n">
        <v>38</v>
      </c>
      <c r="AH254" t="n">
        <v>9</v>
      </c>
      <c r="AI254" t="n">
        <v>9</v>
      </c>
      <c r="AJ254" t="n">
        <v>6</v>
      </c>
      <c r="AK254" t="n">
        <v>6</v>
      </c>
      <c r="AL254" t="n">
        <v>10</v>
      </c>
      <c r="AM254" t="n">
        <v>10</v>
      </c>
      <c r="AN254" t="n">
        <v>1</v>
      </c>
      <c r="AO254" t="n">
        <v>1</v>
      </c>
      <c r="AP254" t="n">
        <v>20</v>
      </c>
      <c r="AQ254" t="n">
        <v>20</v>
      </c>
      <c r="AR254" t="inlineStr">
        <is>
          <t>No</t>
        </is>
      </c>
      <c r="AS254" t="inlineStr">
        <is>
          <t>No</t>
        </is>
      </c>
      <c r="AU254">
        <f>HYPERLINK("https://creighton-primo.hosted.exlibrisgroup.com/primo-explore/search?tab=default_tab&amp;search_scope=EVERYTHING&amp;vid=01CRU&amp;lang=en_US&amp;offset=0&amp;query=any,contains,991001668379702656","Catalog Record")</f>
        <v/>
      </c>
      <c r="AV254">
        <f>HYPERLINK("http://www.worldcat.org/oclc/32970607","WorldCat Record")</f>
        <v/>
      </c>
      <c r="AW254" t="inlineStr">
        <is>
          <t>335337711:eng</t>
        </is>
      </c>
      <c r="AX254" t="inlineStr">
        <is>
          <t>32970607</t>
        </is>
      </c>
      <c r="AY254" t="inlineStr">
        <is>
          <t>991001668379702656</t>
        </is>
      </c>
      <c r="AZ254" t="inlineStr">
        <is>
          <t>991001668379702656</t>
        </is>
      </c>
      <c r="BA254" t="inlineStr">
        <is>
          <t>2269246610002656</t>
        </is>
      </c>
      <c r="BB254" t="inlineStr">
        <is>
          <t>BOOK</t>
        </is>
      </c>
      <c r="BD254" t="inlineStr">
        <is>
          <t>9780195099799</t>
        </is>
      </c>
      <c r="BE254" t="inlineStr">
        <is>
          <t>32285002291267</t>
        </is>
      </c>
      <c r="BF254" t="inlineStr">
        <is>
          <t>893885465</t>
        </is>
      </c>
    </row>
    <row r="255">
      <c r="B255" t="inlineStr">
        <is>
          <t>CURAL</t>
        </is>
      </c>
      <c r="C255" t="inlineStr">
        <is>
          <t>SHELVES</t>
        </is>
      </c>
      <c r="D255" t="inlineStr">
        <is>
          <t>KF4555.A75 R47 1995</t>
        </is>
      </c>
      <c r="E255" t="inlineStr">
        <is>
          <t>0                      KF 4555000A  75                 R  47          1995</t>
        </is>
      </c>
      <c r="F255" t="inlineStr">
        <is>
          <t>Responding to imperfection : the theory and practice of constitutional amendment / Sanford Levinson, editor.</t>
        </is>
      </c>
      <c r="H255" t="inlineStr">
        <is>
          <t>No</t>
        </is>
      </c>
      <c r="I255" t="inlineStr">
        <is>
          <t>1</t>
        </is>
      </c>
      <c r="J255" t="inlineStr">
        <is>
          <t>Yes</t>
        </is>
      </c>
      <c r="K255" t="inlineStr">
        <is>
          <t>No</t>
        </is>
      </c>
      <c r="L255" t="inlineStr">
        <is>
          <t>0</t>
        </is>
      </c>
      <c r="N255" t="inlineStr">
        <is>
          <t>Princeton, N.J. : Princeton University Press, c1995.</t>
        </is>
      </c>
      <c r="O255" t="inlineStr">
        <is>
          <t>1995</t>
        </is>
      </c>
      <c r="Q255" t="inlineStr">
        <is>
          <t>eng</t>
        </is>
      </c>
      <c r="R255" t="inlineStr">
        <is>
          <t>nju</t>
        </is>
      </c>
      <c r="T255" t="inlineStr">
        <is>
          <t xml:space="preserve">KF </t>
        </is>
      </c>
      <c r="U255" t="n">
        <v>2</v>
      </c>
      <c r="V255" t="n">
        <v>3</v>
      </c>
      <c r="W255" t="inlineStr">
        <is>
          <t>2009-03-04</t>
        </is>
      </c>
      <c r="X255" t="inlineStr">
        <is>
          <t>2009-03-04</t>
        </is>
      </c>
      <c r="Y255" t="inlineStr">
        <is>
          <t>1998-05-27</t>
        </is>
      </c>
      <c r="Z255" t="inlineStr">
        <is>
          <t>1998-05-27</t>
        </is>
      </c>
      <c r="AA255" t="n">
        <v>474</v>
      </c>
      <c r="AB255" t="n">
        <v>408</v>
      </c>
      <c r="AC255" t="n">
        <v>1100</v>
      </c>
      <c r="AD255" t="n">
        <v>6</v>
      </c>
      <c r="AE255" t="n">
        <v>34</v>
      </c>
      <c r="AF255" t="n">
        <v>38</v>
      </c>
      <c r="AG255" t="n">
        <v>67</v>
      </c>
      <c r="AH255" t="n">
        <v>6</v>
      </c>
      <c r="AI255" t="n">
        <v>16</v>
      </c>
      <c r="AJ255" t="n">
        <v>4</v>
      </c>
      <c r="AK255" t="n">
        <v>8</v>
      </c>
      <c r="AL255" t="n">
        <v>7</v>
      </c>
      <c r="AM255" t="n">
        <v>15</v>
      </c>
      <c r="AN255" t="n">
        <v>3</v>
      </c>
      <c r="AO255" t="n">
        <v>13</v>
      </c>
      <c r="AP255" t="n">
        <v>23</v>
      </c>
      <c r="AQ255" t="n">
        <v>23</v>
      </c>
      <c r="AR255" t="inlineStr">
        <is>
          <t>No</t>
        </is>
      </c>
      <c r="AS255" t="inlineStr">
        <is>
          <t>No</t>
        </is>
      </c>
      <c r="AU255">
        <f>HYPERLINK("https://creighton-primo.hosted.exlibrisgroup.com/primo-explore/search?tab=default_tab&amp;search_scope=EVERYTHING&amp;vid=01CRU&amp;lang=en_US&amp;offset=0&amp;query=any,contains,991001663069702656","Catalog Record")</f>
        <v/>
      </c>
      <c r="AV255">
        <f>HYPERLINK("http://www.worldcat.org/oclc/30734198","WorldCat Record")</f>
        <v/>
      </c>
      <c r="AW255" t="inlineStr">
        <is>
          <t>793900519:eng</t>
        </is>
      </c>
      <c r="AX255" t="inlineStr">
        <is>
          <t>30734198</t>
        </is>
      </c>
      <c r="AY255" t="inlineStr">
        <is>
          <t>991001663069702656</t>
        </is>
      </c>
      <c r="AZ255" t="inlineStr">
        <is>
          <t>991001663069702656</t>
        </is>
      </c>
      <c r="BA255" t="inlineStr">
        <is>
          <t>2264402980002656</t>
        </is>
      </c>
      <c r="BB255" t="inlineStr">
        <is>
          <t>BOOK</t>
        </is>
      </c>
      <c r="BD255" t="inlineStr">
        <is>
          <t>9780691025704</t>
        </is>
      </c>
      <c r="BE255" t="inlineStr">
        <is>
          <t>32285003411971</t>
        </is>
      </c>
      <c r="BF255" t="inlineStr">
        <is>
          <t>893602777</t>
        </is>
      </c>
    </row>
    <row r="256">
      <c r="B256" t="inlineStr">
        <is>
          <t>CURAL</t>
        </is>
      </c>
      <c r="C256" t="inlineStr">
        <is>
          <t>SHELVES</t>
        </is>
      </c>
      <c r="D256" t="inlineStr">
        <is>
          <t>KF4565 .K87</t>
        </is>
      </c>
      <c r="E256" t="inlineStr">
        <is>
          <t>0                      KF 4565000K  87</t>
        </is>
      </c>
      <c r="F256" t="inlineStr">
        <is>
          <t>Watergate and the Constitution / Philip B. Kurland.</t>
        </is>
      </c>
      <c r="H256" t="inlineStr">
        <is>
          <t>No</t>
        </is>
      </c>
      <c r="I256" t="inlineStr">
        <is>
          <t>1</t>
        </is>
      </c>
      <c r="J256" t="inlineStr">
        <is>
          <t>Yes</t>
        </is>
      </c>
      <c r="K256" t="inlineStr">
        <is>
          <t>No</t>
        </is>
      </c>
      <c r="L256" t="inlineStr">
        <is>
          <t>0</t>
        </is>
      </c>
      <c r="M256" t="inlineStr">
        <is>
          <t>Kurland, Philip B.</t>
        </is>
      </c>
      <c r="N256" t="inlineStr">
        <is>
          <t>Chicago : University of Chicago Press, 1978.</t>
        </is>
      </c>
      <c r="O256" t="inlineStr">
        <is>
          <t>1978</t>
        </is>
      </c>
      <c r="Q256" t="inlineStr">
        <is>
          <t>eng</t>
        </is>
      </c>
      <c r="R256" t="inlineStr">
        <is>
          <t>ilu</t>
        </is>
      </c>
      <c r="S256" t="inlineStr">
        <is>
          <t>The William R. Kenan, Jr., inaugural lectures</t>
        </is>
      </c>
      <c r="T256" t="inlineStr">
        <is>
          <t xml:space="preserve">KF </t>
        </is>
      </c>
      <c r="U256" t="n">
        <v>3</v>
      </c>
      <c r="V256" t="n">
        <v>4</v>
      </c>
      <c r="W256" t="inlineStr">
        <is>
          <t>2007-04-02</t>
        </is>
      </c>
      <c r="X256" t="inlineStr">
        <is>
          <t>2007-04-02</t>
        </is>
      </c>
      <c r="Y256" t="inlineStr">
        <is>
          <t>1997-04-16</t>
        </is>
      </c>
      <c r="Z256" t="inlineStr">
        <is>
          <t>1997-04-16</t>
        </is>
      </c>
      <c r="AA256" t="n">
        <v>1275</v>
      </c>
      <c r="AB256" t="n">
        <v>1140</v>
      </c>
      <c r="AC256" t="n">
        <v>1146</v>
      </c>
      <c r="AD256" t="n">
        <v>9</v>
      </c>
      <c r="AE256" t="n">
        <v>9</v>
      </c>
      <c r="AF256" t="n">
        <v>57</v>
      </c>
      <c r="AG256" t="n">
        <v>57</v>
      </c>
      <c r="AH256" t="n">
        <v>11</v>
      </c>
      <c r="AI256" t="n">
        <v>11</v>
      </c>
      <c r="AJ256" t="n">
        <v>9</v>
      </c>
      <c r="AK256" t="n">
        <v>9</v>
      </c>
      <c r="AL256" t="n">
        <v>18</v>
      </c>
      <c r="AM256" t="n">
        <v>18</v>
      </c>
      <c r="AN256" t="n">
        <v>6</v>
      </c>
      <c r="AO256" t="n">
        <v>6</v>
      </c>
      <c r="AP256" t="n">
        <v>22</v>
      </c>
      <c r="AQ256" t="n">
        <v>22</v>
      </c>
      <c r="AR256" t="inlineStr">
        <is>
          <t>No</t>
        </is>
      </c>
      <c r="AS256" t="inlineStr">
        <is>
          <t>No</t>
        </is>
      </c>
      <c r="AU256">
        <f>HYPERLINK("https://creighton-primo.hosted.exlibrisgroup.com/primo-explore/search?tab=default_tab&amp;search_scope=EVERYTHING&amp;vid=01CRU&amp;lang=en_US&amp;offset=0&amp;query=any,contains,991001784419702656","Catalog Record")</f>
        <v/>
      </c>
      <c r="AV256">
        <f>HYPERLINK("http://www.worldcat.org/oclc/3516635","WorldCat Record")</f>
        <v/>
      </c>
      <c r="AW256" t="inlineStr">
        <is>
          <t>418697:eng</t>
        </is>
      </c>
      <c r="AX256" t="inlineStr">
        <is>
          <t>3516635</t>
        </is>
      </c>
      <c r="AY256" t="inlineStr">
        <is>
          <t>991001784419702656</t>
        </is>
      </c>
      <c r="AZ256" t="inlineStr">
        <is>
          <t>991001784419702656</t>
        </is>
      </c>
      <c r="BA256" t="inlineStr">
        <is>
          <t>2272485600002656</t>
        </is>
      </c>
      <c r="BB256" t="inlineStr">
        <is>
          <t>BOOK</t>
        </is>
      </c>
      <c r="BD256" t="inlineStr">
        <is>
          <t>9780226463933</t>
        </is>
      </c>
      <c r="BE256" t="inlineStr">
        <is>
          <t>32285002551553</t>
        </is>
      </c>
      <c r="BF256" t="inlineStr">
        <is>
          <t>893522841</t>
        </is>
      </c>
    </row>
    <row r="257">
      <c r="B257" t="inlineStr">
        <is>
          <t>CURAL</t>
        </is>
      </c>
      <c r="C257" t="inlineStr">
        <is>
          <t>SHELVES</t>
        </is>
      </c>
      <c r="D257" t="inlineStr">
        <is>
          <t>KF4568.C6 P7</t>
        </is>
      </c>
      <c r="E257" t="inlineStr">
        <is>
          <t>0                      KF 4568000C  6                  P  7</t>
        </is>
      </c>
      <c r="F257" t="inlineStr">
        <is>
          <t>Congress versus the Supreme Court, 1957-1960.</t>
        </is>
      </c>
      <c r="H257" t="inlineStr">
        <is>
          <t>No</t>
        </is>
      </c>
      <c r="I257" t="inlineStr">
        <is>
          <t>1</t>
        </is>
      </c>
      <c r="J257" t="inlineStr">
        <is>
          <t>No</t>
        </is>
      </c>
      <c r="K257" t="inlineStr">
        <is>
          <t>No</t>
        </is>
      </c>
      <c r="L257" t="inlineStr">
        <is>
          <t>0</t>
        </is>
      </c>
      <c r="M257" t="inlineStr">
        <is>
          <t>Pritchett, C. Herman (Charles Herman), 1907-1995.</t>
        </is>
      </c>
      <c r="N257" t="inlineStr">
        <is>
          <t>Minneapolis, University of Minnesota Press [1961]</t>
        </is>
      </c>
      <c r="O257" t="inlineStr">
        <is>
          <t>1961</t>
        </is>
      </c>
      <c r="Q257" t="inlineStr">
        <is>
          <t>eng</t>
        </is>
      </c>
      <c r="R257" t="inlineStr">
        <is>
          <t>mnu</t>
        </is>
      </c>
      <c r="T257" t="inlineStr">
        <is>
          <t xml:space="preserve">KF </t>
        </is>
      </c>
      <c r="U257" t="n">
        <v>4</v>
      </c>
      <c r="V257" t="n">
        <v>4</v>
      </c>
      <c r="W257" t="inlineStr">
        <is>
          <t>2002-04-07</t>
        </is>
      </c>
      <c r="X257" t="inlineStr">
        <is>
          <t>2002-04-07</t>
        </is>
      </c>
      <c r="Y257" t="inlineStr">
        <is>
          <t>1997-04-16</t>
        </is>
      </c>
      <c r="Z257" t="inlineStr">
        <is>
          <t>1997-04-16</t>
        </is>
      </c>
      <c r="AA257" t="n">
        <v>674</v>
      </c>
      <c r="AB257" t="n">
        <v>604</v>
      </c>
      <c r="AC257" t="n">
        <v>933</v>
      </c>
      <c r="AD257" t="n">
        <v>7</v>
      </c>
      <c r="AE257" t="n">
        <v>7</v>
      </c>
      <c r="AF257" t="n">
        <v>36</v>
      </c>
      <c r="AG257" t="n">
        <v>51</v>
      </c>
      <c r="AH257" t="n">
        <v>7</v>
      </c>
      <c r="AI257" t="n">
        <v>13</v>
      </c>
      <c r="AJ257" t="n">
        <v>7</v>
      </c>
      <c r="AK257" t="n">
        <v>8</v>
      </c>
      <c r="AL257" t="n">
        <v>14</v>
      </c>
      <c r="AM257" t="n">
        <v>16</v>
      </c>
      <c r="AN257" t="n">
        <v>5</v>
      </c>
      <c r="AO257" t="n">
        <v>5</v>
      </c>
      <c r="AP257" t="n">
        <v>9</v>
      </c>
      <c r="AQ257" t="n">
        <v>17</v>
      </c>
      <c r="AR257" t="inlineStr">
        <is>
          <t>No</t>
        </is>
      </c>
      <c r="AS257" t="inlineStr">
        <is>
          <t>Yes</t>
        </is>
      </c>
      <c r="AT257">
        <f>HYPERLINK("http://catalog.hathitrust.org/Record/001156430","HathiTrust Record")</f>
        <v/>
      </c>
      <c r="AU257">
        <f>HYPERLINK("https://creighton-primo.hosted.exlibrisgroup.com/primo-explore/search?tab=default_tab&amp;search_scope=EVERYTHING&amp;vid=01CRU&amp;lang=en_US&amp;offset=0&amp;query=any,contains,991002867289702656","Catalog Record")</f>
        <v/>
      </c>
      <c r="AV257">
        <f>HYPERLINK("http://www.worldcat.org/oclc/497158","WorldCat Record")</f>
        <v/>
      </c>
      <c r="AW257" t="inlineStr">
        <is>
          <t>1591398:eng</t>
        </is>
      </c>
      <c r="AX257" t="inlineStr">
        <is>
          <t>497158</t>
        </is>
      </c>
      <c r="AY257" t="inlineStr">
        <is>
          <t>991002867289702656</t>
        </is>
      </c>
      <c r="AZ257" t="inlineStr">
        <is>
          <t>991002867289702656</t>
        </is>
      </c>
      <c r="BA257" t="inlineStr">
        <is>
          <t>2271847230002656</t>
        </is>
      </c>
      <c r="BB257" t="inlineStr">
        <is>
          <t>BOOK</t>
        </is>
      </c>
      <c r="BE257" t="inlineStr">
        <is>
          <t>32285002551561</t>
        </is>
      </c>
      <c r="BF257" t="inlineStr">
        <is>
          <t>893227381</t>
        </is>
      </c>
    </row>
    <row r="258">
      <c r="B258" t="inlineStr">
        <is>
          <t>CURAL</t>
        </is>
      </c>
      <c r="C258" t="inlineStr">
        <is>
          <t>SHELVES</t>
        </is>
      </c>
      <c r="D258" t="inlineStr">
        <is>
          <t>KF4570.A7 F74</t>
        </is>
      </c>
      <c r="E258" t="inlineStr">
        <is>
          <t>0                      KF 4570000A  7                  F  74</t>
        </is>
      </c>
      <c r="F258" t="inlineStr">
        <is>
          <t>United States v. Nixon : the President before the Supreme Court / introductory essay by Alan Westin. Edited by Leon Friedman.</t>
        </is>
      </c>
      <c r="H258" t="inlineStr">
        <is>
          <t>No</t>
        </is>
      </c>
      <c r="I258" t="inlineStr">
        <is>
          <t>1</t>
        </is>
      </c>
      <c r="J258" t="inlineStr">
        <is>
          <t>Yes</t>
        </is>
      </c>
      <c r="K258" t="inlineStr">
        <is>
          <t>No</t>
        </is>
      </c>
      <c r="L258" t="inlineStr">
        <is>
          <t>0</t>
        </is>
      </c>
      <c r="M258" t="inlineStr">
        <is>
          <t>Friedman, Leon compiler.</t>
        </is>
      </c>
      <c r="N258" t="inlineStr">
        <is>
          <t>New York : Chelsea House Publishers, 1974.</t>
        </is>
      </c>
      <c r="O258" t="inlineStr">
        <is>
          <t>1974</t>
        </is>
      </c>
      <c r="Q258" t="inlineStr">
        <is>
          <t>eng</t>
        </is>
      </c>
      <c r="R258" t="inlineStr">
        <is>
          <t>nyu</t>
        </is>
      </c>
      <c r="T258" t="inlineStr">
        <is>
          <t xml:space="preserve">KF </t>
        </is>
      </c>
      <c r="U258" t="n">
        <v>2</v>
      </c>
      <c r="V258" t="n">
        <v>3</v>
      </c>
      <c r="W258" t="inlineStr">
        <is>
          <t>2007-04-02</t>
        </is>
      </c>
      <c r="X258" t="inlineStr">
        <is>
          <t>2007-04-02</t>
        </is>
      </c>
      <c r="Y258" t="inlineStr">
        <is>
          <t>1990-03-28</t>
        </is>
      </c>
      <c r="Z258" t="inlineStr">
        <is>
          <t>1992-11-03</t>
        </is>
      </c>
      <c r="AA258" t="n">
        <v>1429</v>
      </c>
      <c r="AB258" t="n">
        <v>1307</v>
      </c>
      <c r="AC258" t="n">
        <v>1317</v>
      </c>
      <c r="AD258" t="n">
        <v>20</v>
      </c>
      <c r="AE258" t="n">
        <v>20</v>
      </c>
      <c r="AF258" t="n">
        <v>62</v>
      </c>
      <c r="AG258" t="n">
        <v>62</v>
      </c>
      <c r="AH258" t="n">
        <v>16</v>
      </c>
      <c r="AI258" t="n">
        <v>16</v>
      </c>
      <c r="AJ258" t="n">
        <v>7</v>
      </c>
      <c r="AK258" t="n">
        <v>7</v>
      </c>
      <c r="AL258" t="n">
        <v>19</v>
      </c>
      <c r="AM258" t="n">
        <v>19</v>
      </c>
      <c r="AN258" t="n">
        <v>14</v>
      </c>
      <c r="AO258" t="n">
        <v>14</v>
      </c>
      <c r="AP258" t="n">
        <v>16</v>
      </c>
      <c r="AQ258" t="n">
        <v>16</v>
      </c>
      <c r="AR258" t="inlineStr">
        <is>
          <t>No</t>
        </is>
      </c>
      <c r="AS258" t="inlineStr">
        <is>
          <t>Yes</t>
        </is>
      </c>
      <c r="AT258">
        <f>HYPERLINK("http://catalog.hathitrust.org/Record/001142015","HathiTrust Record")</f>
        <v/>
      </c>
      <c r="AU258">
        <f>HYPERLINK("https://creighton-primo.hosted.exlibrisgroup.com/primo-explore/search?tab=default_tab&amp;search_scope=EVERYTHING&amp;vid=01CRU&amp;lang=en_US&amp;offset=0&amp;query=any,contains,991001690429702656","Catalog Record")</f>
        <v/>
      </c>
      <c r="AV258">
        <f>HYPERLINK("http://www.worldcat.org/oclc/1031217","WorldCat Record")</f>
        <v/>
      </c>
      <c r="AW258" t="inlineStr">
        <is>
          <t>913347189:eng</t>
        </is>
      </c>
      <c r="AX258" t="inlineStr">
        <is>
          <t>1031217</t>
        </is>
      </c>
      <c r="AY258" t="inlineStr">
        <is>
          <t>991001690429702656</t>
        </is>
      </c>
      <c r="AZ258" t="inlineStr">
        <is>
          <t>991001690429702656</t>
        </is>
      </c>
      <c r="BA258" t="inlineStr">
        <is>
          <t>2265549110002656</t>
        </is>
      </c>
      <c r="BB258" t="inlineStr">
        <is>
          <t>BOOK</t>
        </is>
      </c>
      <c r="BD258" t="inlineStr">
        <is>
          <t>9780835208024</t>
        </is>
      </c>
      <c r="BE258" t="inlineStr">
        <is>
          <t>32285000094176</t>
        </is>
      </c>
      <c r="BF258" t="inlineStr">
        <is>
          <t>893408287</t>
        </is>
      </c>
    </row>
    <row r="259">
      <c r="B259" t="inlineStr">
        <is>
          <t>CURAL</t>
        </is>
      </c>
      <c r="C259" t="inlineStr">
        <is>
          <t>SHELVES</t>
        </is>
      </c>
      <c r="D259" t="inlineStr">
        <is>
          <t>KF4710.Z9 M6 1969</t>
        </is>
      </c>
      <c r="E259" t="inlineStr">
        <is>
          <t>0                      KF 4710000Z  9                  M  6           1969</t>
        </is>
      </c>
      <c r="F259" t="inlineStr">
        <is>
          <t>Imminent dangers to the free institutions of the United States through foreign immigration.</t>
        </is>
      </c>
      <c r="H259" t="inlineStr">
        <is>
          <t>No</t>
        </is>
      </c>
      <c r="I259" t="inlineStr">
        <is>
          <t>1</t>
        </is>
      </c>
      <c r="J259" t="inlineStr">
        <is>
          <t>No</t>
        </is>
      </c>
      <c r="K259" t="inlineStr">
        <is>
          <t>No</t>
        </is>
      </c>
      <c r="L259" t="inlineStr">
        <is>
          <t>0</t>
        </is>
      </c>
      <c r="M259" t="inlineStr">
        <is>
          <t>Morse, Samuel Finley Breese, 1791-1872.</t>
        </is>
      </c>
      <c r="N259" t="inlineStr">
        <is>
          <t>New York : Arno Press, 1969.</t>
        </is>
      </c>
      <c r="O259" t="inlineStr">
        <is>
          <t>1969</t>
        </is>
      </c>
      <c r="Q259" t="inlineStr">
        <is>
          <t>eng</t>
        </is>
      </c>
      <c r="R259" t="inlineStr">
        <is>
          <t>nyu</t>
        </is>
      </c>
      <c r="S259" t="inlineStr">
        <is>
          <t>The American immigration collection</t>
        </is>
      </c>
      <c r="T259" t="inlineStr">
        <is>
          <t xml:space="preserve">KF </t>
        </is>
      </c>
      <c r="U259" t="n">
        <v>2</v>
      </c>
      <c r="V259" t="n">
        <v>2</v>
      </c>
      <c r="W259" t="inlineStr">
        <is>
          <t>2010-05-02</t>
        </is>
      </c>
      <c r="X259" t="inlineStr">
        <is>
          <t>2010-05-02</t>
        </is>
      </c>
      <c r="Y259" t="inlineStr">
        <is>
          <t>1993-03-01</t>
        </is>
      </c>
      <c r="Z259" t="inlineStr">
        <is>
          <t>1993-03-01</t>
        </is>
      </c>
      <c r="AA259" t="n">
        <v>424</v>
      </c>
      <c r="AB259" t="n">
        <v>396</v>
      </c>
      <c r="AC259" t="n">
        <v>608</v>
      </c>
      <c r="AD259" t="n">
        <v>3</v>
      </c>
      <c r="AE259" t="n">
        <v>5</v>
      </c>
      <c r="AF259" t="n">
        <v>26</v>
      </c>
      <c r="AG259" t="n">
        <v>33</v>
      </c>
      <c r="AH259" t="n">
        <v>8</v>
      </c>
      <c r="AI259" t="n">
        <v>11</v>
      </c>
      <c r="AJ259" t="n">
        <v>9</v>
      </c>
      <c r="AK259" t="n">
        <v>10</v>
      </c>
      <c r="AL259" t="n">
        <v>14</v>
      </c>
      <c r="AM259" t="n">
        <v>15</v>
      </c>
      <c r="AN259" t="n">
        <v>2</v>
      </c>
      <c r="AO259" t="n">
        <v>4</v>
      </c>
      <c r="AP259" t="n">
        <v>1</v>
      </c>
      <c r="AQ259" t="n">
        <v>1</v>
      </c>
      <c r="AR259" t="inlineStr">
        <is>
          <t>No</t>
        </is>
      </c>
      <c r="AS259" t="inlineStr">
        <is>
          <t>Yes</t>
        </is>
      </c>
      <c r="AT259">
        <f>HYPERLINK("http://catalog.hathitrust.org/Record/001151947","HathiTrust Record")</f>
        <v/>
      </c>
      <c r="AU259">
        <f>HYPERLINK("https://creighton-primo.hosted.exlibrisgroup.com/primo-explore/search?tab=default_tab&amp;search_scope=EVERYTHING&amp;vid=01CRU&amp;lang=en_US&amp;offset=0&amp;query=any,contains,991000005189702656","Catalog Record")</f>
        <v/>
      </c>
      <c r="AV259">
        <f>HYPERLINK("http://www.worldcat.org/oclc/13041","WorldCat Record")</f>
        <v/>
      </c>
      <c r="AW259" t="inlineStr">
        <is>
          <t>4924921125:eng</t>
        </is>
      </c>
      <c r="AX259" t="inlineStr">
        <is>
          <t>13041</t>
        </is>
      </c>
      <c r="AY259" t="inlineStr">
        <is>
          <t>991000005189702656</t>
        </is>
      </c>
      <c r="AZ259" t="inlineStr">
        <is>
          <t>991000005189702656</t>
        </is>
      </c>
      <c r="BA259" t="inlineStr">
        <is>
          <t>2264306920002656</t>
        </is>
      </c>
      <c r="BB259" t="inlineStr">
        <is>
          <t>BOOK</t>
        </is>
      </c>
      <c r="BE259" t="inlineStr">
        <is>
          <t>32285001541605</t>
        </is>
      </c>
      <c r="BF259" t="inlineStr">
        <is>
          <t>893314585</t>
        </is>
      </c>
    </row>
    <row r="260">
      <c r="B260" t="inlineStr">
        <is>
          <t>CURAL</t>
        </is>
      </c>
      <c r="C260" t="inlineStr">
        <is>
          <t>SHELVES</t>
        </is>
      </c>
      <c r="D260" t="inlineStr">
        <is>
          <t>KF4749 .A73 1977</t>
        </is>
      </c>
      <c r="E260" t="inlineStr">
        <is>
          <t>0                      KF 4749000A  73          1977</t>
        </is>
      </c>
      <c r="F260" t="inlineStr">
        <is>
          <t>Freedom and the Court : civil rights and liberties in the United States / Henry J. Abraham.</t>
        </is>
      </c>
      <c r="H260" t="inlineStr">
        <is>
          <t>No</t>
        </is>
      </c>
      <c r="I260" t="inlineStr">
        <is>
          <t>1</t>
        </is>
      </c>
      <c r="J260" t="inlineStr">
        <is>
          <t>Yes</t>
        </is>
      </c>
      <c r="K260" t="inlineStr">
        <is>
          <t>Yes</t>
        </is>
      </c>
      <c r="L260" t="inlineStr">
        <is>
          <t>0</t>
        </is>
      </c>
      <c r="M260" t="inlineStr">
        <is>
          <t>Abraham, Henry J. (Henry Julian), 1921-2020.</t>
        </is>
      </c>
      <c r="N260" t="inlineStr">
        <is>
          <t>New York : Oxford University Press, 1977.</t>
        </is>
      </c>
      <c r="O260" t="inlineStr">
        <is>
          <t>1977</t>
        </is>
      </c>
      <c r="P260" t="inlineStr">
        <is>
          <t>3d ed.</t>
        </is>
      </c>
      <c r="Q260" t="inlineStr">
        <is>
          <t>eng</t>
        </is>
      </c>
      <c r="R260" t="inlineStr">
        <is>
          <t>nyu</t>
        </is>
      </c>
      <c r="T260" t="inlineStr">
        <is>
          <t xml:space="preserve">KF </t>
        </is>
      </c>
      <c r="U260" t="n">
        <v>2</v>
      </c>
      <c r="V260" t="n">
        <v>2</v>
      </c>
      <c r="W260" t="inlineStr">
        <is>
          <t>2001-10-11</t>
        </is>
      </c>
      <c r="X260" t="inlineStr">
        <is>
          <t>2001-10-11</t>
        </is>
      </c>
      <c r="Y260" t="inlineStr">
        <is>
          <t>1997-04-16</t>
        </is>
      </c>
      <c r="Z260" t="inlineStr">
        <is>
          <t>2006-05-15</t>
        </is>
      </c>
      <c r="AA260" t="n">
        <v>585</v>
      </c>
      <c r="AB260" t="n">
        <v>485</v>
      </c>
      <c r="AC260" t="n">
        <v>1813</v>
      </c>
      <c r="AD260" t="n">
        <v>3</v>
      </c>
      <c r="AE260" t="n">
        <v>14</v>
      </c>
      <c r="AF260" t="n">
        <v>26</v>
      </c>
      <c r="AG260" t="n">
        <v>81</v>
      </c>
      <c r="AH260" t="n">
        <v>5</v>
      </c>
      <c r="AI260" t="n">
        <v>26</v>
      </c>
      <c r="AJ260" t="n">
        <v>3</v>
      </c>
      <c r="AK260" t="n">
        <v>10</v>
      </c>
      <c r="AL260" t="n">
        <v>4</v>
      </c>
      <c r="AM260" t="n">
        <v>24</v>
      </c>
      <c r="AN260" t="n">
        <v>1</v>
      </c>
      <c r="AO260" t="n">
        <v>10</v>
      </c>
      <c r="AP260" t="n">
        <v>16</v>
      </c>
      <c r="AQ260" t="n">
        <v>24</v>
      </c>
      <c r="AR260" t="inlineStr">
        <is>
          <t>No</t>
        </is>
      </c>
      <c r="AS260" t="inlineStr">
        <is>
          <t>Yes</t>
        </is>
      </c>
      <c r="AT260">
        <f>HYPERLINK("http://catalog.hathitrust.org/Record/009493313","HathiTrust Record")</f>
        <v/>
      </c>
      <c r="AU260">
        <f>HYPERLINK("https://creighton-primo.hosted.exlibrisgroup.com/primo-explore/search?tab=default_tab&amp;search_scope=EVERYTHING&amp;vid=01CRU&amp;lang=en_US&amp;offset=0&amp;query=any,contains,991001657419702656","Catalog Record")</f>
        <v/>
      </c>
      <c r="AV260">
        <f>HYPERLINK("http://www.worldcat.org/oclc/2832427","WorldCat Record")</f>
        <v/>
      </c>
      <c r="AW260" t="inlineStr">
        <is>
          <t>728344:eng</t>
        </is>
      </c>
      <c r="AX260" t="inlineStr">
        <is>
          <t>2832427</t>
        </is>
      </c>
      <c r="AY260" t="inlineStr">
        <is>
          <t>991001657419702656</t>
        </is>
      </c>
      <c r="AZ260" t="inlineStr">
        <is>
          <t>991001657419702656</t>
        </is>
      </c>
      <c r="BA260" t="inlineStr">
        <is>
          <t>2260506510002656</t>
        </is>
      </c>
      <c r="BB260" t="inlineStr">
        <is>
          <t>BOOK</t>
        </is>
      </c>
      <c r="BD260" t="inlineStr">
        <is>
          <t>9780195021356</t>
        </is>
      </c>
      <c r="BE260" t="inlineStr">
        <is>
          <t>32285002551744</t>
        </is>
      </c>
      <c r="BF260" t="inlineStr">
        <is>
          <t>893590516</t>
        </is>
      </c>
    </row>
    <row r="261">
      <c r="B261" t="inlineStr">
        <is>
          <t>CURAL</t>
        </is>
      </c>
      <c r="C261" t="inlineStr">
        <is>
          <t>SHELVES</t>
        </is>
      </c>
      <c r="D261" t="inlineStr">
        <is>
          <t>KF4749 .C63</t>
        </is>
      </c>
      <c r="E261" t="inlineStr">
        <is>
          <t>0                      KF 4749000C  63</t>
        </is>
      </c>
      <c r="F261" t="inlineStr">
        <is>
          <t>Civil disobedience: conscience, tactics, and the law.</t>
        </is>
      </c>
      <c r="H261" t="inlineStr">
        <is>
          <t>No</t>
        </is>
      </c>
      <c r="I261" t="inlineStr">
        <is>
          <t>1</t>
        </is>
      </c>
      <c r="J261" t="inlineStr">
        <is>
          <t>Yes</t>
        </is>
      </c>
      <c r="K261" t="inlineStr">
        <is>
          <t>No</t>
        </is>
      </c>
      <c r="L261" t="inlineStr">
        <is>
          <t>0</t>
        </is>
      </c>
      <c r="M261" t="inlineStr">
        <is>
          <t>Cohen, Carl, 1931-</t>
        </is>
      </c>
      <c r="N261" t="inlineStr">
        <is>
          <t>New York, Columbia University Press, 1971.</t>
        </is>
      </c>
      <c r="O261" t="inlineStr">
        <is>
          <t>1971</t>
        </is>
      </c>
      <c r="Q261" t="inlineStr">
        <is>
          <t>eng</t>
        </is>
      </c>
      <c r="R261" t="inlineStr">
        <is>
          <t>nyu</t>
        </is>
      </c>
      <c r="T261" t="inlineStr">
        <is>
          <t xml:space="preserve">KF </t>
        </is>
      </c>
      <c r="U261" t="n">
        <v>7</v>
      </c>
      <c r="V261" t="n">
        <v>7</v>
      </c>
      <c r="W261" t="inlineStr">
        <is>
          <t>2004-09-01</t>
        </is>
      </c>
      <c r="X261" t="inlineStr">
        <is>
          <t>2004-09-01</t>
        </is>
      </c>
      <c r="Y261" t="inlineStr">
        <is>
          <t>1997-04-16</t>
        </is>
      </c>
      <c r="Z261" t="inlineStr">
        <is>
          <t>1997-04-16</t>
        </is>
      </c>
      <c r="AA261" t="n">
        <v>1180</v>
      </c>
      <c r="AB261" t="n">
        <v>1027</v>
      </c>
      <c r="AC261" t="n">
        <v>1039</v>
      </c>
      <c r="AD261" t="n">
        <v>8</v>
      </c>
      <c r="AE261" t="n">
        <v>8</v>
      </c>
      <c r="AF261" t="n">
        <v>44</v>
      </c>
      <c r="AG261" t="n">
        <v>44</v>
      </c>
      <c r="AH261" t="n">
        <v>11</v>
      </c>
      <c r="AI261" t="n">
        <v>11</v>
      </c>
      <c r="AJ261" t="n">
        <v>6</v>
      </c>
      <c r="AK261" t="n">
        <v>6</v>
      </c>
      <c r="AL261" t="n">
        <v>16</v>
      </c>
      <c r="AM261" t="n">
        <v>16</v>
      </c>
      <c r="AN261" t="n">
        <v>5</v>
      </c>
      <c r="AO261" t="n">
        <v>5</v>
      </c>
      <c r="AP261" t="n">
        <v>12</v>
      </c>
      <c r="AQ261" t="n">
        <v>12</v>
      </c>
      <c r="AR261" t="inlineStr">
        <is>
          <t>No</t>
        </is>
      </c>
      <c r="AS261" t="inlineStr">
        <is>
          <t>No</t>
        </is>
      </c>
      <c r="AU261">
        <f>HYPERLINK("https://creighton-primo.hosted.exlibrisgroup.com/primo-explore/search?tab=default_tab&amp;search_scope=EVERYTHING&amp;vid=01CRU&amp;lang=en_US&amp;offset=0&amp;query=any,contains,991001739839702656","Catalog Record")</f>
        <v/>
      </c>
      <c r="AV261">
        <f>HYPERLINK("http://www.worldcat.org/oclc/136821","WorldCat Record")</f>
        <v/>
      </c>
      <c r="AW261" t="inlineStr">
        <is>
          <t>1287964:eng</t>
        </is>
      </c>
      <c r="AX261" t="inlineStr">
        <is>
          <t>136821</t>
        </is>
      </c>
      <c r="AY261" t="inlineStr">
        <is>
          <t>991001739839702656</t>
        </is>
      </c>
      <c r="AZ261" t="inlineStr">
        <is>
          <t>991001739839702656</t>
        </is>
      </c>
      <c r="BA261" t="inlineStr">
        <is>
          <t>2264003690002656</t>
        </is>
      </c>
      <c r="BB261" t="inlineStr">
        <is>
          <t>BOOK</t>
        </is>
      </c>
      <c r="BD261" t="inlineStr">
        <is>
          <t>9780231034708</t>
        </is>
      </c>
      <c r="BE261" t="inlineStr">
        <is>
          <t>32285002551769</t>
        </is>
      </c>
      <c r="BF261" t="inlineStr">
        <is>
          <t>893340659</t>
        </is>
      </c>
    </row>
    <row r="262">
      <c r="B262" t="inlineStr">
        <is>
          <t>CURAL</t>
        </is>
      </c>
      <c r="C262" t="inlineStr">
        <is>
          <t>SHELVES</t>
        </is>
      </c>
      <c r="D262" t="inlineStr">
        <is>
          <t>KF4749 .L56 1990</t>
        </is>
      </c>
      <c r="E262" t="inlineStr">
        <is>
          <t>0                      KF 4749000L  56          1990</t>
        </is>
      </c>
      <c r="F262" t="inlineStr">
        <is>
          <t>Freedom under fire : U.S. civil liberties in times of war / by Michael Linfield.</t>
        </is>
      </c>
      <c r="H262" t="inlineStr">
        <is>
          <t>No</t>
        </is>
      </c>
      <c r="I262" t="inlineStr">
        <is>
          <t>1</t>
        </is>
      </c>
      <c r="J262" t="inlineStr">
        <is>
          <t>Yes</t>
        </is>
      </c>
      <c r="K262" t="inlineStr">
        <is>
          <t>No</t>
        </is>
      </c>
      <c r="L262" t="inlineStr">
        <is>
          <t>0</t>
        </is>
      </c>
      <c r="M262" t="inlineStr">
        <is>
          <t>Linfield, Michael.</t>
        </is>
      </c>
      <c r="N262" t="inlineStr">
        <is>
          <t>Boston, MA : South End Press, c1990.</t>
        </is>
      </c>
      <c r="O262" t="inlineStr">
        <is>
          <t>1990</t>
        </is>
      </c>
      <c r="Q262" t="inlineStr">
        <is>
          <t>eng</t>
        </is>
      </c>
      <c r="R262" t="inlineStr">
        <is>
          <t>mau</t>
        </is>
      </c>
      <c r="T262" t="inlineStr">
        <is>
          <t xml:space="preserve">KF </t>
        </is>
      </c>
      <c r="U262" t="n">
        <v>2</v>
      </c>
      <c r="V262" t="n">
        <v>2</v>
      </c>
      <c r="W262" t="inlineStr">
        <is>
          <t>2005-11-05</t>
        </is>
      </c>
      <c r="X262" t="inlineStr">
        <is>
          <t>2005-11-05</t>
        </is>
      </c>
      <c r="Y262" t="inlineStr">
        <is>
          <t>1992-03-25</t>
        </is>
      </c>
      <c r="Z262" t="inlineStr">
        <is>
          <t>1992-03-25</t>
        </is>
      </c>
      <c r="AA262" t="n">
        <v>531</v>
      </c>
      <c r="AB262" t="n">
        <v>502</v>
      </c>
      <c r="AC262" t="n">
        <v>508</v>
      </c>
      <c r="AD262" t="n">
        <v>5</v>
      </c>
      <c r="AE262" t="n">
        <v>5</v>
      </c>
      <c r="AF262" t="n">
        <v>30</v>
      </c>
      <c r="AG262" t="n">
        <v>30</v>
      </c>
      <c r="AH262" t="n">
        <v>5</v>
      </c>
      <c r="AI262" t="n">
        <v>5</v>
      </c>
      <c r="AJ262" t="n">
        <v>5</v>
      </c>
      <c r="AK262" t="n">
        <v>5</v>
      </c>
      <c r="AL262" t="n">
        <v>9</v>
      </c>
      <c r="AM262" t="n">
        <v>9</v>
      </c>
      <c r="AN262" t="n">
        <v>3</v>
      </c>
      <c r="AO262" t="n">
        <v>3</v>
      </c>
      <c r="AP262" t="n">
        <v>12</v>
      </c>
      <c r="AQ262" t="n">
        <v>12</v>
      </c>
      <c r="AR262" t="inlineStr">
        <is>
          <t>No</t>
        </is>
      </c>
      <c r="AS262" t="inlineStr">
        <is>
          <t>Yes</t>
        </is>
      </c>
      <c r="AT262">
        <f>HYPERLINK("http://catalog.hathitrust.org/Record/002053808","HathiTrust Record")</f>
        <v/>
      </c>
      <c r="AU262">
        <f>HYPERLINK("https://creighton-primo.hosted.exlibrisgroup.com/primo-explore/search?tab=default_tab&amp;search_scope=EVERYTHING&amp;vid=01CRU&amp;lang=en_US&amp;offset=0&amp;query=any,contains,991001644339702656","Catalog Record")</f>
        <v/>
      </c>
      <c r="AV262">
        <f>HYPERLINK("http://www.worldcat.org/oclc/20994905","WorldCat Record")</f>
        <v/>
      </c>
      <c r="AW262" t="inlineStr">
        <is>
          <t>367532116:eng</t>
        </is>
      </c>
      <c r="AX262" t="inlineStr">
        <is>
          <t>20994905</t>
        </is>
      </c>
      <c r="AY262" t="inlineStr">
        <is>
          <t>991001644339702656</t>
        </is>
      </c>
      <c r="AZ262" t="inlineStr">
        <is>
          <t>991001644339702656</t>
        </is>
      </c>
      <c r="BA262" t="inlineStr">
        <is>
          <t>2270017340002656</t>
        </is>
      </c>
      <c r="BB262" t="inlineStr">
        <is>
          <t>BOOK</t>
        </is>
      </c>
      <c r="BD262" t="inlineStr">
        <is>
          <t>9780896083745</t>
        </is>
      </c>
      <c r="BE262" t="inlineStr">
        <is>
          <t>32285001005254</t>
        </is>
      </c>
      <c r="BF262" t="inlineStr">
        <is>
          <t>893334436</t>
        </is>
      </c>
    </row>
    <row r="263">
      <c r="B263" t="inlineStr">
        <is>
          <t>CURAL</t>
        </is>
      </c>
      <c r="C263" t="inlineStr">
        <is>
          <t>SHELVES</t>
        </is>
      </c>
      <c r="D263" t="inlineStr">
        <is>
          <t>KF4749 .O52 1993</t>
        </is>
      </c>
      <c r="E263" t="inlineStr">
        <is>
          <t>0                      KF 4749000O  52          1993</t>
        </is>
      </c>
      <c r="F263" t="inlineStr">
        <is>
          <t>Old rights and new / edited by Robert A. Licht.</t>
        </is>
      </c>
      <c r="H263" t="inlineStr">
        <is>
          <t>No</t>
        </is>
      </c>
      <c r="I263" t="inlineStr">
        <is>
          <t>1</t>
        </is>
      </c>
      <c r="J263" t="inlineStr">
        <is>
          <t>No</t>
        </is>
      </c>
      <c r="K263" t="inlineStr">
        <is>
          <t>No</t>
        </is>
      </c>
      <c r="L263" t="inlineStr">
        <is>
          <t>0</t>
        </is>
      </c>
      <c r="N263" t="inlineStr">
        <is>
          <t>Washington, D.C. : AEI Press ; Lanham, MD : Distributed by arrangement with University Press of America, 1993.</t>
        </is>
      </c>
      <c r="O263" t="inlineStr">
        <is>
          <t>1993</t>
        </is>
      </c>
      <c r="Q263" t="inlineStr">
        <is>
          <t>eng</t>
        </is>
      </c>
      <c r="R263" t="inlineStr">
        <is>
          <t>dcu</t>
        </is>
      </c>
      <c r="S263" t="inlineStr">
        <is>
          <t>The Rights explosion</t>
        </is>
      </c>
      <c r="T263" t="inlineStr">
        <is>
          <t xml:space="preserve">KF </t>
        </is>
      </c>
      <c r="U263" t="n">
        <v>1</v>
      </c>
      <c r="V263" t="n">
        <v>1</v>
      </c>
      <c r="W263" t="inlineStr">
        <is>
          <t>1998-04-29</t>
        </is>
      </c>
      <c r="X263" t="inlineStr">
        <is>
          <t>1998-04-29</t>
        </is>
      </c>
      <c r="Y263" t="inlineStr">
        <is>
          <t>1997-01-13</t>
        </is>
      </c>
      <c r="Z263" t="inlineStr">
        <is>
          <t>1997-01-13</t>
        </is>
      </c>
      <c r="AA263" t="n">
        <v>464</v>
      </c>
      <c r="AB263" t="n">
        <v>433</v>
      </c>
      <c r="AC263" t="n">
        <v>450</v>
      </c>
      <c r="AD263" t="n">
        <v>3</v>
      </c>
      <c r="AE263" t="n">
        <v>3</v>
      </c>
      <c r="AF263" t="n">
        <v>32</v>
      </c>
      <c r="AG263" t="n">
        <v>32</v>
      </c>
      <c r="AH263" t="n">
        <v>9</v>
      </c>
      <c r="AI263" t="n">
        <v>9</v>
      </c>
      <c r="AJ263" t="n">
        <v>4</v>
      </c>
      <c r="AK263" t="n">
        <v>4</v>
      </c>
      <c r="AL263" t="n">
        <v>11</v>
      </c>
      <c r="AM263" t="n">
        <v>11</v>
      </c>
      <c r="AN263" t="n">
        <v>2</v>
      </c>
      <c r="AO263" t="n">
        <v>2</v>
      </c>
      <c r="AP263" t="n">
        <v>12</v>
      </c>
      <c r="AQ263" t="n">
        <v>12</v>
      </c>
      <c r="AR263" t="inlineStr">
        <is>
          <t>No</t>
        </is>
      </c>
      <c r="AS263" t="inlineStr">
        <is>
          <t>Yes</t>
        </is>
      </c>
      <c r="AT263">
        <f>HYPERLINK("http://catalog.hathitrust.org/Record/002816124","HathiTrust Record")</f>
        <v/>
      </c>
      <c r="AU263">
        <f>HYPERLINK("https://creighton-primo.hosted.exlibrisgroup.com/primo-explore/search?tab=default_tab&amp;search_scope=EVERYTHING&amp;vid=01CRU&amp;lang=en_US&amp;offset=0&amp;query=any,contains,991002152139702656","Catalog Record")</f>
        <v/>
      </c>
      <c r="AV263">
        <f>HYPERLINK("http://www.worldcat.org/oclc/27727620","WorldCat Record")</f>
        <v/>
      </c>
      <c r="AW263" t="inlineStr">
        <is>
          <t>358742:eng</t>
        </is>
      </c>
      <c r="AX263" t="inlineStr">
        <is>
          <t>27727620</t>
        </is>
      </c>
      <c r="AY263" t="inlineStr">
        <is>
          <t>991002152139702656</t>
        </is>
      </c>
      <c r="AZ263" t="inlineStr">
        <is>
          <t>991002152139702656</t>
        </is>
      </c>
      <c r="BA263" t="inlineStr">
        <is>
          <t>2264467370002656</t>
        </is>
      </c>
      <c r="BB263" t="inlineStr">
        <is>
          <t>BOOK</t>
        </is>
      </c>
      <c r="BD263" t="inlineStr">
        <is>
          <t>9780844737751</t>
        </is>
      </c>
      <c r="BE263" t="inlineStr">
        <is>
          <t>32285002407038</t>
        </is>
      </c>
      <c r="BF263" t="inlineStr">
        <is>
          <t>893798241</t>
        </is>
      </c>
    </row>
    <row r="264">
      <c r="B264" t="inlineStr">
        <is>
          <t>CURAL</t>
        </is>
      </c>
      <c r="C264" t="inlineStr">
        <is>
          <t>SHELVES</t>
        </is>
      </c>
      <c r="D264" t="inlineStr">
        <is>
          <t>KF4749 .P43 1982</t>
        </is>
      </c>
      <c r="E264" t="inlineStr">
        <is>
          <t>0                      KF 4749000P  43          1982</t>
        </is>
      </c>
      <c r="F264" t="inlineStr">
        <is>
          <t>The Constitution, the courts, and human rights : an inquiry into the legitimacy of constitutional policymaking by the judiciary / Michael J. Perry.</t>
        </is>
      </c>
      <c r="H264" t="inlineStr">
        <is>
          <t>No</t>
        </is>
      </c>
      <c r="I264" t="inlineStr">
        <is>
          <t>1</t>
        </is>
      </c>
      <c r="J264" t="inlineStr">
        <is>
          <t>Yes</t>
        </is>
      </c>
      <c r="K264" t="inlineStr">
        <is>
          <t>No</t>
        </is>
      </c>
      <c r="L264" t="inlineStr">
        <is>
          <t>0</t>
        </is>
      </c>
      <c r="M264" t="inlineStr">
        <is>
          <t>Perry, Michael J.</t>
        </is>
      </c>
      <c r="N264" t="inlineStr">
        <is>
          <t>New Haven : Yale University Press, c1982.</t>
        </is>
      </c>
      <c r="O264" t="inlineStr">
        <is>
          <t>1982</t>
        </is>
      </c>
      <c r="Q264" t="inlineStr">
        <is>
          <t>eng</t>
        </is>
      </c>
      <c r="R264" t="inlineStr">
        <is>
          <t>ctu</t>
        </is>
      </c>
      <c r="T264" t="inlineStr">
        <is>
          <t xml:space="preserve">KF </t>
        </is>
      </c>
      <c r="U264" t="n">
        <v>3</v>
      </c>
      <c r="V264" t="n">
        <v>3</v>
      </c>
      <c r="W264" t="inlineStr">
        <is>
          <t>2005-03-04</t>
        </is>
      </c>
      <c r="X264" t="inlineStr">
        <is>
          <t>2005-03-04</t>
        </is>
      </c>
      <c r="Y264" t="inlineStr">
        <is>
          <t>1992-04-20</t>
        </is>
      </c>
      <c r="Z264" t="inlineStr">
        <is>
          <t>2004-06-28</t>
        </is>
      </c>
      <c r="AA264" t="n">
        <v>917</v>
      </c>
      <c r="AB264" t="n">
        <v>767</v>
      </c>
      <c r="AC264" t="n">
        <v>770</v>
      </c>
      <c r="AD264" t="n">
        <v>8</v>
      </c>
      <c r="AE264" t="n">
        <v>8</v>
      </c>
      <c r="AF264" t="n">
        <v>55</v>
      </c>
      <c r="AG264" t="n">
        <v>56</v>
      </c>
      <c r="AH264" t="n">
        <v>14</v>
      </c>
      <c r="AI264" t="n">
        <v>15</v>
      </c>
      <c r="AJ264" t="n">
        <v>8</v>
      </c>
      <c r="AK264" t="n">
        <v>8</v>
      </c>
      <c r="AL264" t="n">
        <v>14</v>
      </c>
      <c r="AM264" t="n">
        <v>14</v>
      </c>
      <c r="AN264" t="n">
        <v>5</v>
      </c>
      <c r="AO264" t="n">
        <v>5</v>
      </c>
      <c r="AP264" t="n">
        <v>23</v>
      </c>
      <c r="AQ264" t="n">
        <v>23</v>
      </c>
      <c r="AR264" t="inlineStr">
        <is>
          <t>No</t>
        </is>
      </c>
      <c r="AS264" t="inlineStr">
        <is>
          <t>No</t>
        </is>
      </c>
      <c r="AU264">
        <f>HYPERLINK("https://creighton-primo.hosted.exlibrisgroup.com/primo-explore/search?tab=default_tab&amp;search_scope=EVERYTHING&amp;vid=01CRU&amp;lang=en_US&amp;offset=0&amp;query=any,contains,991001622439702656","Catalog Record")</f>
        <v/>
      </c>
      <c r="AV264">
        <f>HYPERLINK("http://www.worldcat.org/oclc/8493276","WorldCat Record")</f>
        <v/>
      </c>
      <c r="AW264" t="inlineStr">
        <is>
          <t>894519487:eng</t>
        </is>
      </c>
      <c r="AX264" t="inlineStr">
        <is>
          <t>8493276</t>
        </is>
      </c>
      <c r="AY264" t="inlineStr">
        <is>
          <t>991001622439702656</t>
        </is>
      </c>
      <c r="AZ264" t="inlineStr">
        <is>
          <t>991001622439702656</t>
        </is>
      </c>
      <c r="BA264" t="inlineStr">
        <is>
          <t>2261627310002656</t>
        </is>
      </c>
      <c r="BB264" t="inlineStr">
        <is>
          <t>BOOK</t>
        </is>
      </c>
      <c r="BD264" t="inlineStr">
        <is>
          <t>9780300027457</t>
        </is>
      </c>
      <c r="BE264" t="inlineStr">
        <is>
          <t>32285001035897</t>
        </is>
      </c>
      <c r="BF264" t="inlineStr">
        <is>
          <t>893534609</t>
        </is>
      </c>
    </row>
    <row r="265">
      <c r="B265" t="inlineStr">
        <is>
          <t>CURAL</t>
        </is>
      </c>
      <c r="C265" t="inlineStr">
        <is>
          <t>SHELVES</t>
        </is>
      </c>
      <c r="D265" t="inlineStr">
        <is>
          <t>KF4749.A2 M87</t>
        </is>
      </c>
      <c r="E265" t="inlineStr">
        <is>
          <t>0                      KF 4749000A  2                  M  87</t>
        </is>
      </c>
      <c r="F265" t="inlineStr">
        <is>
          <t>Civil disobedience and violence / edited by Jeffrie G. Murphy.</t>
        </is>
      </c>
      <c r="H265" t="inlineStr">
        <is>
          <t>No</t>
        </is>
      </c>
      <c r="I265" t="inlineStr">
        <is>
          <t>1</t>
        </is>
      </c>
      <c r="J265" t="inlineStr">
        <is>
          <t>No</t>
        </is>
      </c>
      <c r="K265" t="inlineStr">
        <is>
          <t>No</t>
        </is>
      </c>
      <c r="L265" t="inlineStr">
        <is>
          <t>0</t>
        </is>
      </c>
      <c r="M265" t="inlineStr">
        <is>
          <t>Murphy, Jeffrie G. compiler.</t>
        </is>
      </c>
      <c r="N265" t="inlineStr">
        <is>
          <t>Belmont, Calif. : Wadsworth Pub. Co., [1971]</t>
        </is>
      </c>
      <c r="O265" t="inlineStr">
        <is>
          <t>1971</t>
        </is>
      </c>
      <c r="Q265" t="inlineStr">
        <is>
          <t>eng</t>
        </is>
      </c>
      <c r="R265" t="inlineStr">
        <is>
          <t>cau</t>
        </is>
      </c>
      <c r="S265" t="inlineStr">
        <is>
          <t>Basic problems in philosophy series</t>
        </is>
      </c>
      <c r="T265" t="inlineStr">
        <is>
          <t xml:space="preserve">KF </t>
        </is>
      </c>
      <c r="U265" t="n">
        <v>13</v>
      </c>
      <c r="V265" t="n">
        <v>13</v>
      </c>
      <c r="W265" t="inlineStr">
        <is>
          <t>2006-03-31</t>
        </is>
      </c>
      <c r="X265" t="inlineStr">
        <is>
          <t>2006-03-31</t>
        </is>
      </c>
      <c r="Y265" t="inlineStr">
        <is>
          <t>1995-04-03</t>
        </is>
      </c>
      <c r="Z265" t="inlineStr">
        <is>
          <t>1995-04-03</t>
        </is>
      </c>
      <c r="AA265" t="n">
        <v>388</v>
      </c>
      <c r="AB265" t="n">
        <v>308</v>
      </c>
      <c r="AC265" t="n">
        <v>309</v>
      </c>
      <c r="AD265" t="n">
        <v>4</v>
      </c>
      <c r="AE265" t="n">
        <v>4</v>
      </c>
      <c r="AF265" t="n">
        <v>10</v>
      </c>
      <c r="AG265" t="n">
        <v>10</v>
      </c>
      <c r="AH265" t="n">
        <v>1</v>
      </c>
      <c r="AI265" t="n">
        <v>1</v>
      </c>
      <c r="AJ265" t="n">
        <v>0</v>
      </c>
      <c r="AK265" t="n">
        <v>0</v>
      </c>
      <c r="AL265" t="n">
        <v>2</v>
      </c>
      <c r="AM265" t="n">
        <v>2</v>
      </c>
      <c r="AN265" t="n">
        <v>2</v>
      </c>
      <c r="AO265" t="n">
        <v>2</v>
      </c>
      <c r="AP265" t="n">
        <v>6</v>
      </c>
      <c r="AQ265" t="n">
        <v>6</v>
      </c>
      <c r="AR265" t="inlineStr">
        <is>
          <t>No</t>
        </is>
      </c>
      <c r="AS265" t="inlineStr">
        <is>
          <t>No</t>
        </is>
      </c>
      <c r="AU265">
        <f>HYPERLINK("https://creighton-primo.hosted.exlibrisgroup.com/primo-explore/search?tab=default_tab&amp;search_scope=EVERYTHING&amp;vid=01CRU&amp;lang=en_US&amp;offset=0&amp;query=any,contains,991000908499702656","Catalog Record")</f>
        <v/>
      </c>
      <c r="AV265">
        <f>HYPERLINK("http://www.worldcat.org/oclc/158695","WorldCat Record")</f>
        <v/>
      </c>
      <c r="AW265" t="inlineStr">
        <is>
          <t>1198431:eng</t>
        </is>
      </c>
      <c r="AX265" t="inlineStr">
        <is>
          <t>158695</t>
        </is>
      </c>
      <c r="AY265" t="inlineStr">
        <is>
          <t>991000908499702656</t>
        </is>
      </c>
      <c r="AZ265" t="inlineStr">
        <is>
          <t>991000908499702656</t>
        </is>
      </c>
      <c r="BA265" t="inlineStr">
        <is>
          <t>2258601090002656</t>
        </is>
      </c>
      <c r="BB265" t="inlineStr">
        <is>
          <t>BOOK</t>
        </is>
      </c>
      <c r="BE265" t="inlineStr">
        <is>
          <t>32285002015757</t>
        </is>
      </c>
      <c r="BF265" t="inlineStr">
        <is>
          <t>893683851</t>
        </is>
      </c>
    </row>
    <row r="266">
      <c r="B266" t="inlineStr">
        <is>
          <t>CURAL</t>
        </is>
      </c>
      <c r="C266" t="inlineStr">
        <is>
          <t>SHELVES</t>
        </is>
      </c>
      <c r="D266" t="inlineStr">
        <is>
          <t>KF4750 .F6</t>
        </is>
      </c>
      <c r="E266" t="inlineStr">
        <is>
          <t>0                      KF 4750000F  6</t>
        </is>
      </c>
      <c r="F266" t="inlineStr">
        <is>
          <t>Concerning dissent and civil disobedience.</t>
        </is>
      </c>
      <c r="H266" t="inlineStr">
        <is>
          <t>No</t>
        </is>
      </c>
      <c r="I266" t="inlineStr">
        <is>
          <t>1</t>
        </is>
      </c>
      <c r="J266" t="inlineStr">
        <is>
          <t>No</t>
        </is>
      </c>
      <c r="K266" t="inlineStr">
        <is>
          <t>No</t>
        </is>
      </c>
      <c r="L266" t="inlineStr">
        <is>
          <t>0</t>
        </is>
      </c>
      <c r="M266" t="inlineStr">
        <is>
          <t>Fortas, Abe.</t>
        </is>
      </c>
      <c r="N266" t="inlineStr">
        <is>
          <t>[New York] New American Library [1968]</t>
        </is>
      </c>
      <c r="O266" t="inlineStr">
        <is>
          <t>1968</t>
        </is>
      </c>
      <c r="Q266" t="inlineStr">
        <is>
          <t>eng</t>
        </is>
      </c>
      <c r="R266" t="inlineStr">
        <is>
          <t>nyu</t>
        </is>
      </c>
      <c r="S266" t="inlineStr">
        <is>
          <t>A Signet special broadside no. 3</t>
        </is>
      </c>
      <c r="T266" t="inlineStr">
        <is>
          <t xml:space="preserve">KF </t>
        </is>
      </c>
      <c r="U266" t="n">
        <v>5</v>
      </c>
      <c r="V266" t="n">
        <v>5</v>
      </c>
      <c r="W266" t="inlineStr">
        <is>
          <t>2003-09-10</t>
        </is>
      </c>
      <c r="X266" t="inlineStr">
        <is>
          <t>2003-09-10</t>
        </is>
      </c>
      <c r="Y266" t="inlineStr">
        <is>
          <t>1997-04-16</t>
        </is>
      </c>
      <c r="Z266" t="inlineStr">
        <is>
          <t>1997-04-16</t>
        </is>
      </c>
      <c r="AA266" t="n">
        <v>943</v>
      </c>
      <c r="AB266" t="n">
        <v>881</v>
      </c>
      <c r="AC266" t="n">
        <v>1333</v>
      </c>
      <c r="AD266" t="n">
        <v>11</v>
      </c>
      <c r="AE266" t="n">
        <v>14</v>
      </c>
      <c r="AF266" t="n">
        <v>47</v>
      </c>
      <c r="AG266" t="n">
        <v>66</v>
      </c>
      <c r="AH266" t="n">
        <v>9</v>
      </c>
      <c r="AI266" t="n">
        <v>16</v>
      </c>
      <c r="AJ266" t="n">
        <v>5</v>
      </c>
      <c r="AK266" t="n">
        <v>7</v>
      </c>
      <c r="AL266" t="n">
        <v>19</v>
      </c>
      <c r="AM266" t="n">
        <v>22</v>
      </c>
      <c r="AN266" t="n">
        <v>9</v>
      </c>
      <c r="AO266" t="n">
        <v>10</v>
      </c>
      <c r="AP266" t="n">
        <v>13</v>
      </c>
      <c r="AQ266" t="n">
        <v>20</v>
      </c>
      <c r="AR266" t="inlineStr">
        <is>
          <t>No</t>
        </is>
      </c>
      <c r="AS266" t="inlineStr">
        <is>
          <t>Yes</t>
        </is>
      </c>
      <c r="AT266">
        <f>HYPERLINK("http://catalog.hathitrust.org/Record/001434336","HathiTrust Record")</f>
        <v/>
      </c>
      <c r="AU266">
        <f>HYPERLINK("https://creighton-primo.hosted.exlibrisgroup.com/primo-explore/search?tab=default_tab&amp;search_scope=EVERYTHING&amp;vid=01CRU&amp;lang=en_US&amp;offset=0&amp;query=any,contains,991002806129702656","Catalog Record")</f>
        <v/>
      </c>
      <c r="AV266">
        <f>HYPERLINK("http://www.worldcat.org/oclc/449666","WorldCat Record")</f>
        <v/>
      </c>
      <c r="AW266" t="inlineStr">
        <is>
          <t>1246281:eng</t>
        </is>
      </c>
      <c r="AX266" t="inlineStr">
        <is>
          <t>449666</t>
        </is>
      </c>
      <c r="AY266" t="inlineStr">
        <is>
          <t>991002806129702656</t>
        </is>
      </c>
      <c r="AZ266" t="inlineStr">
        <is>
          <t>991002806129702656</t>
        </is>
      </c>
      <c r="BA266" t="inlineStr">
        <is>
          <t>2265447380002656</t>
        </is>
      </c>
      <c r="BB266" t="inlineStr">
        <is>
          <t>BOOK</t>
        </is>
      </c>
      <c r="BE266" t="inlineStr">
        <is>
          <t>32285002552437</t>
        </is>
      </c>
      <c r="BF266" t="inlineStr">
        <is>
          <t>893335745</t>
        </is>
      </c>
    </row>
    <row r="267">
      <c r="B267" t="inlineStr">
        <is>
          <t>CURAL</t>
        </is>
      </c>
      <c r="C267" t="inlineStr">
        <is>
          <t>SHELVES</t>
        </is>
      </c>
      <c r="D267" t="inlineStr">
        <is>
          <t>KF4750 .H25</t>
        </is>
      </c>
      <c r="E267" t="inlineStr">
        <is>
          <t>0                      KF 4750000H  25</t>
        </is>
      </c>
      <c r="F267" t="inlineStr">
        <is>
          <t>The morality of civil disobedience / Robert T. Hall.</t>
        </is>
      </c>
      <c r="H267" t="inlineStr">
        <is>
          <t>No</t>
        </is>
      </c>
      <c r="I267" t="inlineStr">
        <is>
          <t>1</t>
        </is>
      </c>
      <c r="J267" t="inlineStr">
        <is>
          <t>No</t>
        </is>
      </c>
      <c r="K267" t="inlineStr">
        <is>
          <t>No</t>
        </is>
      </c>
      <c r="L267" t="inlineStr">
        <is>
          <t>0</t>
        </is>
      </c>
      <c r="M267" t="inlineStr">
        <is>
          <t>Hall, Robert T. (Robert Tom), 1938-</t>
        </is>
      </c>
      <c r="N267" t="inlineStr">
        <is>
          <t>New York : Harper &amp; Row, [1971]</t>
        </is>
      </c>
      <c r="O267" t="inlineStr">
        <is>
          <t>1971</t>
        </is>
      </c>
      <c r="Q267" t="inlineStr">
        <is>
          <t>eng</t>
        </is>
      </c>
      <c r="R267" t="inlineStr">
        <is>
          <t>nyu</t>
        </is>
      </c>
      <c r="S267" t="inlineStr">
        <is>
          <t>Harper torchbooks ; TB1573</t>
        </is>
      </c>
      <c r="T267" t="inlineStr">
        <is>
          <t xml:space="preserve">KF </t>
        </is>
      </c>
      <c r="U267" t="n">
        <v>5</v>
      </c>
      <c r="V267" t="n">
        <v>5</v>
      </c>
      <c r="W267" t="inlineStr">
        <is>
          <t>2004-09-07</t>
        </is>
      </c>
      <c r="X267" t="inlineStr">
        <is>
          <t>2004-09-07</t>
        </is>
      </c>
      <c r="Y267" t="inlineStr">
        <is>
          <t>1993-12-16</t>
        </is>
      </c>
      <c r="Z267" t="inlineStr">
        <is>
          <t>1993-12-16</t>
        </is>
      </c>
      <c r="AA267" t="n">
        <v>419</v>
      </c>
      <c r="AB267" t="n">
        <v>360</v>
      </c>
      <c r="AC267" t="n">
        <v>572</v>
      </c>
      <c r="AD267" t="n">
        <v>5</v>
      </c>
      <c r="AE267" t="n">
        <v>6</v>
      </c>
      <c r="AF267" t="n">
        <v>21</v>
      </c>
      <c r="AG267" t="n">
        <v>32</v>
      </c>
      <c r="AH267" t="n">
        <v>8</v>
      </c>
      <c r="AI267" t="n">
        <v>11</v>
      </c>
      <c r="AJ267" t="n">
        <v>2</v>
      </c>
      <c r="AK267" t="n">
        <v>3</v>
      </c>
      <c r="AL267" t="n">
        <v>7</v>
      </c>
      <c r="AM267" t="n">
        <v>10</v>
      </c>
      <c r="AN267" t="n">
        <v>3</v>
      </c>
      <c r="AO267" t="n">
        <v>4</v>
      </c>
      <c r="AP267" t="n">
        <v>5</v>
      </c>
      <c r="AQ267" t="n">
        <v>9</v>
      </c>
      <c r="AR267" t="inlineStr">
        <is>
          <t>No</t>
        </is>
      </c>
      <c r="AS267" t="inlineStr">
        <is>
          <t>No</t>
        </is>
      </c>
      <c r="AU267">
        <f>HYPERLINK("https://creighton-primo.hosted.exlibrisgroup.com/primo-explore/search?tab=default_tab&amp;search_scope=EVERYTHING&amp;vid=01CRU&amp;lang=en_US&amp;offset=0&amp;query=any,contains,991000891329702656","Catalog Record")</f>
        <v/>
      </c>
      <c r="AV267">
        <f>HYPERLINK("http://www.worldcat.org/oclc/154049","WorldCat Record")</f>
        <v/>
      </c>
      <c r="AW267" t="inlineStr">
        <is>
          <t>1181488:eng</t>
        </is>
      </c>
      <c r="AX267" t="inlineStr">
        <is>
          <t>154049</t>
        </is>
      </c>
      <c r="AY267" t="inlineStr">
        <is>
          <t>991000891329702656</t>
        </is>
      </c>
      <c r="AZ267" t="inlineStr">
        <is>
          <t>991000891329702656</t>
        </is>
      </c>
      <c r="BA267" t="inlineStr">
        <is>
          <t>2255013040002656</t>
        </is>
      </c>
      <c r="BB267" t="inlineStr">
        <is>
          <t>BOOK</t>
        </is>
      </c>
      <c r="BD267" t="inlineStr">
        <is>
          <t>9780061315732</t>
        </is>
      </c>
      <c r="BE267" t="inlineStr">
        <is>
          <t>32285001809226</t>
        </is>
      </c>
      <c r="BF267" t="inlineStr">
        <is>
          <t>893346071</t>
        </is>
      </c>
    </row>
    <row r="268">
      <c r="B268" t="inlineStr">
        <is>
          <t>CURAL</t>
        </is>
      </c>
      <c r="C268" t="inlineStr">
        <is>
          <t>SHELVES</t>
        </is>
      </c>
      <c r="D268" t="inlineStr">
        <is>
          <t>KF4758 .K57 1986</t>
        </is>
      </c>
      <c r="E268" t="inlineStr">
        <is>
          <t>0                      KF 4758000K  57          1986</t>
        </is>
      </c>
      <c r="F268" t="inlineStr">
        <is>
          <t>Gender justice / David L. Kirp, Mark G. Yudof, Marlene Strong Franks.</t>
        </is>
      </c>
      <c r="H268" t="inlineStr">
        <is>
          <t>No</t>
        </is>
      </c>
      <c r="I268" t="inlineStr">
        <is>
          <t>1</t>
        </is>
      </c>
      <c r="J268" t="inlineStr">
        <is>
          <t>Yes</t>
        </is>
      </c>
      <c r="K268" t="inlineStr">
        <is>
          <t>No</t>
        </is>
      </c>
      <c r="L268" t="inlineStr">
        <is>
          <t>0</t>
        </is>
      </c>
      <c r="M268" t="inlineStr">
        <is>
          <t>Kirp, David L.</t>
        </is>
      </c>
      <c r="N268" t="inlineStr">
        <is>
          <t>Chicago : University of Chicago Press, 1986.</t>
        </is>
      </c>
      <c r="O268" t="inlineStr">
        <is>
          <t>1985</t>
        </is>
      </c>
      <c r="Q268" t="inlineStr">
        <is>
          <t>eng</t>
        </is>
      </c>
      <c r="R268" t="inlineStr">
        <is>
          <t>ilu</t>
        </is>
      </c>
      <c r="T268" t="inlineStr">
        <is>
          <t xml:space="preserve">KF </t>
        </is>
      </c>
      <c r="U268" t="n">
        <v>3</v>
      </c>
      <c r="V268" t="n">
        <v>4</v>
      </c>
      <c r="W268" t="inlineStr">
        <is>
          <t>2001-11-01</t>
        </is>
      </c>
      <c r="X268" t="inlineStr">
        <is>
          <t>2001-11-01</t>
        </is>
      </c>
      <c r="Y268" t="inlineStr">
        <is>
          <t>1992-07-07</t>
        </is>
      </c>
      <c r="Z268" t="inlineStr">
        <is>
          <t>1992-07-07</t>
        </is>
      </c>
      <c r="AA268" t="n">
        <v>955</v>
      </c>
      <c r="AB268" t="n">
        <v>866</v>
      </c>
      <c r="AC268" t="n">
        <v>903</v>
      </c>
      <c r="AD268" t="n">
        <v>3</v>
      </c>
      <c r="AE268" t="n">
        <v>3</v>
      </c>
      <c r="AF268" t="n">
        <v>48</v>
      </c>
      <c r="AG268" t="n">
        <v>49</v>
      </c>
      <c r="AH268" t="n">
        <v>9</v>
      </c>
      <c r="AI268" t="n">
        <v>9</v>
      </c>
      <c r="AJ268" t="n">
        <v>7</v>
      </c>
      <c r="AK268" t="n">
        <v>8</v>
      </c>
      <c r="AL268" t="n">
        <v>17</v>
      </c>
      <c r="AM268" t="n">
        <v>18</v>
      </c>
      <c r="AN268" t="n">
        <v>1</v>
      </c>
      <c r="AO268" t="n">
        <v>1</v>
      </c>
      <c r="AP268" t="n">
        <v>19</v>
      </c>
      <c r="AQ268" t="n">
        <v>19</v>
      </c>
      <c r="AR268" t="inlineStr">
        <is>
          <t>No</t>
        </is>
      </c>
      <c r="AS268" t="inlineStr">
        <is>
          <t>No</t>
        </is>
      </c>
      <c r="AU268">
        <f>HYPERLINK("https://creighton-primo.hosted.exlibrisgroup.com/primo-explore/search?tab=default_tab&amp;search_scope=EVERYTHING&amp;vid=01CRU&amp;lang=en_US&amp;offset=0&amp;query=any,contains,991001630289702656","Catalog Record")</f>
        <v/>
      </c>
      <c r="AV268">
        <f>HYPERLINK("http://www.worldcat.org/oclc/11972476","WorldCat Record")</f>
        <v/>
      </c>
      <c r="AW268" t="inlineStr">
        <is>
          <t>4526499:eng</t>
        </is>
      </c>
      <c r="AX268" t="inlineStr">
        <is>
          <t>11972476</t>
        </is>
      </c>
      <c r="AY268" t="inlineStr">
        <is>
          <t>991001630289702656</t>
        </is>
      </c>
      <c r="AZ268" t="inlineStr">
        <is>
          <t>991001630289702656</t>
        </is>
      </c>
      <c r="BA268" t="inlineStr">
        <is>
          <t>2255761070002656</t>
        </is>
      </c>
      <c r="BB268" t="inlineStr">
        <is>
          <t>BOOK</t>
        </is>
      </c>
      <c r="BD268" t="inlineStr">
        <is>
          <t>9780226437620</t>
        </is>
      </c>
      <c r="BE268" t="inlineStr">
        <is>
          <t>32285001177939</t>
        </is>
      </c>
      <c r="BF268" t="inlineStr">
        <is>
          <t>893696864</t>
        </is>
      </c>
    </row>
    <row r="269">
      <c r="B269" t="inlineStr">
        <is>
          <t>CURAL</t>
        </is>
      </c>
      <c r="C269" t="inlineStr">
        <is>
          <t>SHELVES</t>
        </is>
      </c>
      <c r="D269" t="inlineStr">
        <is>
          <t>KF4764 .V36 1990</t>
        </is>
      </c>
      <c r="E269" t="inlineStr">
        <is>
          <t>0                      KF 4764000V  36          1990</t>
        </is>
      </c>
      <c r="F269" t="inlineStr">
        <is>
          <t>Equality and public policy / Vernon Van Dyke.</t>
        </is>
      </c>
      <c r="H269" t="inlineStr">
        <is>
          <t>No</t>
        </is>
      </c>
      <c r="I269" t="inlineStr">
        <is>
          <t>1</t>
        </is>
      </c>
      <c r="J269" t="inlineStr">
        <is>
          <t>No</t>
        </is>
      </c>
      <c r="K269" t="inlineStr">
        <is>
          <t>No</t>
        </is>
      </c>
      <c r="L269" t="inlineStr">
        <is>
          <t>0</t>
        </is>
      </c>
      <c r="M269" t="inlineStr">
        <is>
          <t>Van Dyke, Vernon, 1912-1998.</t>
        </is>
      </c>
      <c r="N269" t="inlineStr">
        <is>
          <t>Chicago : Nelson-Hall, c1990.</t>
        </is>
      </c>
      <c r="O269" t="inlineStr">
        <is>
          <t>1990</t>
        </is>
      </c>
      <c r="Q269" t="inlineStr">
        <is>
          <t>eng</t>
        </is>
      </c>
      <c r="R269" t="inlineStr">
        <is>
          <t>ilu</t>
        </is>
      </c>
      <c r="S269" t="inlineStr">
        <is>
          <t>Nelson-Hall series in political science</t>
        </is>
      </c>
      <c r="T269" t="inlineStr">
        <is>
          <t xml:space="preserve">KF </t>
        </is>
      </c>
      <c r="U269" t="n">
        <v>2</v>
      </c>
      <c r="V269" t="n">
        <v>2</v>
      </c>
      <c r="W269" t="inlineStr">
        <is>
          <t>2007-04-03</t>
        </is>
      </c>
      <c r="X269" t="inlineStr">
        <is>
          <t>2007-04-03</t>
        </is>
      </c>
      <c r="Y269" t="inlineStr">
        <is>
          <t>2001-02-14</t>
        </is>
      </c>
      <c r="Z269" t="inlineStr">
        <is>
          <t>2001-02-14</t>
        </is>
      </c>
      <c r="AA269" t="n">
        <v>237</v>
      </c>
      <c r="AB269" t="n">
        <v>204</v>
      </c>
      <c r="AC269" t="n">
        <v>204</v>
      </c>
      <c r="AD269" t="n">
        <v>2</v>
      </c>
      <c r="AE269" t="n">
        <v>2</v>
      </c>
      <c r="AF269" t="n">
        <v>8</v>
      </c>
      <c r="AG269" t="n">
        <v>8</v>
      </c>
      <c r="AH269" t="n">
        <v>2</v>
      </c>
      <c r="AI269" t="n">
        <v>2</v>
      </c>
      <c r="AJ269" t="n">
        <v>1</v>
      </c>
      <c r="AK269" t="n">
        <v>1</v>
      </c>
      <c r="AL269" t="n">
        <v>3</v>
      </c>
      <c r="AM269" t="n">
        <v>3</v>
      </c>
      <c r="AN269" t="n">
        <v>1</v>
      </c>
      <c r="AO269" t="n">
        <v>1</v>
      </c>
      <c r="AP269" t="n">
        <v>2</v>
      </c>
      <c r="AQ269" t="n">
        <v>2</v>
      </c>
      <c r="AR269" t="inlineStr">
        <is>
          <t>No</t>
        </is>
      </c>
      <c r="AS269" t="inlineStr">
        <is>
          <t>No</t>
        </is>
      </c>
      <c r="AU269">
        <f>HYPERLINK("https://creighton-primo.hosted.exlibrisgroup.com/primo-explore/search?tab=default_tab&amp;search_scope=EVERYTHING&amp;vid=01CRU&amp;lang=en_US&amp;offset=0&amp;query=any,contains,991003486629702656","Catalog Record")</f>
        <v/>
      </c>
      <c r="AV269">
        <f>HYPERLINK("http://www.worldcat.org/oclc/21163224","WorldCat Record")</f>
        <v/>
      </c>
      <c r="AW269" t="inlineStr">
        <is>
          <t>22245268:eng</t>
        </is>
      </c>
      <c r="AX269" t="inlineStr">
        <is>
          <t>21163224</t>
        </is>
      </c>
      <c r="AY269" t="inlineStr">
        <is>
          <t>991003486629702656</t>
        </is>
      </c>
      <c r="AZ269" t="inlineStr">
        <is>
          <t>991003486629702656</t>
        </is>
      </c>
      <c r="BA269" t="inlineStr">
        <is>
          <t>2261302310002656</t>
        </is>
      </c>
      <c r="BB269" t="inlineStr">
        <is>
          <t>BOOK</t>
        </is>
      </c>
      <c r="BD269" t="inlineStr">
        <is>
          <t>9780830412082</t>
        </is>
      </c>
      <c r="BE269" t="inlineStr">
        <is>
          <t>32285004295209</t>
        </is>
      </c>
      <c r="BF269" t="inlineStr">
        <is>
          <t>893441331</t>
        </is>
      </c>
    </row>
    <row r="270">
      <c r="B270" t="inlineStr">
        <is>
          <t>CURAL</t>
        </is>
      </c>
      <c r="C270" t="inlineStr">
        <is>
          <t>SHELVES</t>
        </is>
      </c>
      <c r="D270" t="inlineStr">
        <is>
          <t>KF4765.A75 D8</t>
        </is>
      </c>
      <c r="E270" t="inlineStr">
        <is>
          <t>0                      KF 4765000A  75                 D  8</t>
        </is>
      </c>
      <c r="F270" t="inlineStr">
        <is>
          <t>Due process / edited by J. Roland Pennock and John W. Chapman.</t>
        </is>
      </c>
      <c r="H270" t="inlineStr">
        <is>
          <t>No</t>
        </is>
      </c>
      <c r="I270" t="inlineStr">
        <is>
          <t>1</t>
        </is>
      </c>
      <c r="J270" t="inlineStr">
        <is>
          <t>No</t>
        </is>
      </c>
      <c r="K270" t="inlineStr">
        <is>
          <t>No</t>
        </is>
      </c>
      <c r="L270" t="inlineStr">
        <is>
          <t>0</t>
        </is>
      </c>
      <c r="N270" t="inlineStr">
        <is>
          <t>New York : New York University Press, 1977.</t>
        </is>
      </c>
      <c r="O270" t="inlineStr">
        <is>
          <t>1977</t>
        </is>
      </c>
      <c r="Q270" t="inlineStr">
        <is>
          <t>eng</t>
        </is>
      </c>
      <c r="R270" t="inlineStr">
        <is>
          <t>nyu</t>
        </is>
      </c>
      <c r="S270" t="inlineStr">
        <is>
          <t>Nomos ; 18</t>
        </is>
      </c>
      <c r="T270" t="inlineStr">
        <is>
          <t xml:space="preserve">KF </t>
        </is>
      </c>
      <c r="U270" t="n">
        <v>2</v>
      </c>
      <c r="V270" t="n">
        <v>2</v>
      </c>
      <c r="W270" t="inlineStr">
        <is>
          <t>2005-12-04</t>
        </is>
      </c>
      <c r="X270" t="inlineStr">
        <is>
          <t>2005-12-04</t>
        </is>
      </c>
      <c r="Y270" t="inlineStr">
        <is>
          <t>1992-07-07</t>
        </is>
      </c>
      <c r="Z270" t="inlineStr">
        <is>
          <t>1992-07-07</t>
        </is>
      </c>
      <c r="AA270" t="n">
        <v>677</v>
      </c>
      <c r="AB270" t="n">
        <v>563</v>
      </c>
      <c r="AC270" t="n">
        <v>599</v>
      </c>
      <c r="AD270" t="n">
        <v>5</v>
      </c>
      <c r="AE270" t="n">
        <v>5</v>
      </c>
      <c r="AF270" t="n">
        <v>51</v>
      </c>
      <c r="AG270" t="n">
        <v>52</v>
      </c>
      <c r="AH270" t="n">
        <v>15</v>
      </c>
      <c r="AI270" t="n">
        <v>15</v>
      </c>
      <c r="AJ270" t="n">
        <v>8</v>
      </c>
      <c r="AK270" t="n">
        <v>8</v>
      </c>
      <c r="AL270" t="n">
        <v>19</v>
      </c>
      <c r="AM270" t="n">
        <v>19</v>
      </c>
      <c r="AN270" t="n">
        <v>2</v>
      </c>
      <c r="AO270" t="n">
        <v>2</v>
      </c>
      <c r="AP270" t="n">
        <v>19</v>
      </c>
      <c r="AQ270" t="n">
        <v>20</v>
      </c>
      <c r="AR270" t="inlineStr">
        <is>
          <t>No</t>
        </is>
      </c>
      <c r="AS270" t="inlineStr">
        <is>
          <t>No</t>
        </is>
      </c>
      <c r="AU270">
        <f>HYPERLINK("https://creighton-primo.hosted.exlibrisgroup.com/primo-explore/search?tab=default_tab&amp;search_scope=EVERYTHING&amp;vid=01CRU&amp;lang=en_US&amp;offset=0&amp;query=any,contains,991004190659702656","Catalog Record")</f>
        <v/>
      </c>
      <c r="AV270">
        <f>HYPERLINK("http://www.worldcat.org/oclc/2632510","WorldCat Record")</f>
        <v/>
      </c>
      <c r="AW270" t="inlineStr">
        <is>
          <t>367475983:eng</t>
        </is>
      </c>
      <c r="AX270" t="inlineStr">
        <is>
          <t>2632510</t>
        </is>
      </c>
      <c r="AY270" t="inlineStr">
        <is>
          <t>991004190659702656</t>
        </is>
      </c>
      <c r="AZ270" t="inlineStr">
        <is>
          <t>991004190659702656</t>
        </is>
      </c>
      <c r="BA270" t="inlineStr">
        <is>
          <t>2271647680002656</t>
        </is>
      </c>
      <c r="BB270" t="inlineStr">
        <is>
          <t>BOOK</t>
        </is>
      </c>
      <c r="BD270" t="inlineStr">
        <is>
          <t>9780814765692</t>
        </is>
      </c>
      <c r="BE270" t="inlineStr">
        <is>
          <t>32285001177954</t>
        </is>
      </c>
      <c r="BF270" t="inlineStr">
        <is>
          <t>893718601</t>
        </is>
      </c>
    </row>
    <row r="271">
      <c r="B271" t="inlineStr">
        <is>
          <t>CURAL</t>
        </is>
      </c>
      <c r="C271" t="inlineStr">
        <is>
          <t>SHELVES</t>
        </is>
      </c>
      <c r="D271" t="inlineStr">
        <is>
          <t>KF4770 .M39 1994</t>
        </is>
      </c>
      <c r="E271" t="inlineStr">
        <is>
          <t>0                      KF 4770000M  39          1994</t>
        </is>
      </c>
      <c r="F271" t="inlineStr">
        <is>
          <t>Freedom of speech, press, and assembly / by Darien A. McWhirter.</t>
        </is>
      </c>
      <c r="H271" t="inlineStr">
        <is>
          <t>No</t>
        </is>
      </c>
      <c r="I271" t="inlineStr">
        <is>
          <t>1</t>
        </is>
      </c>
      <c r="J271" t="inlineStr">
        <is>
          <t>No</t>
        </is>
      </c>
      <c r="K271" t="inlineStr">
        <is>
          <t>No</t>
        </is>
      </c>
      <c r="L271" t="inlineStr">
        <is>
          <t>0</t>
        </is>
      </c>
      <c r="M271" t="inlineStr">
        <is>
          <t>McWhirter, Darien A. (Darien Auburn)</t>
        </is>
      </c>
      <c r="N271" t="inlineStr">
        <is>
          <t>Phoenix, Ariz. : Oryx, 1994.</t>
        </is>
      </c>
      <c r="O271" t="inlineStr">
        <is>
          <t>1994</t>
        </is>
      </c>
      <c r="Q271" t="inlineStr">
        <is>
          <t>eng</t>
        </is>
      </c>
      <c r="R271" t="inlineStr">
        <is>
          <t>azu</t>
        </is>
      </c>
      <c r="S271" t="inlineStr">
        <is>
          <t>Exploring the Constitution series</t>
        </is>
      </c>
      <c r="T271" t="inlineStr">
        <is>
          <t xml:space="preserve">KF </t>
        </is>
      </c>
      <c r="U271" t="n">
        <v>1</v>
      </c>
      <c r="V271" t="n">
        <v>1</v>
      </c>
      <c r="W271" t="inlineStr">
        <is>
          <t>2003-03-02</t>
        </is>
      </c>
      <c r="X271" t="inlineStr">
        <is>
          <t>2003-03-02</t>
        </is>
      </c>
      <c r="Y271" t="inlineStr">
        <is>
          <t>1996-06-07</t>
        </is>
      </c>
      <c r="Z271" t="inlineStr">
        <is>
          <t>1996-06-07</t>
        </is>
      </c>
      <c r="AA271" t="n">
        <v>460</v>
      </c>
      <c r="AB271" t="n">
        <v>435</v>
      </c>
      <c r="AC271" t="n">
        <v>452</v>
      </c>
      <c r="AD271" t="n">
        <v>3</v>
      </c>
      <c r="AE271" t="n">
        <v>3</v>
      </c>
      <c r="AF271" t="n">
        <v>13</v>
      </c>
      <c r="AG271" t="n">
        <v>15</v>
      </c>
      <c r="AH271" t="n">
        <v>3</v>
      </c>
      <c r="AI271" t="n">
        <v>5</v>
      </c>
      <c r="AJ271" t="n">
        <v>0</v>
      </c>
      <c r="AK271" t="n">
        <v>0</v>
      </c>
      <c r="AL271" t="n">
        <v>3</v>
      </c>
      <c r="AM271" t="n">
        <v>3</v>
      </c>
      <c r="AN271" t="n">
        <v>1</v>
      </c>
      <c r="AO271" t="n">
        <v>1</v>
      </c>
      <c r="AP271" t="n">
        <v>6</v>
      </c>
      <c r="AQ271" t="n">
        <v>6</v>
      </c>
      <c r="AR271" t="inlineStr">
        <is>
          <t>No</t>
        </is>
      </c>
      <c r="AS271" t="inlineStr">
        <is>
          <t>No</t>
        </is>
      </c>
      <c r="AU271">
        <f>HYPERLINK("https://creighton-primo.hosted.exlibrisgroup.com/primo-explore/search?tab=default_tab&amp;search_scope=EVERYTHING&amp;vid=01CRU&amp;lang=en_US&amp;offset=0&amp;query=any,contains,991002308459702656","Catalog Record")</f>
        <v/>
      </c>
      <c r="AV271">
        <f>HYPERLINK("http://www.worldcat.org/oclc/29952214","WorldCat Record")</f>
        <v/>
      </c>
      <c r="AW271" t="inlineStr">
        <is>
          <t>31729575:eng</t>
        </is>
      </c>
      <c r="AX271" t="inlineStr">
        <is>
          <t>29952214</t>
        </is>
      </c>
      <c r="AY271" t="inlineStr">
        <is>
          <t>991002308459702656</t>
        </is>
      </c>
      <c r="AZ271" t="inlineStr">
        <is>
          <t>991002308459702656</t>
        </is>
      </c>
      <c r="BA271" t="inlineStr">
        <is>
          <t>2263431630002656</t>
        </is>
      </c>
      <c r="BB271" t="inlineStr">
        <is>
          <t>BOOK</t>
        </is>
      </c>
      <c r="BD271" t="inlineStr">
        <is>
          <t>9780897748537</t>
        </is>
      </c>
      <c r="BE271" t="inlineStr">
        <is>
          <t>32285002189974</t>
        </is>
      </c>
      <c r="BF271" t="inlineStr">
        <is>
          <t>893232806</t>
        </is>
      </c>
    </row>
    <row r="272">
      <c r="B272" t="inlineStr">
        <is>
          <t>CURAL</t>
        </is>
      </c>
      <c r="C272" t="inlineStr">
        <is>
          <t>SHELVES</t>
        </is>
      </c>
      <c r="D272" t="inlineStr">
        <is>
          <t>KF4770 .S7 1985</t>
        </is>
      </c>
      <c r="E272" t="inlineStr">
        <is>
          <t>0                      KF 4770000S  7           1985</t>
        </is>
      </c>
      <c r="F272" t="inlineStr">
        <is>
          <t>The fight for freedom of expression : three case studies / by Craig R. Smith ; written for the Institute for Freedom of Communication.</t>
        </is>
      </c>
      <c r="H272" t="inlineStr">
        <is>
          <t>No</t>
        </is>
      </c>
      <c r="I272" t="inlineStr">
        <is>
          <t>1</t>
        </is>
      </c>
      <c r="J272" t="inlineStr">
        <is>
          <t>No</t>
        </is>
      </c>
      <c r="K272" t="inlineStr">
        <is>
          <t>No</t>
        </is>
      </c>
      <c r="L272" t="inlineStr">
        <is>
          <t>0</t>
        </is>
      </c>
      <c r="M272" t="inlineStr">
        <is>
          <t>Smith, Craig R.</t>
        </is>
      </c>
      <c r="N272" t="inlineStr">
        <is>
          <t>[Washington, D.C.] (414 S. Capitol St., S.E., Washington 20003) : The Institute, c1985.</t>
        </is>
      </c>
      <c r="O272" t="inlineStr">
        <is>
          <t>1985</t>
        </is>
      </c>
      <c r="Q272" t="inlineStr">
        <is>
          <t>eng</t>
        </is>
      </c>
      <c r="R272" t="inlineStr">
        <is>
          <t>dcu</t>
        </is>
      </c>
      <c r="T272" t="inlineStr">
        <is>
          <t xml:space="preserve">KF </t>
        </is>
      </c>
      <c r="U272" t="n">
        <v>2</v>
      </c>
      <c r="V272" t="n">
        <v>2</v>
      </c>
      <c r="W272" t="inlineStr">
        <is>
          <t>2006-01-24</t>
        </is>
      </c>
      <c r="X272" t="inlineStr">
        <is>
          <t>2006-01-24</t>
        </is>
      </c>
      <c r="Y272" t="inlineStr">
        <is>
          <t>1995-03-02</t>
        </is>
      </c>
      <c r="Z272" t="inlineStr">
        <is>
          <t>1995-03-02</t>
        </is>
      </c>
      <c r="AA272" t="n">
        <v>70</v>
      </c>
      <c r="AB272" t="n">
        <v>67</v>
      </c>
      <c r="AC272" t="n">
        <v>67</v>
      </c>
      <c r="AD272" t="n">
        <v>1</v>
      </c>
      <c r="AE272" t="n">
        <v>1</v>
      </c>
      <c r="AF272" t="n">
        <v>3</v>
      </c>
      <c r="AG272" t="n">
        <v>3</v>
      </c>
      <c r="AH272" t="n">
        <v>0</v>
      </c>
      <c r="AI272" t="n">
        <v>0</v>
      </c>
      <c r="AJ272" t="n">
        <v>1</v>
      </c>
      <c r="AK272" t="n">
        <v>1</v>
      </c>
      <c r="AL272" t="n">
        <v>2</v>
      </c>
      <c r="AM272" t="n">
        <v>2</v>
      </c>
      <c r="AN272" t="n">
        <v>0</v>
      </c>
      <c r="AO272" t="n">
        <v>0</v>
      </c>
      <c r="AP272" t="n">
        <v>1</v>
      </c>
      <c r="AQ272" t="n">
        <v>1</v>
      </c>
      <c r="AR272" t="inlineStr">
        <is>
          <t>No</t>
        </is>
      </c>
      <c r="AS272" t="inlineStr">
        <is>
          <t>No</t>
        </is>
      </c>
      <c r="AU272">
        <f>HYPERLINK("https://creighton-primo.hosted.exlibrisgroup.com/primo-explore/search?tab=default_tab&amp;search_scope=EVERYTHING&amp;vid=01CRU&amp;lang=en_US&amp;offset=0&amp;query=any,contains,991000895759702656","Catalog Record")</f>
        <v/>
      </c>
      <c r="AV272">
        <f>HYPERLINK("http://www.worldcat.org/oclc/13978931","WorldCat Record")</f>
        <v/>
      </c>
      <c r="AW272" t="inlineStr">
        <is>
          <t>889913488:eng</t>
        </is>
      </c>
      <c r="AX272" t="inlineStr">
        <is>
          <t>13978931</t>
        </is>
      </c>
      <c r="AY272" t="inlineStr">
        <is>
          <t>991000895759702656</t>
        </is>
      </c>
      <c r="AZ272" t="inlineStr">
        <is>
          <t>991000895759702656</t>
        </is>
      </c>
      <c r="BA272" t="inlineStr">
        <is>
          <t>2267172200002656</t>
        </is>
      </c>
      <c r="BB272" t="inlineStr">
        <is>
          <t>BOOK</t>
        </is>
      </c>
      <c r="BE272" t="inlineStr">
        <is>
          <t>32285002020088</t>
        </is>
      </c>
      <c r="BF272" t="inlineStr">
        <is>
          <t>893696268</t>
        </is>
      </c>
    </row>
    <row r="273">
      <c r="B273" t="inlineStr">
        <is>
          <t>CURAL</t>
        </is>
      </c>
      <c r="C273" t="inlineStr">
        <is>
          <t>SHELVES</t>
        </is>
      </c>
      <c r="D273" t="inlineStr">
        <is>
          <t>KF4770.A75 C4</t>
        </is>
      </c>
      <c r="E273" t="inlineStr">
        <is>
          <t>0                      KF 4770000A  75                 C  4</t>
        </is>
      </c>
      <c r="F273" t="inlineStr">
        <is>
          <t>Censorship: for &amp; against. Introd. by Harold H. Hart.</t>
        </is>
      </c>
      <c r="H273" t="inlineStr">
        <is>
          <t>No</t>
        </is>
      </c>
      <c r="I273" t="inlineStr">
        <is>
          <t>1</t>
        </is>
      </c>
      <c r="J273" t="inlineStr">
        <is>
          <t>No</t>
        </is>
      </c>
      <c r="K273" t="inlineStr">
        <is>
          <t>No</t>
        </is>
      </c>
      <c r="L273" t="inlineStr">
        <is>
          <t>0</t>
        </is>
      </c>
      <c r="N273" t="inlineStr">
        <is>
          <t>New York, Hart Pub. Co. [1971]</t>
        </is>
      </c>
      <c r="O273" t="inlineStr">
        <is>
          <t>1971</t>
        </is>
      </c>
      <c r="Q273" t="inlineStr">
        <is>
          <t>eng</t>
        </is>
      </c>
      <c r="R273" t="inlineStr">
        <is>
          <t>nyu</t>
        </is>
      </c>
      <c r="T273" t="inlineStr">
        <is>
          <t xml:space="preserve">KF </t>
        </is>
      </c>
      <c r="U273" t="n">
        <v>33</v>
      </c>
      <c r="V273" t="n">
        <v>33</v>
      </c>
      <c r="W273" t="inlineStr">
        <is>
          <t>1998-11-10</t>
        </is>
      </c>
      <c r="X273" t="inlineStr">
        <is>
          <t>1998-11-10</t>
        </is>
      </c>
      <c r="Y273" t="inlineStr">
        <is>
          <t>1992-05-04</t>
        </is>
      </c>
      <c r="Z273" t="inlineStr">
        <is>
          <t>1992-05-04</t>
        </is>
      </c>
      <c r="AA273" t="n">
        <v>890</v>
      </c>
      <c r="AB273" t="n">
        <v>797</v>
      </c>
      <c r="AC273" t="n">
        <v>804</v>
      </c>
      <c r="AD273" t="n">
        <v>11</v>
      </c>
      <c r="AE273" t="n">
        <v>11</v>
      </c>
      <c r="AF273" t="n">
        <v>36</v>
      </c>
      <c r="AG273" t="n">
        <v>36</v>
      </c>
      <c r="AH273" t="n">
        <v>8</v>
      </c>
      <c r="AI273" t="n">
        <v>8</v>
      </c>
      <c r="AJ273" t="n">
        <v>6</v>
      </c>
      <c r="AK273" t="n">
        <v>6</v>
      </c>
      <c r="AL273" t="n">
        <v>9</v>
      </c>
      <c r="AM273" t="n">
        <v>9</v>
      </c>
      <c r="AN273" t="n">
        <v>9</v>
      </c>
      <c r="AO273" t="n">
        <v>9</v>
      </c>
      <c r="AP273" t="n">
        <v>7</v>
      </c>
      <c r="AQ273" t="n">
        <v>7</v>
      </c>
      <c r="AR273" t="inlineStr">
        <is>
          <t>No</t>
        </is>
      </c>
      <c r="AS273" t="inlineStr">
        <is>
          <t>Yes</t>
        </is>
      </c>
      <c r="AT273">
        <f>HYPERLINK("http://catalog.hathitrust.org/Record/001107327","HathiTrust Record")</f>
        <v/>
      </c>
      <c r="AU273">
        <f>HYPERLINK("https://creighton-primo.hosted.exlibrisgroup.com/primo-explore/search?tab=default_tab&amp;search_scope=EVERYTHING&amp;vid=01CRU&amp;lang=en_US&amp;offset=0&amp;query=any,contains,991000834759702656","Catalog Record")</f>
        <v/>
      </c>
      <c r="AV273">
        <f>HYPERLINK("http://www.worldcat.org/oclc/148455","WorldCat Record")</f>
        <v/>
      </c>
      <c r="AW273" t="inlineStr">
        <is>
          <t>373891033:eng</t>
        </is>
      </c>
      <c r="AX273" t="inlineStr">
        <is>
          <t>148455</t>
        </is>
      </c>
      <c r="AY273" t="inlineStr">
        <is>
          <t>991000834759702656</t>
        </is>
      </c>
      <c r="AZ273" t="inlineStr">
        <is>
          <t>991000834759702656</t>
        </is>
      </c>
      <c r="BA273" t="inlineStr">
        <is>
          <t>2260147250002656</t>
        </is>
      </c>
      <c r="BB273" t="inlineStr">
        <is>
          <t>BOOK</t>
        </is>
      </c>
      <c r="BD273" t="inlineStr">
        <is>
          <t>9780805501209</t>
        </is>
      </c>
      <c r="BE273" t="inlineStr">
        <is>
          <t>32285001096428</t>
        </is>
      </c>
      <c r="BF273" t="inlineStr">
        <is>
          <t>893346014</t>
        </is>
      </c>
    </row>
    <row r="274">
      <c r="B274" t="inlineStr">
        <is>
          <t>CURAL</t>
        </is>
      </c>
      <c r="C274" t="inlineStr">
        <is>
          <t>SHELVES</t>
        </is>
      </c>
      <c r="D274" t="inlineStr">
        <is>
          <t>KF4774 .C84</t>
        </is>
      </c>
      <c r="E274" t="inlineStr">
        <is>
          <t>0                      KF 4774000C  84</t>
        </is>
      </c>
      <c r="F274" t="inlineStr">
        <is>
          <t>Mass media &amp; the First Amendment : an introduction to the issues, problems, and practices / Maurice R. Cullen, Jr.</t>
        </is>
      </c>
      <c r="H274" t="inlineStr">
        <is>
          <t>No</t>
        </is>
      </c>
      <c r="I274" t="inlineStr">
        <is>
          <t>1</t>
        </is>
      </c>
      <c r="J274" t="inlineStr">
        <is>
          <t>No</t>
        </is>
      </c>
      <c r="K274" t="inlineStr">
        <is>
          <t>No</t>
        </is>
      </c>
      <c r="L274" t="inlineStr">
        <is>
          <t>0</t>
        </is>
      </c>
      <c r="M274" t="inlineStr">
        <is>
          <t>Cullen, Maurice R.</t>
        </is>
      </c>
      <c r="N274" t="inlineStr">
        <is>
          <t>Dubuque, Iowa : W.C. Brown Co., c1981</t>
        </is>
      </c>
      <c r="O274" t="inlineStr">
        <is>
          <t>1981</t>
        </is>
      </c>
      <c r="Q274" t="inlineStr">
        <is>
          <t>eng</t>
        </is>
      </c>
      <c r="R274" t="inlineStr">
        <is>
          <t>iau</t>
        </is>
      </c>
      <c r="T274" t="inlineStr">
        <is>
          <t xml:space="preserve">KF </t>
        </is>
      </c>
      <c r="U274" t="n">
        <v>11</v>
      </c>
      <c r="V274" t="n">
        <v>11</v>
      </c>
      <c r="W274" t="inlineStr">
        <is>
          <t>2008-11-10</t>
        </is>
      </c>
      <c r="X274" t="inlineStr">
        <is>
          <t>2008-11-10</t>
        </is>
      </c>
      <c r="Y274" t="inlineStr">
        <is>
          <t>1991-12-10</t>
        </is>
      </c>
      <c r="Z274" t="inlineStr">
        <is>
          <t>1991-12-10</t>
        </is>
      </c>
      <c r="AA274" t="n">
        <v>290</v>
      </c>
      <c r="AB274" t="n">
        <v>267</v>
      </c>
      <c r="AC274" t="n">
        <v>268</v>
      </c>
      <c r="AD274" t="n">
        <v>1</v>
      </c>
      <c r="AE274" t="n">
        <v>1</v>
      </c>
      <c r="AF274" t="n">
        <v>19</v>
      </c>
      <c r="AG274" t="n">
        <v>19</v>
      </c>
      <c r="AH274" t="n">
        <v>6</v>
      </c>
      <c r="AI274" t="n">
        <v>6</v>
      </c>
      <c r="AJ274" t="n">
        <v>1</v>
      </c>
      <c r="AK274" t="n">
        <v>1</v>
      </c>
      <c r="AL274" t="n">
        <v>9</v>
      </c>
      <c r="AM274" t="n">
        <v>9</v>
      </c>
      <c r="AN274" t="n">
        <v>0</v>
      </c>
      <c r="AO274" t="n">
        <v>0</v>
      </c>
      <c r="AP274" t="n">
        <v>7</v>
      </c>
      <c r="AQ274" t="n">
        <v>7</v>
      </c>
      <c r="AR274" t="inlineStr">
        <is>
          <t>No</t>
        </is>
      </c>
      <c r="AS274" t="inlineStr">
        <is>
          <t>No</t>
        </is>
      </c>
      <c r="AU274">
        <f>HYPERLINK("https://creighton-primo.hosted.exlibrisgroup.com/primo-explore/search?tab=default_tab&amp;search_scope=EVERYTHING&amp;vid=01CRU&amp;lang=en_US&amp;offset=0&amp;query=any,contains,991005108349702656","Catalog Record")</f>
        <v/>
      </c>
      <c r="AV274">
        <f>HYPERLINK("http://www.worldcat.org/oclc/7374201","WorldCat Record")</f>
        <v/>
      </c>
      <c r="AW274" t="inlineStr">
        <is>
          <t>953662202:eng</t>
        </is>
      </c>
      <c r="AX274" t="inlineStr">
        <is>
          <t>7374201</t>
        </is>
      </c>
      <c r="AY274" t="inlineStr">
        <is>
          <t>991005108349702656</t>
        </is>
      </c>
      <c r="AZ274" t="inlineStr">
        <is>
          <t>991005108349702656</t>
        </is>
      </c>
      <c r="BA274" t="inlineStr">
        <is>
          <t>2266253880002656</t>
        </is>
      </c>
      <c r="BB274" t="inlineStr">
        <is>
          <t>BOOK</t>
        </is>
      </c>
      <c r="BD274" t="inlineStr">
        <is>
          <t>9780697043443</t>
        </is>
      </c>
      <c r="BE274" t="inlineStr">
        <is>
          <t>32285000886431</t>
        </is>
      </c>
      <c r="BF274" t="inlineStr">
        <is>
          <t>893263610</t>
        </is>
      </c>
    </row>
    <row r="275">
      <c r="B275" t="inlineStr">
        <is>
          <t>CURAL</t>
        </is>
      </c>
      <c r="C275" t="inlineStr">
        <is>
          <t>SHELVES</t>
        </is>
      </c>
      <c r="D275" t="inlineStr">
        <is>
          <t>KF4774 .M35</t>
        </is>
      </c>
      <c r="E275" t="inlineStr">
        <is>
          <t>0                      KF 4774000M  35</t>
        </is>
      </c>
      <c r="F275" t="inlineStr">
        <is>
          <t>The right to know : media and the common good / by William H. Marnell.</t>
        </is>
      </c>
      <c r="H275" t="inlineStr">
        <is>
          <t>No</t>
        </is>
      </c>
      <c r="I275" t="inlineStr">
        <is>
          <t>1</t>
        </is>
      </c>
      <c r="J275" t="inlineStr">
        <is>
          <t>No</t>
        </is>
      </c>
      <c r="K275" t="inlineStr">
        <is>
          <t>No</t>
        </is>
      </c>
      <c r="L275" t="inlineStr">
        <is>
          <t>0</t>
        </is>
      </c>
      <c r="M275" t="inlineStr">
        <is>
          <t>Marnell, William H.</t>
        </is>
      </c>
      <c r="N275" t="inlineStr">
        <is>
          <t>New York : Seabury Press, [1973]</t>
        </is>
      </c>
      <c r="O275" t="inlineStr">
        <is>
          <t>1973</t>
        </is>
      </c>
      <c r="P275" t="inlineStr">
        <is>
          <t>[1st ed.]</t>
        </is>
      </c>
      <c r="Q275" t="inlineStr">
        <is>
          <t>eng</t>
        </is>
      </c>
      <c r="R275" t="inlineStr">
        <is>
          <t>nyu</t>
        </is>
      </c>
      <c r="S275" t="inlineStr">
        <is>
          <t>A Continuum book</t>
        </is>
      </c>
      <c r="T275" t="inlineStr">
        <is>
          <t xml:space="preserve">KF </t>
        </is>
      </c>
      <c r="U275" t="n">
        <v>3</v>
      </c>
      <c r="V275" t="n">
        <v>3</v>
      </c>
      <c r="W275" t="inlineStr">
        <is>
          <t>2004-03-31</t>
        </is>
      </c>
      <c r="X275" t="inlineStr">
        <is>
          <t>2004-03-31</t>
        </is>
      </c>
      <c r="Y275" t="inlineStr">
        <is>
          <t>1994-12-12</t>
        </is>
      </c>
      <c r="Z275" t="inlineStr">
        <is>
          <t>1994-12-12</t>
        </is>
      </c>
      <c r="AA275" t="n">
        <v>635</v>
      </c>
      <c r="AB275" t="n">
        <v>582</v>
      </c>
      <c r="AC275" t="n">
        <v>588</v>
      </c>
      <c r="AD275" t="n">
        <v>6</v>
      </c>
      <c r="AE275" t="n">
        <v>6</v>
      </c>
      <c r="AF275" t="n">
        <v>26</v>
      </c>
      <c r="AG275" t="n">
        <v>26</v>
      </c>
      <c r="AH275" t="n">
        <v>6</v>
      </c>
      <c r="AI275" t="n">
        <v>6</v>
      </c>
      <c r="AJ275" t="n">
        <v>5</v>
      </c>
      <c r="AK275" t="n">
        <v>5</v>
      </c>
      <c r="AL275" t="n">
        <v>12</v>
      </c>
      <c r="AM275" t="n">
        <v>12</v>
      </c>
      <c r="AN275" t="n">
        <v>4</v>
      </c>
      <c r="AO275" t="n">
        <v>4</v>
      </c>
      <c r="AP275" t="n">
        <v>3</v>
      </c>
      <c r="AQ275" t="n">
        <v>3</v>
      </c>
      <c r="AR275" t="inlineStr">
        <is>
          <t>No</t>
        </is>
      </c>
      <c r="AS275" t="inlineStr">
        <is>
          <t>No</t>
        </is>
      </c>
      <c r="AU275">
        <f>HYPERLINK("https://creighton-primo.hosted.exlibrisgroup.com/primo-explore/search?tab=default_tab&amp;search_scope=EVERYTHING&amp;vid=01CRU&amp;lang=en_US&amp;offset=0&amp;query=any,contains,991002841629702656","Catalog Record")</f>
        <v/>
      </c>
      <c r="AV275">
        <f>HYPERLINK("http://www.worldcat.org/oclc/482483","WorldCat Record")</f>
        <v/>
      </c>
      <c r="AW275" t="inlineStr">
        <is>
          <t>499529412:eng</t>
        </is>
      </c>
      <c r="AX275" t="inlineStr">
        <is>
          <t>482483</t>
        </is>
      </c>
      <c r="AY275" t="inlineStr">
        <is>
          <t>991002841629702656</t>
        </is>
      </c>
      <c r="AZ275" t="inlineStr">
        <is>
          <t>991002841629702656</t>
        </is>
      </c>
      <c r="BA275" t="inlineStr">
        <is>
          <t>2258763190002656</t>
        </is>
      </c>
      <c r="BB275" t="inlineStr">
        <is>
          <t>BOOK</t>
        </is>
      </c>
      <c r="BD275" t="inlineStr">
        <is>
          <t>9780816491391</t>
        </is>
      </c>
      <c r="BE275" t="inlineStr">
        <is>
          <t>32285001981785</t>
        </is>
      </c>
      <c r="BF275" t="inlineStr">
        <is>
          <t>893504886</t>
        </is>
      </c>
    </row>
    <row r="276">
      <c r="B276" t="inlineStr">
        <is>
          <t>CURAL</t>
        </is>
      </c>
      <c r="C276" t="inlineStr">
        <is>
          <t>SHELVES</t>
        </is>
      </c>
      <c r="D276" t="inlineStr">
        <is>
          <t>KF4774.A75 L4</t>
        </is>
      </c>
      <c r="E276" t="inlineStr">
        <is>
          <t>0                      KF 4774000A  75                 L  4</t>
        </is>
      </c>
      <c r="F276" t="inlineStr">
        <is>
          <t>Freedom of the press from Zenger to Jefferson; early American libertarian theories. Edited by Leonard W. Levy.</t>
        </is>
      </c>
      <c r="H276" t="inlineStr">
        <is>
          <t>No</t>
        </is>
      </c>
      <c r="I276" t="inlineStr">
        <is>
          <t>1</t>
        </is>
      </c>
      <c r="J276" t="inlineStr">
        <is>
          <t>Yes</t>
        </is>
      </c>
      <c r="K276" t="inlineStr">
        <is>
          <t>No</t>
        </is>
      </c>
      <c r="L276" t="inlineStr">
        <is>
          <t>0</t>
        </is>
      </c>
      <c r="M276" t="inlineStr">
        <is>
          <t>Levy, Leonard W. (Leonard Williams), 1923-2006, editor.</t>
        </is>
      </c>
      <c r="N276" t="inlineStr">
        <is>
          <t>Indianapolis, Bobbs-Merrill Co. [1966]</t>
        </is>
      </c>
      <c r="O276" t="inlineStr">
        <is>
          <t>1966</t>
        </is>
      </c>
      <c r="Q276" t="inlineStr">
        <is>
          <t>eng</t>
        </is>
      </c>
      <c r="R276" t="inlineStr">
        <is>
          <t>inu</t>
        </is>
      </c>
      <c r="S276" t="inlineStr">
        <is>
          <t>The American Heritage series, 41</t>
        </is>
      </c>
      <c r="T276" t="inlineStr">
        <is>
          <t xml:space="preserve">KF </t>
        </is>
      </c>
      <c r="U276" t="n">
        <v>1</v>
      </c>
      <c r="V276" t="n">
        <v>4</v>
      </c>
      <c r="W276" t="inlineStr">
        <is>
          <t>2008-11-10</t>
        </is>
      </c>
      <c r="X276" t="inlineStr">
        <is>
          <t>2008-11-10</t>
        </is>
      </c>
      <c r="Y276" t="inlineStr">
        <is>
          <t>1997-04-16</t>
        </is>
      </c>
      <c r="Z276" t="inlineStr">
        <is>
          <t>1997-04-16</t>
        </is>
      </c>
      <c r="AA276" t="n">
        <v>1124</v>
      </c>
      <c r="AB276" t="n">
        <v>1053</v>
      </c>
      <c r="AC276" t="n">
        <v>1141</v>
      </c>
      <c r="AD276" t="n">
        <v>11</v>
      </c>
      <c r="AE276" t="n">
        <v>11</v>
      </c>
      <c r="AF276" t="n">
        <v>49</v>
      </c>
      <c r="AG276" t="n">
        <v>53</v>
      </c>
      <c r="AH276" t="n">
        <v>14</v>
      </c>
      <c r="AI276" t="n">
        <v>14</v>
      </c>
      <c r="AJ276" t="n">
        <v>7</v>
      </c>
      <c r="AK276" t="n">
        <v>7</v>
      </c>
      <c r="AL276" t="n">
        <v>17</v>
      </c>
      <c r="AM276" t="n">
        <v>18</v>
      </c>
      <c r="AN276" t="n">
        <v>7</v>
      </c>
      <c r="AO276" t="n">
        <v>7</v>
      </c>
      <c r="AP276" t="n">
        <v>13</v>
      </c>
      <c r="AQ276" t="n">
        <v>16</v>
      </c>
      <c r="AR276" t="inlineStr">
        <is>
          <t>No</t>
        </is>
      </c>
      <c r="AS276" t="inlineStr">
        <is>
          <t>No</t>
        </is>
      </c>
      <c r="AU276">
        <f>HYPERLINK("https://creighton-primo.hosted.exlibrisgroup.com/primo-explore/search?tab=default_tab&amp;search_scope=EVERYTHING&amp;vid=01CRU&amp;lang=en_US&amp;offset=0&amp;query=any,contains,991001655629702656","Catalog Record")</f>
        <v/>
      </c>
      <c r="AV276">
        <f>HYPERLINK("http://www.worldcat.org/oclc/575392","WorldCat Record")</f>
        <v/>
      </c>
      <c r="AW276" t="inlineStr">
        <is>
          <t>40513635:eng</t>
        </is>
      </c>
      <c r="AX276" t="inlineStr">
        <is>
          <t>575392</t>
        </is>
      </c>
      <c r="AY276" t="inlineStr">
        <is>
          <t>991001655629702656</t>
        </is>
      </c>
      <c r="AZ276" t="inlineStr">
        <is>
          <t>991001655629702656</t>
        </is>
      </c>
      <c r="BA276" t="inlineStr">
        <is>
          <t>2258111800002656</t>
        </is>
      </c>
      <c r="BB276" t="inlineStr">
        <is>
          <t>BOOK</t>
        </is>
      </c>
      <c r="BE276" t="inlineStr">
        <is>
          <t>32285002551991</t>
        </is>
      </c>
      <c r="BF276" t="inlineStr">
        <is>
          <t>893690755</t>
        </is>
      </c>
    </row>
    <row r="277">
      <c r="B277" t="inlineStr">
        <is>
          <t>CURAL</t>
        </is>
      </c>
      <c r="C277" t="inlineStr">
        <is>
          <t>SHELVES</t>
        </is>
      </c>
      <c r="D277" t="inlineStr">
        <is>
          <t>KF478.Z95 A4</t>
        </is>
      </c>
      <c r="E277" t="inlineStr">
        <is>
          <t>0                      KF 0478000Z  95                 A  4</t>
        </is>
      </c>
      <c r="F277" t="inlineStr">
        <is>
          <t>Shana Alexander's State-by-State guide to women's legal rights / Barbara Brudno, legal consultant.</t>
        </is>
      </c>
      <c r="H277" t="inlineStr">
        <is>
          <t>No</t>
        </is>
      </c>
      <c r="I277" t="inlineStr">
        <is>
          <t>1</t>
        </is>
      </c>
      <c r="J277" t="inlineStr">
        <is>
          <t>No</t>
        </is>
      </c>
      <c r="K277" t="inlineStr">
        <is>
          <t>No</t>
        </is>
      </c>
      <c r="L277" t="inlineStr">
        <is>
          <t>0</t>
        </is>
      </c>
      <c r="M277" t="inlineStr">
        <is>
          <t>Alexander, Shana.</t>
        </is>
      </c>
      <c r="N277" t="inlineStr">
        <is>
          <t>Los Angeles : Wollstonecraft : distributed by Price/Stern/Sloan Publishers, [1975]</t>
        </is>
      </c>
      <c r="O277" t="inlineStr">
        <is>
          <t>1975</t>
        </is>
      </c>
      <c r="P277" t="inlineStr">
        <is>
          <t>1st ed.</t>
        </is>
      </c>
      <c r="Q277" t="inlineStr">
        <is>
          <t>eng</t>
        </is>
      </c>
      <c r="R277" t="inlineStr">
        <is>
          <t>cau</t>
        </is>
      </c>
      <c r="T277" t="inlineStr">
        <is>
          <t xml:space="preserve">KF </t>
        </is>
      </c>
      <c r="U277" t="n">
        <v>1</v>
      </c>
      <c r="V277" t="n">
        <v>1</v>
      </c>
      <c r="W277" t="inlineStr">
        <is>
          <t>2005-12-12</t>
        </is>
      </c>
      <c r="X277" t="inlineStr">
        <is>
          <t>2005-12-12</t>
        </is>
      </c>
      <c r="Y277" t="inlineStr">
        <is>
          <t>1997-04-14</t>
        </is>
      </c>
      <c r="Z277" t="inlineStr">
        <is>
          <t>1997-04-14</t>
        </is>
      </c>
      <c r="AA277" t="n">
        <v>678</v>
      </c>
      <c r="AB277" t="n">
        <v>662</v>
      </c>
      <c r="AC277" t="n">
        <v>668</v>
      </c>
      <c r="AD277" t="n">
        <v>8</v>
      </c>
      <c r="AE277" t="n">
        <v>8</v>
      </c>
      <c r="AF277" t="n">
        <v>23</v>
      </c>
      <c r="AG277" t="n">
        <v>23</v>
      </c>
      <c r="AH277" t="n">
        <v>3</v>
      </c>
      <c r="AI277" t="n">
        <v>3</v>
      </c>
      <c r="AJ277" t="n">
        <v>0</v>
      </c>
      <c r="AK277" t="n">
        <v>0</v>
      </c>
      <c r="AL277" t="n">
        <v>4</v>
      </c>
      <c r="AM277" t="n">
        <v>4</v>
      </c>
      <c r="AN277" t="n">
        <v>5</v>
      </c>
      <c r="AO277" t="n">
        <v>5</v>
      </c>
      <c r="AP277" t="n">
        <v>12</v>
      </c>
      <c r="AQ277" t="n">
        <v>12</v>
      </c>
      <c r="AR277" t="inlineStr">
        <is>
          <t>No</t>
        </is>
      </c>
      <c r="AS277" t="inlineStr">
        <is>
          <t>Yes</t>
        </is>
      </c>
      <c r="AT277">
        <f>HYPERLINK("http://catalog.hathitrust.org/Record/000030041","HathiTrust Record")</f>
        <v/>
      </c>
      <c r="AU277">
        <f>HYPERLINK("https://creighton-primo.hosted.exlibrisgroup.com/primo-explore/search?tab=default_tab&amp;search_scope=EVERYTHING&amp;vid=01CRU&amp;lang=en_US&amp;offset=0&amp;query=any,contains,991003530239702656","Catalog Record")</f>
        <v/>
      </c>
      <c r="AV277">
        <f>HYPERLINK("http://www.worldcat.org/oclc/1093350","WorldCat Record")</f>
        <v/>
      </c>
      <c r="AW277" t="inlineStr">
        <is>
          <t>2067106:eng</t>
        </is>
      </c>
      <c r="AX277" t="inlineStr">
        <is>
          <t>1093350</t>
        </is>
      </c>
      <c r="AY277" t="inlineStr">
        <is>
          <t>991003530239702656</t>
        </is>
      </c>
      <c r="AZ277" t="inlineStr">
        <is>
          <t>991003530239702656</t>
        </is>
      </c>
      <c r="BA277" t="inlineStr">
        <is>
          <t>2264858330002656</t>
        </is>
      </c>
      <c r="BB277" t="inlineStr">
        <is>
          <t>BOOK</t>
        </is>
      </c>
      <c r="BD277" t="inlineStr">
        <is>
          <t>9780883810088</t>
        </is>
      </c>
      <c r="BE277" t="inlineStr">
        <is>
          <t>32285002524931</t>
        </is>
      </c>
      <c r="BF277" t="inlineStr">
        <is>
          <t>893774846</t>
        </is>
      </c>
    </row>
    <row r="278">
      <c r="B278" t="inlineStr">
        <is>
          <t>CURAL</t>
        </is>
      </c>
      <c r="C278" t="inlineStr">
        <is>
          <t>SHELVES</t>
        </is>
      </c>
      <c r="D278" t="inlineStr">
        <is>
          <t>KF4783 .A94 1995</t>
        </is>
      </c>
      <c r="E278" t="inlineStr">
        <is>
          <t>0                      KF 4783000A  94          1995</t>
        </is>
      </c>
      <c r="F278" t="inlineStr">
        <is>
          <t>All imaginable liberty : the religious liberty clauses of the First Amendment / [edited by] Francis Graham Lee.</t>
        </is>
      </c>
      <c r="H278" t="inlineStr">
        <is>
          <t>No</t>
        </is>
      </c>
      <c r="I278" t="inlineStr">
        <is>
          <t>1</t>
        </is>
      </c>
      <c r="J278" t="inlineStr">
        <is>
          <t>No</t>
        </is>
      </c>
      <c r="K278" t="inlineStr">
        <is>
          <t>No</t>
        </is>
      </c>
      <c r="L278" t="inlineStr">
        <is>
          <t>0</t>
        </is>
      </c>
      <c r="N278" t="inlineStr">
        <is>
          <t>Lanham, Md. : University Press of America, c1995.</t>
        </is>
      </c>
      <c r="O278" t="inlineStr">
        <is>
          <t>1995</t>
        </is>
      </c>
      <c r="Q278" t="inlineStr">
        <is>
          <t>eng</t>
        </is>
      </c>
      <c r="R278" t="inlineStr">
        <is>
          <t>mdu</t>
        </is>
      </c>
      <c r="T278" t="inlineStr">
        <is>
          <t xml:space="preserve">KF </t>
        </is>
      </c>
      <c r="U278" t="n">
        <v>4</v>
      </c>
      <c r="V278" t="n">
        <v>4</v>
      </c>
      <c r="W278" t="inlineStr">
        <is>
          <t>2000-04-06</t>
        </is>
      </c>
      <c r="X278" t="inlineStr">
        <is>
          <t>2000-04-06</t>
        </is>
      </c>
      <c r="Y278" t="inlineStr">
        <is>
          <t>1996-06-25</t>
        </is>
      </c>
      <c r="Z278" t="inlineStr">
        <is>
          <t>1996-06-25</t>
        </is>
      </c>
      <c r="AA278" t="n">
        <v>338</v>
      </c>
      <c r="AB278" t="n">
        <v>314</v>
      </c>
      <c r="AC278" t="n">
        <v>337</v>
      </c>
      <c r="AD278" t="n">
        <v>4</v>
      </c>
      <c r="AE278" t="n">
        <v>4</v>
      </c>
      <c r="AF278" t="n">
        <v>28</v>
      </c>
      <c r="AG278" t="n">
        <v>29</v>
      </c>
      <c r="AH278" t="n">
        <v>5</v>
      </c>
      <c r="AI278" t="n">
        <v>5</v>
      </c>
      <c r="AJ278" t="n">
        <v>4</v>
      </c>
      <c r="AK278" t="n">
        <v>5</v>
      </c>
      <c r="AL278" t="n">
        <v>6</v>
      </c>
      <c r="AM278" t="n">
        <v>7</v>
      </c>
      <c r="AN278" t="n">
        <v>3</v>
      </c>
      <c r="AO278" t="n">
        <v>3</v>
      </c>
      <c r="AP278" t="n">
        <v>13</v>
      </c>
      <c r="AQ278" t="n">
        <v>13</v>
      </c>
      <c r="AR278" t="inlineStr">
        <is>
          <t>No</t>
        </is>
      </c>
      <c r="AS278" t="inlineStr">
        <is>
          <t>Yes</t>
        </is>
      </c>
      <c r="AT278">
        <f>HYPERLINK("http://catalog.hathitrust.org/Record/003010310","HathiTrust Record")</f>
        <v/>
      </c>
      <c r="AU278">
        <f>HYPERLINK("https://creighton-primo.hosted.exlibrisgroup.com/primo-explore/search?tab=default_tab&amp;search_scope=EVERYTHING&amp;vid=01CRU&amp;lang=en_US&amp;offset=0&amp;query=any,contains,991002465309702656","Catalog Record")</f>
        <v/>
      </c>
      <c r="AV278">
        <f>HYPERLINK("http://www.worldcat.org/oclc/32131005","WorldCat Record")</f>
        <v/>
      </c>
      <c r="AW278" t="inlineStr">
        <is>
          <t>837033929:eng</t>
        </is>
      </c>
      <c r="AX278" t="inlineStr">
        <is>
          <t>32131005</t>
        </is>
      </c>
      <c r="AY278" t="inlineStr">
        <is>
          <t>991002465309702656</t>
        </is>
      </c>
      <c r="AZ278" t="inlineStr">
        <is>
          <t>991002465309702656</t>
        </is>
      </c>
      <c r="BA278" t="inlineStr">
        <is>
          <t>2263002340002656</t>
        </is>
      </c>
      <c r="BB278" t="inlineStr">
        <is>
          <t>BOOK</t>
        </is>
      </c>
      <c r="BD278" t="inlineStr">
        <is>
          <t>9780819198860</t>
        </is>
      </c>
      <c r="BE278" t="inlineStr">
        <is>
          <t>32285002173218</t>
        </is>
      </c>
      <c r="BF278" t="inlineStr">
        <is>
          <t>893616159</t>
        </is>
      </c>
    </row>
    <row r="279">
      <c r="B279" t="inlineStr">
        <is>
          <t>CURAL</t>
        </is>
      </c>
      <c r="C279" t="inlineStr">
        <is>
          <t>SHELVES</t>
        </is>
      </c>
      <c r="D279" t="inlineStr">
        <is>
          <t>KF4783 .J36 1985</t>
        </is>
      </c>
      <c r="E279" t="inlineStr">
        <is>
          <t>0                      KF 4783000J  36          1985</t>
        </is>
      </c>
      <c r="F279" t="inlineStr">
        <is>
          <t>James Madison on religious liberty / edited, with introductions and interpretations by Robert S. Alley.</t>
        </is>
      </c>
      <c r="H279" t="inlineStr">
        <is>
          <t>No</t>
        </is>
      </c>
      <c r="I279" t="inlineStr">
        <is>
          <t>1</t>
        </is>
      </c>
      <c r="J279" t="inlineStr">
        <is>
          <t>No</t>
        </is>
      </c>
      <c r="K279" t="inlineStr">
        <is>
          <t>No</t>
        </is>
      </c>
      <c r="L279" t="inlineStr">
        <is>
          <t>0</t>
        </is>
      </c>
      <c r="N279" t="inlineStr">
        <is>
          <t>Buffalo, N.Y. : Prometheus Books, 1985.</t>
        </is>
      </c>
      <c r="O279" t="inlineStr">
        <is>
          <t>1985</t>
        </is>
      </c>
      <c r="Q279" t="inlineStr">
        <is>
          <t>eng</t>
        </is>
      </c>
      <c r="R279" t="inlineStr">
        <is>
          <t>nyu</t>
        </is>
      </c>
      <c r="T279" t="inlineStr">
        <is>
          <t xml:space="preserve">KF </t>
        </is>
      </c>
      <c r="U279" t="n">
        <v>4</v>
      </c>
      <c r="V279" t="n">
        <v>4</v>
      </c>
      <c r="W279" t="inlineStr">
        <is>
          <t>2005-01-18</t>
        </is>
      </c>
      <c r="X279" t="inlineStr">
        <is>
          <t>2005-01-18</t>
        </is>
      </c>
      <c r="Y279" t="inlineStr">
        <is>
          <t>1992-07-07</t>
        </is>
      </c>
      <c r="Z279" t="inlineStr">
        <is>
          <t>1992-07-07</t>
        </is>
      </c>
      <c r="AA279" t="n">
        <v>632</v>
      </c>
      <c r="AB279" t="n">
        <v>595</v>
      </c>
      <c r="AC279" t="n">
        <v>606</v>
      </c>
      <c r="AD279" t="n">
        <v>3</v>
      </c>
      <c r="AE279" t="n">
        <v>3</v>
      </c>
      <c r="AF279" t="n">
        <v>34</v>
      </c>
      <c r="AG279" t="n">
        <v>34</v>
      </c>
      <c r="AH279" t="n">
        <v>9</v>
      </c>
      <c r="AI279" t="n">
        <v>9</v>
      </c>
      <c r="AJ279" t="n">
        <v>6</v>
      </c>
      <c r="AK279" t="n">
        <v>6</v>
      </c>
      <c r="AL279" t="n">
        <v>12</v>
      </c>
      <c r="AM279" t="n">
        <v>12</v>
      </c>
      <c r="AN279" t="n">
        <v>2</v>
      </c>
      <c r="AO279" t="n">
        <v>2</v>
      </c>
      <c r="AP279" t="n">
        <v>11</v>
      </c>
      <c r="AQ279" t="n">
        <v>11</v>
      </c>
      <c r="AR279" t="inlineStr">
        <is>
          <t>No</t>
        </is>
      </c>
      <c r="AS279" t="inlineStr">
        <is>
          <t>Yes</t>
        </is>
      </c>
      <c r="AT279">
        <f>HYPERLINK("http://catalog.hathitrust.org/Record/000384120","HathiTrust Record")</f>
        <v/>
      </c>
      <c r="AU279">
        <f>HYPERLINK("https://creighton-primo.hosted.exlibrisgroup.com/primo-explore/search?tab=default_tab&amp;search_scope=EVERYTHING&amp;vid=01CRU&amp;lang=en_US&amp;offset=0&amp;query=any,contains,991000777119702656","Catalog Record")</f>
        <v/>
      </c>
      <c r="AV279">
        <f>HYPERLINK("http://www.worldcat.org/oclc/13090788","WorldCat Record")</f>
        <v/>
      </c>
      <c r="AW279" t="inlineStr">
        <is>
          <t>5802019:eng</t>
        </is>
      </c>
      <c r="AX279" t="inlineStr">
        <is>
          <t>13090788</t>
        </is>
      </c>
      <c r="AY279" t="inlineStr">
        <is>
          <t>991000777119702656</t>
        </is>
      </c>
      <c r="AZ279" t="inlineStr">
        <is>
          <t>991000777119702656</t>
        </is>
      </c>
      <c r="BA279" t="inlineStr">
        <is>
          <t>2272764210002656</t>
        </is>
      </c>
      <c r="BB279" t="inlineStr">
        <is>
          <t>BOOK</t>
        </is>
      </c>
      <c r="BD279" t="inlineStr">
        <is>
          <t>9780879752989</t>
        </is>
      </c>
      <c r="BE279" t="inlineStr">
        <is>
          <t>32285001178226</t>
        </is>
      </c>
      <c r="BF279" t="inlineStr">
        <is>
          <t>893803067</t>
        </is>
      </c>
    </row>
    <row r="280">
      <c r="B280" t="inlineStr">
        <is>
          <t>CURAL</t>
        </is>
      </c>
      <c r="C280" t="inlineStr">
        <is>
          <t>SHELVES</t>
        </is>
      </c>
      <c r="D280" t="inlineStr">
        <is>
          <t>KF479 .C47 1983</t>
        </is>
      </c>
      <c r="E280" t="inlineStr">
        <is>
          <t>0                      KF 0479000C  47          1983</t>
        </is>
      </c>
      <c r="F280" t="inlineStr">
        <is>
          <t>Children's competence to consent / edited by Gary B. Melton, Gerald P. Koocher, and Michael J. Saks.</t>
        </is>
      </c>
      <c r="H280" t="inlineStr">
        <is>
          <t>No</t>
        </is>
      </c>
      <c r="I280" t="inlineStr">
        <is>
          <t>1</t>
        </is>
      </c>
      <c r="J280" t="inlineStr">
        <is>
          <t>Yes</t>
        </is>
      </c>
      <c r="K280" t="inlineStr">
        <is>
          <t>No</t>
        </is>
      </c>
      <c r="L280" t="inlineStr">
        <is>
          <t>0</t>
        </is>
      </c>
      <c r="N280" t="inlineStr">
        <is>
          <t>New York : Plenum Press, c1983.</t>
        </is>
      </c>
      <c r="O280" t="inlineStr">
        <is>
          <t>1983</t>
        </is>
      </c>
      <c r="Q280" t="inlineStr">
        <is>
          <t>eng</t>
        </is>
      </c>
      <c r="R280" t="inlineStr">
        <is>
          <t>nyu</t>
        </is>
      </c>
      <c r="S280" t="inlineStr">
        <is>
          <t>Critical issues in social justice</t>
        </is>
      </c>
      <c r="T280" t="inlineStr">
        <is>
          <t xml:space="preserve">KF </t>
        </is>
      </c>
      <c r="U280" t="n">
        <v>7</v>
      </c>
      <c r="V280" t="n">
        <v>8</v>
      </c>
      <c r="W280" t="inlineStr">
        <is>
          <t>2000-08-29</t>
        </is>
      </c>
      <c r="X280" t="inlineStr">
        <is>
          <t>2000-08-29</t>
        </is>
      </c>
      <c r="Y280" t="inlineStr">
        <is>
          <t>1992-06-12</t>
        </is>
      </c>
      <c r="Z280" t="inlineStr">
        <is>
          <t>1992-06-12</t>
        </is>
      </c>
      <c r="AA280" t="n">
        <v>567</v>
      </c>
      <c r="AB280" t="n">
        <v>469</v>
      </c>
      <c r="AC280" t="n">
        <v>487</v>
      </c>
      <c r="AD280" t="n">
        <v>4</v>
      </c>
      <c r="AE280" t="n">
        <v>5</v>
      </c>
      <c r="AF280" t="n">
        <v>27</v>
      </c>
      <c r="AG280" t="n">
        <v>29</v>
      </c>
      <c r="AH280" t="n">
        <v>3</v>
      </c>
      <c r="AI280" t="n">
        <v>4</v>
      </c>
      <c r="AJ280" t="n">
        <v>6</v>
      </c>
      <c r="AK280" t="n">
        <v>6</v>
      </c>
      <c r="AL280" t="n">
        <v>12</v>
      </c>
      <c r="AM280" t="n">
        <v>12</v>
      </c>
      <c r="AN280" t="n">
        <v>2</v>
      </c>
      <c r="AO280" t="n">
        <v>2</v>
      </c>
      <c r="AP280" t="n">
        <v>9</v>
      </c>
      <c r="AQ280" t="n">
        <v>10</v>
      </c>
      <c r="AR280" t="inlineStr">
        <is>
          <t>No</t>
        </is>
      </c>
      <c r="AS280" t="inlineStr">
        <is>
          <t>Yes</t>
        </is>
      </c>
      <c r="AT280">
        <f>HYPERLINK("http://catalog.hathitrust.org/Record/000313640","HathiTrust Record")</f>
        <v/>
      </c>
      <c r="AU280">
        <f>HYPERLINK("https://creighton-primo.hosted.exlibrisgroup.com/primo-explore/search?tab=default_tab&amp;search_scope=EVERYTHING&amp;vid=01CRU&amp;lang=en_US&amp;offset=0&amp;query=any,contains,991001767449702656","Catalog Record")</f>
        <v/>
      </c>
      <c r="AV280">
        <f>HYPERLINK("http://www.worldcat.org/oclc/8866343","WorldCat Record")</f>
        <v/>
      </c>
      <c r="AW280" t="inlineStr">
        <is>
          <t>355860568:eng</t>
        </is>
      </c>
      <c r="AX280" t="inlineStr">
        <is>
          <t>8866343</t>
        </is>
      </c>
      <c r="AY280" t="inlineStr">
        <is>
          <t>991001767449702656</t>
        </is>
      </c>
      <c r="AZ280" t="inlineStr">
        <is>
          <t>991001767449702656</t>
        </is>
      </c>
      <c r="BA280" t="inlineStr">
        <is>
          <t>2262395260002656</t>
        </is>
      </c>
      <c r="BB280" t="inlineStr">
        <is>
          <t>BOOK</t>
        </is>
      </c>
      <c r="BD280" t="inlineStr">
        <is>
          <t>9780306410697</t>
        </is>
      </c>
      <c r="BE280" t="inlineStr">
        <is>
          <t>32285001173482</t>
        </is>
      </c>
      <c r="BF280" t="inlineStr">
        <is>
          <t>893891817</t>
        </is>
      </c>
    </row>
    <row r="281">
      <c r="B281" t="inlineStr">
        <is>
          <t>CURAL</t>
        </is>
      </c>
      <c r="C281" t="inlineStr">
        <is>
          <t>SHELVES</t>
        </is>
      </c>
      <c r="D281" t="inlineStr">
        <is>
          <t>KF479.A75 C48 1984</t>
        </is>
      </c>
      <c r="E281" t="inlineStr">
        <is>
          <t>0                      KF 0479000A  75                 C  48          1984</t>
        </is>
      </c>
      <c r="F281" t="inlineStr">
        <is>
          <t>Children, mental health, and the law / edited by N. Dickon Reppucci ... [et al.].</t>
        </is>
      </c>
      <c r="H281" t="inlineStr">
        <is>
          <t>No</t>
        </is>
      </c>
      <c r="I281" t="inlineStr">
        <is>
          <t>1</t>
        </is>
      </c>
      <c r="J281" t="inlineStr">
        <is>
          <t>No</t>
        </is>
      </c>
      <c r="K281" t="inlineStr">
        <is>
          <t>No</t>
        </is>
      </c>
      <c r="L281" t="inlineStr">
        <is>
          <t>0</t>
        </is>
      </c>
      <c r="N281" t="inlineStr">
        <is>
          <t>Beverly Hills : Sage Publications, c1984.</t>
        </is>
      </c>
      <c r="O281" t="inlineStr">
        <is>
          <t>1984</t>
        </is>
      </c>
      <c r="Q281" t="inlineStr">
        <is>
          <t>eng</t>
        </is>
      </c>
      <c r="R281" t="inlineStr">
        <is>
          <t>cau</t>
        </is>
      </c>
      <c r="S281" t="inlineStr">
        <is>
          <t>Sage annual reviews of community mental health ; v. 4</t>
        </is>
      </c>
      <c r="T281" t="inlineStr">
        <is>
          <t xml:space="preserve">KF </t>
        </is>
      </c>
      <c r="U281" t="n">
        <v>13</v>
      </c>
      <c r="V281" t="n">
        <v>13</v>
      </c>
      <c r="W281" t="inlineStr">
        <is>
          <t>2010-06-07</t>
        </is>
      </c>
      <c r="X281" t="inlineStr">
        <is>
          <t>2010-06-07</t>
        </is>
      </c>
      <c r="Y281" t="inlineStr">
        <is>
          <t>1992-06-12</t>
        </is>
      </c>
      <c r="Z281" t="inlineStr">
        <is>
          <t>1992-06-12</t>
        </is>
      </c>
      <c r="AA281" t="n">
        <v>468</v>
      </c>
      <c r="AB281" t="n">
        <v>395</v>
      </c>
      <c r="AC281" t="n">
        <v>401</v>
      </c>
      <c r="AD281" t="n">
        <v>6</v>
      </c>
      <c r="AE281" t="n">
        <v>6</v>
      </c>
      <c r="AF281" t="n">
        <v>29</v>
      </c>
      <c r="AG281" t="n">
        <v>29</v>
      </c>
      <c r="AH281" t="n">
        <v>8</v>
      </c>
      <c r="AI281" t="n">
        <v>8</v>
      </c>
      <c r="AJ281" t="n">
        <v>5</v>
      </c>
      <c r="AK281" t="n">
        <v>5</v>
      </c>
      <c r="AL281" t="n">
        <v>7</v>
      </c>
      <c r="AM281" t="n">
        <v>7</v>
      </c>
      <c r="AN281" t="n">
        <v>4</v>
      </c>
      <c r="AO281" t="n">
        <v>4</v>
      </c>
      <c r="AP281" t="n">
        <v>11</v>
      </c>
      <c r="AQ281" t="n">
        <v>11</v>
      </c>
      <c r="AR281" t="inlineStr">
        <is>
          <t>No</t>
        </is>
      </c>
      <c r="AS281" t="inlineStr">
        <is>
          <t>Yes</t>
        </is>
      </c>
      <c r="AT281">
        <f>HYPERLINK("http://catalog.hathitrust.org/Record/000330509","HathiTrust Record")</f>
        <v/>
      </c>
      <c r="AU281">
        <f>HYPERLINK("https://creighton-primo.hosted.exlibrisgroup.com/primo-explore/search?tab=default_tab&amp;search_scope=EVERYTHING&amp;vid=01CRU&amp;lang=en_US&amp;offset=0&amp;query=any,contains,991000328749702656","Catalog Record")</f>
        <v/>
      </c>
      <c r="AV281">
        <f>HYPERLINK("http://www.worldcat.org/oclc/10185389","WorldCat Record")</f>
        <v/>
      </c>
      <c r="AW281" t="inlineStr">
        <is>
          <t>54614571:eng</t>
        </is>
      </c>
      <c r="AX281" t="inlineStr">
        <is>
          <t>10185389</t>
        </is>
      </c>
      <c r="AY281" t="inlineStr">
        <is>
          <t>991000328749702656</t>
        </is>
      </c>
      <c r="AZ281" t="inlineStr">
        <is>
          <t>991000328749702656</t>
        </is>
      </c>
      <c r="BA281" t="inlineStr">
        <is>
          <t>2265547870002656</t>
        </is>
      </c>
      <c r="BB281" t="inlineStr">
        <is>
          <t>BOOK</t>
        </is>
      </c>
      <c r="BD281" t="inlineStr">
        <is>
          <t>9780803921849</t>
        </is>
      </c>
      <c r="BE281" t="inlineStr">
        <is>
          <t>32285001173466</t>
        </is>
      </c>
      <c r="BF281" t="inlineStr">
        <is>
          <t>893224905</t>
        </is>
      </c>
    </row>
    <row r="282">
      <c r="B282" t="inlineStr">
        <is>
          <t>CURAL</t>
        </is>
      </c>
      <c r="C282" t="inlineStr">
        <is>
          <t>SHELVES</t>
        </is>
      </c>
      <c r="D282" t="inlineStr">
        <is>
          <t>KF480 .A95</t>
        </is>
      </c>
      <c r="E282" t="inlineStr">
        <is>
          <t>0                      KF 0480000A  95</t>
        </is>
      </c>
      <c r="F282" t="inlineStr">
        <is>
          <t>Mental impairment and legal incompetency, by Richard C. Allen, Elyce Zenoff Ferster [and] Henry Weihofen.</t>
        </is>
      </c>
      <c r="H282" t="inlineStr">
        <is>
          <t>No</t>
        </is>
      </c>
      <c r="I282" t="inlineStr">
        <is>
          <t>1</t>
        </is>
      </c>
      <c r="J282" t="inlineStr">
        <is>
          <t>No</t>
        </is>
      </c>
      <c r="K282" t="inlineStr">
        <is>
          <t>No</t>
        </is>
      </c>
      <c r="L282" t="inlineStr">
        <is>
          <t>0</t>
        </is>
      </c>
      <c r="M282" t="inlineStr">
        <is>
          <t>Allen, Richard C., 1926-</t>
        </is>
      </c>
      <c r="N282" t="inlineStr">
        <is>
          <t>Englewood Cliffs, N.J., Prentice-Hall [1968]</t>
        </is>
      </c>
      <c r="O282" t="inlineStr">
        <is>
          <t>1968</t>
        </is>
      </c>
      <c r="Q282" t="inlineStr">
        <is>
          <t>eng</t>
        </is>
      </c>
      <c r="R282" t="inlineStr">
        <is>
          <t>nju</t>
        </is>
      </c>
      <c r="T282" t="inlineStr">
        <is>
          <t xml:space="preserve">KF </t>
        </is>
      </c>
      <c r="U282" t="n">
        <v>1</v>
      </c>
      <c r="V282" t="n">
        <v>1</v>
      </c>
      <c r="W282" t="inlineStr">
        <is>
          <t>2006-11-17</t>
        </is>
      </c>
      <c r="X282" t="inlineStr">
        <is>
          <t>2006-11-17</t>
        </is>
      </c>
      <c r="Y282" t="inlineStr">
        <is>
          <t>1997-04-14</t>
        </is>
      </c>
      <c r="Z282" t="inlineStr">
        <is>
          <t>1997-04-14</t>
        </is>
      </c>
      <c r="AA282" t="n">
        <v>272</v>
      </c>
      <c r="AB282" t="n">
        <v>246</v>
      </c>
      <c r="AC282" t="n">
        <v>249</v>
      </c>
      <c r="AD282" t="n">
        <v>2</v>
      </c>
      <c r="AE282" t="n">
        <v>2</v>
      </c>
      <c r="AF282" t="n">
        <v>18</v>
      </c>
      <c r="AG282" t="n">
        <v>18</v>
      </c>
      <c r="AH282" t="n">
        <v>0</v>
      </c>
      <c r="AI282" t="n">
        <v>0</v>
      </c>
      <c r="AJ282" t="n">
        <v>1</v>
      </c>
      <c r="AK282" t="n">
        <v>1</v>
      </c>
      <c r="AL282" t="n">
        <v>3</v>
      </c>
      <c r="AM282" t="n">
        <v>3</v>
      </c>
      <c r="AN282" t="n">
        <v>0</v>
      </c>
      <c r="AO282" t="n">
        <v>0</v>
      </c>
      <c r="AP282" t="n">
        <v>15</v>
      </c>
      <c r="AQ282" t="n">
        <v>15</v>
      </c>
      <c r="AR282" t="inlineStr">
        <is>
          <t>No</t>
        </is>
      </c>
      <c r="AS282" t="inlineStr">
        <is>
          <t>Yes</t>
        </is>
      </c>
      <c r="AT282">
        <f>HYPERLINK("http://catalog.hathitrust.org/Record/001560480","HathiTrust Record")</f>
        <v/>
      </c>
      <c r="AU282">
        <f>HYPERLINK("https://creighton-primo.hosted.exlibrisgroup.com/primo-explore/search?tab=default_tab&amp;search_scope=EVERYTHING&amp;vid=01CRU&amp;lang=en_US&amp;offset=0&amp;query=any,contains,991002773029702656","Catalog Record")</f>
        <v/>
      </c>
      <c r="AV282">
        <f>HYPERLINK("http://www.worldcat.org/oclc/437743","WorldCat Record")</f>
        <v/>
      </c>
      <c r="AW282" t="inlineStr">
        <is>
          <t>1559268:eng</t>
        </is>
      </c>
      <c r="AX282" t="inlineStr">
        <is>
          <t>437743</t>
        </is>
      </c>
      <c r="AY282" t="inlineStr">
        <is>
          <t>991002773029702656</t>
        </is>
      </c>
      <c r="AZ282" t="inlineStr">
        <is>
          <t>991002773029702656</t>
        </is>
      </c>
      <c r="BA282" t="inlineStr">
        <is>
          <t>2267914620002656</t>
        </is>
      </c>
      <c r="BB282" t="inlineStr">
        <is>
          <t>BOOK</t>
        </is>
      </c>
      <c r="BE282" t="inlineStr">
        <is>
          <t>32285002524956</t>
        </is>
      </c>
      <c r="BF282" t="inlineStr">
        <is>
          <t>893352512</t>
        </is>
      </c>
    </row>
    <row r="283">
      <c r="B283" t="inlineStr">
        <is>
          <t>CURAL</t>
        </is>
      </c>
      <c r="C283" t="inlineStr">
        <is>
          <t>SHELVES</t>
        </is>
      </c>
      <c r="D283" t="inlineStr">
        <is>
          <t>KF480 .K47 1989</t>
        </is>
      </c>
      <c r="E283" t="inlineStr">
        <is>
          <t>0                      KF 0480000K  47          1989</t>
        </is>
      </c>
      <c r="F283" t="inlineStr">
        <is>
          <t>Handbook of psychiatry and the law / Ebrahim J. Kermani.</t>
        </is>
      </c>
      <c r="H283" t="inlineStr">
        <is>
          <t>No</t>
        </is>
      </c>
      <c r="I283" t="inlineStr">
        <is>
          <t>1</t>
        </is>
      </c>
      <c r="J283" t="inlineStr">
        <is>
          <t>No</t>
        </is>
      </c>
      <c r="K283" t="inlineStr">
        <is>
          <t>No</t>
        </is>
      </c>
      <c r="L283" t="inlineStr">
        <is>
          <t>0</t>
        </is>
      </c>
      <c r="M283" t="inlineStr">
        <is>
          <t>Kermani, Ebrahim J.</t>
        </is>
      </c>
      <c r="N283" t="inlineStr">
        <is>
          <t>Chicago : Year Book Medical Publishers, c1989.</t>
        </is>
      </c>
      <c r="O283" t="inlineStr">
        <is>
          <t>1989</t>
        </is>
      </c>
      <c r="Q283" t="inlineStr">
        <is>
          <t>eng</t>
        </is>
      </c>
      <c r="R283" t="inlineStr">
        <is>
          <t>ilu</t>
        </is>
      </c>
      <c r="T283" t="inlineStr">
        <is>
          <t xml:space="preserve">KF </t>
        </is>
      </c>
      <c r="U283" t="n">
        <v>11</v>
      </c>
      <c r="V283" t="n">
        <v>11</v>
      </c>
      <c r="W283" t="inlineStr">
        <is>
          <t>2005-04-18</t>
        </is>
      </c>
      <c r="X283" t="inlineStr">
        <is>
          <t>2005-04-18</t>
        </is>
      </c>
      <c r="Y283" t="inlineStr">
        <is>
          <t>1990-11-13</t>
        </is>
      </c>
      <c r="Z283" t="inlineStr">
        <is>
          <t>1990-11-13</t>
        </is>
      </c>
      <c r="AA283" t="n">
        <v>194</v>
      </c>
      <c r="AB283" t="n">
        <v>159</v>
      </c>
      <c r="AC283" t="n">
        <v>165</v>
      </c>
      <c r="AD283" t="n">
        <v>2</v>
      </c>
      <c r="AE283" t="n">
        <v>2</v>
      </c>
      <c r="AF283" t="n">
        <v>11</v>
      </c>
      <c r="AG283" t="n">
        <v>11</v>
      </c>
      <c r="AH283" t="n">
        <v>2</v>
      </c>
      <c r="AI283" t="n">
        <v>2</v>
      </c>
      <c r="AJ283" t="n">
        <v>0</v>
      </c>
      <c r="AK283" t="n">
        <v>0</v>
      </c>
      <c r="AL283" t="n">
        <v>3</v>
      </c>
      <c r="AM283" t="n">
        <v>3</v>
      </c>
      <c r="AN283" t="n">
        <v>1</v>
      </c>
      <c r="AO283" t="n">
        <v>1</v>
      </c>
      <c r="AP283" t="n">
        <v>7</v>
      </c>
      <c r="AQ283" t="n">
        <v>7</v>
      </c>
      <c r="AR283" t="inlineStr">
        <is>
          <t>No</t>
        </is>
      </c>
      <c r="AS283" t="inlineStr">
        <is>
          <t>No</t>
        </is>
      </c>
      <c r="AU283">
        <f>HYPERLINK("https://creighton-primo.hosted.exlibrisgroup.com/primo-explore/search?tab=default_tab&amp;search_scope=EVERYTHING&amp;vid=01CRU&amp;lang=en_US&amp;offset=0&amp;query=any,contains,991001462339702656","Catalog Record")</f>
        <v/>
      </c>
      <c r="AV283">
        <f>HYPERLINK("http://www.worldcat.org/oclc/19456415","WorldCat Record")</f>
        <v/>
      </c>
      <c r="AW283" t="inlineStr">
        <is>
          <t>21194330:eng</t>
        </is>
      </c>
      <c r="AX283" t="inlineStr">
        <is>
          <t>19456415</t>
        </is>
      </c>
      <c r="AY283" t="inlineStr">
        <is>
          <t>991001462339702656</t>
        </is>
      </c>
      <c r="AZ283" t="inlineStr">
        <is>
          <t>991001462339702656</t>
        </is>
      </c>
      <c r="BA283" t="inlineStr">
        <is>
          <t>2270252240002656</t>
        </is>
      </c>
      <c r="BB283" t="inlineStr">
        <is>
          <t>BOOK</t>
        </is>
      </c>
      <c r="BD283" t="inlineStr">
        <is>
          <t>9780815150879</t>
        </is>
      </c>
      <c r="BE283" t="inlineStr">
        <is>
          <t>32285000314939</t>
        </is>
      </c>
      <c r="BF283" t="inlineStr">
        <is>
          <t>893497104</t>
        </is>
      </c>
    </row>
    <row r="284">
      <c r="B284" t="inlineStr">
        <is>
          <t>CURAL</t>
        </is>
      </c>
      <c r="C284" t="inlineStr">
        <is>
          <t>SHELVES</t>
        </is>
      </c>
      <c r="D284" t="inlineStr">
        <is>
          <t>KF4800 .C3</t>
        </is>
      </c>
      <c r="E284" t="inlineStr">
        <is>
          <t>0                      KF 4800000C  3</t>
        </is>
      </c>
      <c r="F284" t="inlineStr">
        <is>
          <t>The rights of aliens : the basic ACLU guide to an alien's rights / David Carliner.</t>
        </is>
      </c>
      <c r="H284" t="inlineStr">
        <is>
          <t>No</t>
        </is>
      </c>
      <c r="I284" t="inlineStr">
        <is>
          <t>1</t>
        </is>
      </c>
      <c r="J284" t="inlineStr">
        <is>
          <t>No</t>
        </is>
      </c>
      <c r="K284" t="inlineStr">
        <is>
          <t>No</t>
        </is>
      </c>
      <c r="L284" t="inlineStr">
        <is>
          <t>0</t>
        </is>
      </c>
      <c r="M284" t="inlineStr">
        <is>
          <t>Carliner, David.</t>
        </is>
      </c>
      <c r="N284" t="inlineStr">
        <is>
          <t>New York : Avon Books, 1977.</t>
        </is>
      </c>
      <c r="O284" t="inlineStr">
        <is>
          <t>1977</t>
        </is>
      </c>
      <c r="Q284" t="inlineStr">
        <is>
          <t>eng</t>
        </is>
      </c>
      <c r="R284" t="inlineStr">
        <is>
          <t>nyu</t>
        </is>
      </c>
      <c r="S284" t="inlineStr">
        <is>
          <t>An American Civil Liberties Union handbook</t>
        </is>
      </c>
      <c r="T284" t="inlineStr">
        <is>
          <t xml:space="preserve">KF </t>
        </is>
      </c>
      <c r="U284" t="n">
        <v>2</v>
      </c>
      <c r="V284" t="n">
        <v>2</v>
      </c>
      <c r="W284" t="inlineStr">
        <is>
          <t>2006-11-20</t>
        </is>
      </c>
      <c r="X284" t="inlineStr">
        <is>
          <t>2006-11-20</t>
        </is>
      </c>
      <c r="Y284" t="inlineStr">
        <is>
          <t>1997-04-17</t>
        </is>
      </c>
      <c r="Z284" t="inlineStr">
        <is>
          <t>1997-04-17</t>
        </is>
      </c>
      <c r="AA284" t="n">
        <v>518</v>
      </c>
      <c r="AB284" t="n">
        <v>508</v>
      </c>
      <c r="AC284" t="n">
        <v>515</v>
      </c>
      <c r="AD284" t="n">
        <v>3</v>
      </c>
      <c r="AE284" t="n">
        <v>3</v>
      </c>
      <c r="AF284" t="n">
        <v>23</v>
      </c>
      <c r="AG284" t="n">
        <v>23</v>
      </c>
      <c r="AH284" t="n">
        <v>4</v>
      </c>
      <c r="AI284" t="n">
        <v>4</v>
      </c>
      <c r="AJ284" t="n">
        <v>4</v>
      </c>
      <c r="AK284" t="n">
        <v>4</v>
      </c>
      <c r="AL284" t="n">
        <v>8</v>
      </c>
      <c r="AM284" t="n">
        <v>8</v>
      </c>
      <c r="AN284" t="n">
        <v>2</v>
      </c>
      <c r="AO284" t="n">
        <v>2</v>
      </c>
      <c r="AP284" t="n">
        <v>9</v>
      </c>
      <c r="AQ284" t="n">
        <v>9</v>
      </c>
      <c r="AR284" t="inlineStr">
        <is>
          <t>No</t>
        </is>
      </c>
      <c r="AS284" t="inlineStr">
        <is>
          <t>Yes</t>
        </is>
      </c>
      <c r="AT284">
        <f>HYPERLINK("http://catalog.hathitrust.org/Record/004509410","HathiTrust Record")</f>
        <v/>
      </c>
      <c r="AU284">
        <f>HYPERLINK("https://creighton-primo.hosted.exlibrisgroup.com/primo-explore/search?tab=default_tab&amp;search_scope=EVERYTHING&amp;vid=01CRU&amp;lang=en_US&amp;offset=0&amp;query=any,contains,991004257729702656","Catalog Record")</f>
        <v/>
      </c>
      <c r="AV284">
        <f>HYPERLINK("http://www.worldcat.org/oclc/2830788","WorldCat Record")</f>
        <v/>
      </c>
      <c r="AW284" t="inlineStr">
        <is>
          <t>6398805:eng</t>
        </is>
      </c>
      <c r="AX284" t="inlineStr">
        <is>
          <t>2830788</t>
        </is>
      </c>
      <c r="AY284" t="inlineStr">
        <is>
          <t>991004257729702656</t>
        </is>
      </c>
      <c r="AZ284" t="inlineStr">
        <is>
          <t>991004257729702656</t>
        </is>
      </c>
      <c r="BA284" t="inlineStr">
        <is>
          <t>2261445160002656</t>
        </is>
      </c>
      <c r="BB284" t="inlineStr">
        <is>
          <t>BOOK</t>
        </is>
      </c>
      <c r="BD284" t="inlineStr">
        <is>
          <t>9780380008858</t>
        </is>
      </c>
      <c r="BE284" t="inlineStr">
        <is>
          <t>32285002552080</t>
        </is>
      </c>
      <c r="BF284" t="inlineStr">
        <is>
          <t>893901007</t>
        </is>
      </c>
    </row>
    <row r="285">
      <c r="B285" t="inlineStr">
        <is>
          <t>CURAL</t>
        </is>
      </c>
      <c r="C285" t="inlineStr">
        <is>
          <t>SHELVES</t>
        </is>
      </c>
      <c r="D285" t="inlineStr">
        <is>
          <t>KF4800 .V3 1971</t>
        </is>
      </c>
      <c r="E285" t="inlineStr">
        <is>
          <t>0                      KF 4800000V  3           1971</t>
        </is>
      </c>
      <c r="F285" t="inlineStr">
        <is>
          <t>The administrative control of aliens; a study in administrative law and procedure, by William C. Van Vleck.</t>
        </is>
      </c>
      <c r="H285" t="inlineStr">
        <is>
          <t>No</t>
        </is>
      </c>
      <c r="I285" t="inlineStr">
        <is>
          <t>1</t>
        </is>
      </c>
      <c r="J285" t="inlineStr">
        <is>
          <t>No</t>
        </is>
      </c>
      <c r="K285" t="inlineStr">
        <is>
          <t>No</t>
        </is>
      </c>
      <c r="L285" t="inlineStr">
        <is>
          <t>0</t>
        </is>
      </c>
      <c r="M285" t="inlineStr">
        <is>
          <t>Van Vleck, William C. (William Cabell), 1885-1956.</t>
        </is>
      </c>
      <c r="N285" t="inlineStr">
        <is>
          <t>New York, Da Capo Press, 1971 [c1932]</t>
        </is>
      </c>
      <c r="O285" t="inlineStr">
        <is>
          <t>1971</t>
        </is>
      </c>
      <c r="Q285" t="inlineStr">
        <is>
          <t>eng</t>
        </is>
      </c>
      <c r="R285" t="inlineStr">
        <is>
          <t>nyu</t>
        </is>
      </c>
      <c r="S285" t="inlineStr">
        <is>
          <t>Civil liberties in American history</t>
        </is>
      </c>
      <c r="T285" t="inlineStr">
        <is>
          <t xml:space="preserve">KF </t>
        </is>
      </c>
      <c r="U285" t="n">
        <v>2</v>
      </c>
      <c r="V285" t="n">
        <v>2</v>
      </c>
      <c r="W285" t="inlineStr">
        <is>
          <t>2005-10-10</t>
        </is>
      </c>
      <c r="X285" t="inlineStr">
        <is>
          <t>2005-10-10</t>
        </is>
      </c>
      <c r="Y285" t="inlineStr">
        <is>
          <t>1997-04-17</t>
        </is>
      </c>
      <c r="Z285" t="inlineStr">
        <is>
          <t>1997-04-17</t>
        </is>
      </c>
      <c r="AA285" t="n">
        <v>128</v>
      </c>
      <c r="AB285" t="n">
        <v>110</v>
      </c>
      <c r="AC285" t="n">
        <v>516</v>
      </c>
      <c r="AD285" t="n">
        <v>1</v>
      </c>
      <c r="AE285" t="n">
        <v>4</v>
      </c>
      <c r="AF285" t="n">
        <v>4</v>
      </c>
      <c r="AG285" t="n">
        <v>34</v>
      </c>
      <c r="AH285" t="n">
        <v>2</v>
      </c>
      <c r="AI285" t="n">
        <v>7</v>
      </c>
      <c r="AJ285" t="n">
        <v>1</v>
      </c>
      <c r="AK285" t="n">
        <v>4</v>
      </c>
      <c r="AL285" t="n">
        <v>1</v>
      </c>
      <c r="AM285" t="n">
        <v>4</v>
      </c>
      <c r="AN285" t="n">
        <v>0</v>
      </c>
      <c r="AO285" t="n">
        <v>2</v>
      </c>
      <c r="AP285" t="n">
        <v>1</v>
      </c>
      <c r="AQ285" t="n">
        <v>20</v>
      </c>
      <c r="AR285" t="inlineStr">
        <is>
          <t>No</t>
        </is>
      </c>
      <c r="AS285" t="inlineStr">
        <is>
          <t>No</t>
        </is>
      </c>
      <c r="AU285">
        <f>HYPERLINK("https://creighton-primo.hosted.exlibrisgroup.com/primo-explore/search?tab=default_tab&amp;search_scope=EVERYTHING&amp;vid=01CRU&amp;lang=en_US&amp;offset=0&amp;query=any,contains,991001272929702656","Catalog Record")</f>
        <v/>
      </c>
      <c r="AV285">
        <f>HYPERLINK("http://www.worldcat.org/oclc/212540","WorldCat Record")</f>
        <v/>
      </c>
      <c r="AW285" t="inlineStr">
        <is>
          <t>1291512:eng</t>
        </is>
      </c>
      <c r="AX285" t="inlineStr">
        <is>
          <t>212540</t>
        </is>
      </c>
      <c r="AY285" t="inlineStr">
        <is>
          <t>991001272929702656</t>
        </is>
      </c>
      <c r="AZ285" t="inlineStr">
        <is>
          <t>991001272929702656</t>
        </is>
      </c>
      <c r="BA285" t="inlineStr">
        <is>
          <t>2261842490002656</t>
        </is>
      </c>
      <c r="BB285" t="inlineStr">
        <is>
          <t>BOOK</t>
        </is>
      </c>
      <c r="BD285" t="inlineStr">
        <is>
          <t>9780306701269</t>
        </is>
      </c>
      <c r="BE285" t="inlineStr">
        <is>
          <t>32285002552106</t>
        </is>
      </c>
      <c r="BF285" t="inlineStr">
        <is>
          <t>893237994</t>
        </is>
      </c>
    </row>
    <row r="286">
      <c r="B286" t="inlineStr">
        <is>
          <t>CURAL</t>
        </is>
      </c>
      <c r="C286" t="inlineStr">
        <is>
          <t>SHELVES</t>
        </is>
      </c>
      <c r="D286" t="inlineStr">
        <is>
          <t>KF481.A75 P65 1993</t>
        </is>
      </c>
      <c r="E286" t="inlineStr">
        <is>
          <t>0                      KF 0481000A  75                 P  65          1993</t>
        </is>
      </c>
      <c r="F286" t="inlineStr">
        <is>
          <t>The politics of pregnancy : policy dilemmas in the maternal-fetal relationship / Janna C. Merrick, Robert H. Blank, editors.</t>
        </is>
      </c>
      <c r="H286" t="inlineStr">
        <is>
          <t>No</t>
        </is>
      </c>
      <c r="I286" t="inlineStr">
        <is>
          <t>1</t>
        </is>
      </c>
      <c r="J286" t="inlineStr">
        <is>
          <t>No</t>
        </is>
      </c>
      <c r="K286" t="inlineStr">
        <is>
          <t>No</t>
        </is>
      </c>
      <c r="L286" t="inlineStr">
        <is>
          <t>0</t>
        </is>
      </c>
      <c r="N286" t="inlineStr">
        <is>
          <t>New York : Haworth Press, c1993.</t>
        </is>
      </c>
      <c r="O286" t="inlineStr">
        <is>
          <t>1993</t>
        </is>
      </c>
      <c r="Q286" t="inlineStr">
        <is>
          <t>eng</t>
        </is>
      </c>
      <c r="R286" t="inlineStr">
        <is>
          <t>nyu</t>
        </is>
      </c>
      <c r="T286" t="inlineStr">
        <is>
          <t xml:space="preserve">KF </t>
        </is>
      </c>
      <c r="U286" t="n">
        <v>7</v>
      </c>
      <c r="V286" t="n">
        <v>7</v>
      </c>
      <c r="W286" t="inlineStr">
        <is>
          <t>2009-03-04</t>
        </is>
      </c>
      <c r="X286" t="inlineStr">
        <is>
          <t>2009-03-04</t>
        </is>
      </c>
      <c r="Y286" t="inlineStr">
        <is>
          <t>1995-11-09</t>
        </is>
      </c>
      <c r="Z286" t="inlineStr">
        <is>
          <t>1995-11-09</t>
        </is>
      </c>
      <c r="AA286" t="n">
        <v>341</v>
      </c>
      <c r="AB286" t="n">
        <v>301</v>
      </c>
      <c r="AC286" t="n">
        <v>327</v>
      </c>
      <c r="AD286" t="n">
        <v>3</v>
      </c>
      <c r="AE286" t="n">
        <v>3</v>
      </c>
      <c r="AF286" t="n">
        <v>16</v>
      </c>
      <c r="AG286" t="n">
        <v>17</v>
      </c>
      <c r="AH286" t="n">
        <v>6</v>
      </c>
      <c r="AI286" t="n">
        <v>6</v>
      </c>
      <c r="AJ286" t="n">
        <v>2</v>
      </c>
      <c r="AK286" t="n">
        <v>2</v>
      </c>
      <c r="AL286" t="n">
        <v>10</v>
      </c>
      <c r="AM286" t="n">
        <v>10</v>
      </c>
      <c r="AN286" t="n">
        <v>2</v>
      </c>
      <c r="AO286" t="n">
        <v>2</v>
      </c>
      <c r="AP286" t="n">
        <v>1</v>
      </c>
      <c r="AQ286" t="n">
        <v>2</v>
      </c>
      <c r="AR286" t="inlineStr">
        <is>
          <t>No</t>
        </is>
      </c>
      <c r="AS286" t="inlineStr">
        <is>
          <t>No</t>
        </is>
      </c>
      <c r="AU286">
        <f>HYPERLINK("https://creighton-primo.hosted.exlibrisgroup.com/primo-explore/search?tab=default_tab&amp;search_scope=EVERYTHING&amp;vid=01CRU&amp;lang=en_US&amp;offset=0&amp;query=any,contains,991002212989702656","Catalog Record")</f>
        <v/>
      </c>
      <c r="AV286">
        <f>HYPERLINK("http://www.worldcat.org/oclc/28495591","WorldCat Record")</f>
        <v/>
      </c>
      <c r="AW286" t="inlineStr">
        <is>
          <t>908383504:eng</t>
        </is>
      </c>
      <c r="AX286" t="inlineStr">
        <is>
          <t>28495591</t>
        </is>
      </c>
      <c r="AY286" t="inlineStr">
        <is>
          <t>991002212989702656</t>
        </is>
      </c>
      <c r="AZ286" t="inlineStr">
        <is>
          <t>991002212989702656</t>
        </is>
      </c>
      <c r="BA286" t="inlineStr">
        <is>
          <t>2272670020002656</t>
        </is>
      </c>
      <c r="BB286" t="inlineStr">
        <is>
          <t>BOOK</t>
        </is>
      </c>
      <c r="BD286" t="inlineStr">
        <is>
          <t>9781560230472</t>
        </is>
      </c>
      <c r="BE286" t="inlineStr">
        <is>
          <t>32285002101656</t>
        </is>
      </c>
      <c r="BF286" t="inlineStr">
        <is>
          <t>893250950</t>
        </is>
      </c>
    </row>
    <row r="287">
      <c r="B287" t="inlineStr">
        <is>
          <t>CURAL</t>
        </is>
      </c>
      <c r="C287" t="inlineStr">
        <is>
          <t>SHELVES</t>
        </is>
      </c>
      <c r="D287" t="inlineStr">
        <is>
          <t>KF4819.A4 N4</t>
        </is>
      </c>
      <c r="E287" t="inlineStr">
        <is>
          <t>0                      KF 4819000A  4                  N  4</t>
        </is>
      </c>
      <c r="F287" t="inlineStr">
        <is>
          <t>Proceedings of the New York University conference on practice and procedure under the Immigration and nationality act (McCarran-Walter act) : held on June 13, 1953, under the auspices of the Division of General Education and the School of Law. Edited by Henry Sellin.</t>
        </is>
      </c>
      <c r="H287" t="inlineStr">
        <is>
          <t>No</t>
        </is>
      </c>
      <c r="I287" t="inlineStr">
        <is>
          <t>1</t>
        </is>
      </c>
      <c r="J287" t="inlineStr">
        <is>
          <t>No</t>
        </is>
      </c>
      <c r="K287" t="inlineStr">
        <is>
          <t>No</t>
        </is>
      </c>
      <c r="L287" t="inlineStr">
        <is>
          <t>0</t>
        </is>
      </c>
      <c r="M287" t="inlineStr">
        <is>
          <t>New York University. Division of General Education.</t>
        </is>
      </c>
      <c r="N287" t="inlineStr">
        <is>
          <t>New York, Published for New York University Press by Oceana Publications, 1954.</t>
        </is>
      </c>
      <c r="O287" t="inlineStr">
        <is>
          <t>1954</t>
        </is>
      </c>
      <c r="Q287" t="inlineStr">
        <is>
          <t>eng</t>
        </is>
      </c>
      <c r="R287" t="inlineStr">
        <is>
          <t>nyu</t>
        </is>
      </c>
      <c r="T287" t="inlineStr">
        <is>
          <t xml:space="preserve">KF </t>
        </is>
      </c>
      <c r="U287" t="n">
        <v>1</v>
      </c>
      <c r="V287" t="n">
        <v>1</v>
      </c>
      <c r="W287" t="inlineStr">
        <is>
          <t>2005-01-27</t>
        </is>
      </c>
      <c r="X287" t="inlineStr">
        <is>
          <t>2005-01-27</t>
        </is>
      </c>
      <c r="Y287" t="inlineStr">
        <is>
          <t>1997-04-21</t>
        </is>
      </c>
      <c r="Z287" t="inlineStr">
        <is>
          <t>1997-04-21</t>
        </is>
      </c>
      <c r="AA287" t="n">
        <v>251</v>
      </c>
      <c r="AB287" t="n">
        <v>229</v>
      </c>
      <c r="AC287" t="n">
        <v>393</v>
      </c>
      <c r="AD287" t="n">
        <v>2</v>
      </c>
      <c r="AE287" t="n">
        <v>3</v>
      </c>
      <c r="AF287" t="n">
        <v>14</v>
      </c>
      <c r="AG287" t="n">
        <v>26</v>
      </c>
      <c r="AH287" t="n">
        <v>2</v>
      </c>
      <c r="AI287" t="n">
        <v>7</v>
      </c>
      <c r="AJ287" t="n">
        <v>2</v>
      </c>
      <c r="AK287" t="n">
        <v>5</v>
      </c>
      <c r="AL287" t="n">
        <v>5</v>
      </c>
      <c r="AM287" t="n">
        <v>6</v>
      </c>
      <c r="AN287" t="n">
        <v>0</v>
      </c>
      <c r="AO287" t="n">
        <v>1</v>
      </c>
      <c r="AP287" t="n">
        <v>7</v>
      </c>
      <c r="AQ287" t="n">
        <v>11</v>
      </c>
      <c r="AR287" t="inlineStr">
        <is>
          <t>No</t>
        </is>
      </c>
      <c r="AS287" t="inlineStr">
        <is>
          <t>No</t>
        </is>
      </c>
      <c r="AT287">
        <f>HYPERLINK("http://catalog.hathitrust.org/Record/001151932","HathiTrust Record")</f>
        <v/>
      </c>
      <c r="AU287">
        <f>HYPERLINK("https://creighton-primo.hosted.exlibrisgroup.com/primo-explore/search?tab=default_tab&amp;search_scope=EVERYTHING&amp;vid=01CRU&amp;lang=en_US&amp;offset=0&amp;query=any,contains,991002877689702656","Catalog Record")</f>
        <v/>
      </c>
      <c r="AV287">
        <f>HYPERLINK("http://www.worldcat.org/oclc/503910","WorldCat Record")</f>
        <v/>
      </c>
      <c r="AW287" t="inlineStr">
        <is>
          <t>1442527:eng</t>
        </is>
      </c>
      <c r="AX287" t="inlineStr">
        <is>
          <t>503910</t>
        </is>
      </c>
      <c r="AY287" t="inlineStr">
        <is>
          <t>991002877689702656</t>
        </is>
      </c>
      <c r="AZ287" t="inlineStr">
        <is>
          <t>991002877689702656</t>
        </is>
      </c>
      <c r="BA287" t="inlineStr">
        <is>
          <t>2261976160002656</t>
        </is>
      </c>
      <c r="BB287" t="inlineStr">
        <is>
          <t>BOOK</t>
        </is>
      </c>
      <c r="BE287" t="inlineStr">
        <is>
          <t>32285002559291</t>
        </is>
      </c>
      <c r="BF287" t="inlineStr">
        <is>
          <t>893698383</t>
        </is>
      </c>
    </row>
    <row r="288">
      <c r="B288" t="inlineStr">
        <is>
          <t>CURAL</t>
        </is>
      </c>
      <c r="C288" t="inlineStr">
        <is>
          <t>SHELVES</t>
        </is>
      </c>
      <c r="D288" t="inlineStr">
        <is>
          <t>KF4865.A75 O2</t>
        </is>
      </c>
      <c r="E288" t="inlineStr">
        <is>
          <t>0                      KF 4865000A  75                 O  2</t>
        </is>
      </c>
      <c r="F288" t="inlineStr">
        <is>
          <t>The wall between church and state. Contributors: Robert F. Drinan [and others]</t>
        </is>
      </c>
      <c r="H288" t="inlineStr">
        <is>
          <t>No</t>
        </is>
      </c>
      <c r="I288" t="inlineStr">
        <is>
          <t>1</t>
        </is>
      </c>
      <c r="J288" t="inlineStr">
        <is>
          <t>Yes</t>
        </is>
      </c>
      <c r="K288" t="inlineStr">
        <is>
          <t>No</t>
        </is>
      </c>
      <c r="L288" t="inlineStr">
        <is>
          <t>0</t>
        </is>
      </c>
      <c r="M288" t="inlineStr">
        <is>
          <t>Oaks, Dallin H. editor.</t>
        </is>
      </c>
      <c r="N288" t="inlineStr">
        <is>
          <t>Chicago, University of Chicago Press [1963]</t>
        </is>
      </c>
      <c r="O288" t="inlineStr">
        <is>
          <t>1963</t>
        </is>
      </c>
      <c r="Q288" t="inlineStr">
        <is>
          <t>eng</t>
        </is>
      </c>
      <c r="R288" t="inlineStr">
        <is>
          <t>ilu</t>
        </is>
      </c>
      <c r="T288" t="inlineStr">
        <is>
          <t xml:space="preserve">KF </t>
        </is>
      </c>
      <c r="U288" t="n">
        <v>3</v>
      </c>
      <c r="V288" t="n">
        <v>4</v>
      </c>
      <c r="W288" t="inlineStr">
        <is>
          <t>2001-01-05</t>
        </is>
      </c>
      <c r="X288" t="inlineStr">
        <is>
          <t>2001-01-05</t>
        </is>
      </c>
      <c r="Y288" t="inlineStr">
        <is>
          <t>1993-07-26</t>
        </is>
      </c>
      <c r="Z288" t="inlineStr">
        <is>
          <t>1993-07-26</t>
        </is>
      </c>
      <c r="AA288" t="n">
        <v>996</v>
      </c>
      <c r="AB288" t="n">
        <v>917</v>
      </c>
      <c r="AC288" t="n">
        <v>922</v>
      </c>
      <c r="AD288" t="n">
        <v>12</v>
      </c>
      <c r="AE288" t="n">
        <v>12</v>
      </c>
      <c r="AF288" t="n">
        <v>59</v>
      </c>
      <c r="AG288" t="n">
        <v>59</v>
      </c>
      <c r="AH288" t="n">
        <v>15</v>
      </c>
      <c r="AI288" t="n">
        <v>15</v>
      </c>
      <c r="AJ288" t="n">
        <v>7</v>
      </c>
      <c r="AK288" t="n">
        <v>7</v>
      </c>
      <c r="AL288" t="n">
        <v>21</v>
      </c>
      <c r="AM288" t="n">
        <v>21</v>
      </c>
      <c r="AN288" t="n">
        <v>8</v>
      </c>
      <c r="AO288" t="n">
        <v>8</v>
      </c>
      <c r="AP288" t="n">
        <v>18</v>
      </c>
      <c r="AQ288" t="n">
        <v>18</v>
      </c>
      <c r="AR288" t="inlineStr">
        <is>
          <t>No</t>
        </is>
      </c>
      <c r="AS288" t="inlineStr">
        <is>
          <t>No</t>
        </is>
      </c>
      <c r="AT288">
        <f>HYPERLINK("http://catalog.hathitrust.org/Record/001413477","HathiTrust Record")</f>
        <v/>
      </c>
      <c r="AU288">
        <f>HYPERLINK("https://creighton-primo.hosted.exlibrisgroup.com/primo-explore/search?tab=default_tab&amp;search_scope=EVERYTHING&amp;vid=01CRU&amp;lang=en_US&amp;offset=0&amp;query=any,contains,991001806499702656","Catalog Record")</f>
        <v/>
      </c>
      <c r="AV288">
        <f>HYPERLINK("http://www.worldcat.org/oclc/232323","WorldCat Record")</f>
        <v/>
      </c>
      <c r="AW288" t="inlineStr">
        <is>
          <t>367424735:eng</t>
        </is>
      </c>
      <c r="AX288" t="inlineStr">
        <is>
          <t>232323</t>
        </is>
      </c>
      <c r="AY288" t="inlineStr">
        <is>
          <t>991001806499702656</t>
        </is>
      </c>
      <c r="AZ288" t="inlineStr">
        <is>
          <t>991001806499702656</t>
        </is>
      </c>
      <c r="BA288" t="inlineStr">
        <is>
          <t>2258568800002656</t>
        </is>
      </c>
      <c r="BB288" t="inlineStr">
        <is>
          <t>BOOK</t>
        </is>
      </c>
      <c r="BE288" t="inlineStr">
        <is>
          <t>32285001745727</t>
        </is>
      </c>
      <c r="BF288" t="inlineStr">
        <is>
          <t>893621641</t>
        </is>
      </c>
    </row>
    <row r="289">
      <c r="B289" t="inlineStr">
        <is>
          <t>CURAL</t>
        </is>
      </c>
      <c r="C289" t="inlineStr">
        <is>
          <t>SHELVES</t>
        </is>
      </c>
      <c r="D289" t="inlineStr">
        <is>
          <t>KF504 .G64</t>
        </is>
      </c>
      <c r="E289" t="inlineStr">
        <is>
          <t>0                      KF 0504000G  64</t>
        </is>
      </c>
      <c r="F289" t="inlineStr">
        <is>
          <t>The family and the law; problems for decision in the family law process [by] Joseph Goldstein [and] Jay Katz.</t>
        </is>
      </c>
      <c r="H289" t="inlineStr">
        <is>
          <t>No</t>
        </is>
      </c>
      <c r="I289" t="inlineStr">
        <is>
          <t>1</t>
        </is>
      </c>
      <c r="J289" t="inlineStr">
        <is>
          <t>Yes</t>
        </is>
      </c>
      <c r="K289" t="inlineStr">
        <is>
          <t>No</t>
        </is>
      </c>
      <c r="L289" t="inlineStr">
        <is>
          <t>0</t>
        </is>
      </c>
      <c r="M289" t="inlineStr">
        <is>
          <t>Goldstein, Joseph, 1923-2000.</t>
        </is>
      </c>
      <c r="N289" t="inlineStr">
        <is>
          <t>New York, Free Press [1965]</t>
        </is>
      </c>
      <c r="O289" t="inlineStr">
        <is>
          <t>1965</t>
        </is>
      </c>
      <c r="Q289" t="inlineStr">
        <is>
          <t>eng</t>
        </is>
      </c>
      <c r="R289" t="inlineStr">
        <is>
          <t>nyu</t>
        </is>
      </c>
      <c r="T289" t="inlineStr">
        <is>
          <t xml:space="preserve">KF </t>
        </is>
      </c>
      <c r="U289" t="n">
        <v>1</v>
      </c>
      <c r="V289" t="n">
        <v>5</v>
      </c>
      <c r="W289" t="inlineStr">
        <is>
          <t>1999-07-02</t>
        </is>
      </c>
      <c r="X289" t="inlineStr">
        <is>
          <t>2003-10-24</t>
        </is>
      </c>
      <c r="Y289" t="inlineStr">
        <is>
          <t>1997-04-14</t>
        </is>
      </c>
      <c r="Z289" t="inlineStr">
        <is>
          <t>1997-04-14</t>
        </is>
      </c>
      <c r="AA289" t="n">
        <v>533</v>
      </c>
      <c r="AB289" t="n">
        <v>429</v>
      </c>
      <c r="AC289" t="n">
        <v>438</v>
      </c>
      <c r="AD289" t="n">
        <v>3</v>
      </c>
      <c r="AE289" t="n">
        <v>3</v>
      </c>
      <c r="AF289" t="n">
        <v>32</v>
      </c>
      <c r="AG289" t="n">
        <v>33</v>
      </c>
      <c r="AH289" t="n">
        <v>3</v>
      </c>
      <c r="AI289" t="n">
        <v>4</v>
      </c>
      <c r="AJ289" t="n">
        <v>3</v>
      </c>
      <c r="AK289" t="n">
        <v>3</v>
      </c>
      <c r="AL289" t="n">
        <v>10</v>
      </c>
      <c r="AM289" t="n">
        <v>11</v>
      </c>
      <c r="AN289" t="n">
        <v>0</v>
      </c>
      <c r="AO289" t="n">
        <v>0</v>
      </c>
      <c r="AP289" t="n">
        <v>21</v>
      </c>
      <c r="AQ289" t="n">
        <v>21</v>
      </c>
      <c r="AR289" t="inlineStr">
        <is>
          <t>No</t>
        </is>
      </c>
      <c r="AS289" t="inlineStr">
        <is>
          <t>Yes</t>
        </is>
      </c>
      <c r="AT289">
        <f>HYPERLINK("http://catalog.hathitrust.org/Record/000978630","HathiTrust Record")</f>
        <v/>
      </c>
      <c r="AU289">
        <f>HYPERLINK("https://creighton-primo.hosted.exlibrisgroup.com/primo-explore/search?tab=default_tab&amp;search_scope=EVERYTHING&amp;vid=01CRU&amp;lang=en_US&amp;offset=0&amp;query=any,contains,991001620789702656","Catalog Record")</f>
        <v/>
      </c>
      <c r="AV289">
        <f>HYPERLINK("http://www.worldcat.org/oclc/263777","WorldCat Record")</f>
        <v/>
      </c>
      <c r="AW289" t="inlineStr">
        <is>
          <t>285720330:eng</t>
        </is>
      </c>
      <c r="AX289" t="inlineStr">
        <is>
          <t>263777</t>
        </is>
      </c>
      <c r="AY289" t="inlineStr">
        <is>
          <t>991001620789702656</t>
        </is>
      </c>
      <c r="AZ289" t="inlineStr">
        <is>
          <t>991001620789702656</t>
        </is>
      </c>
      <c r="BA289" t="inlineStr">
        <is>
          <t>2268599870002656</t>
        </is>
      </c>
      <c r="BB289" t="inlineStr">
        <is>
          <t>BOOK</t>
        </is>
      </c>
      <c r="BE289" t="inlineStr">
        <is>
          <t>32285002524980</t>
        </is>
      </c>
      <c r="BF289" t="inlineStr">
        <is>
          <t>893703131</t>
        </is>
      </c>
    </row>
    <row r="290">
      <c r="B290" t="inlineStr">
        <is>
          <t>CURAL</t>
        </is>
      </c>
      <c r="C290" t="inlineStr">
        <is>
          <t>SHELVES</t>
        </is>
      </c>
      <c r="D290" t="inlineStr">
        <is>
          <t>KF5053.A2 N54</t>
        </is>
      </c>
      <c r="E290" t="inlineStr">
        <is>
          <t>0                      KF 5053000A  2                  N  54</t>
        </is>
      </c>
      <c r="F290" t="inlineStr">
        <is>
          <t>The President and the Constitution, edited by George A. Nikolaieff.</t>
        </is>
      </c>
      <c r="H290" t="inlineStr">
        <is>
          <t>No</t>
        </is>
      </c>
      <c r="I290" t="inlineStr">
        <is>
          <t>1</t>
        </is>
      </c>
      <c r="J290" t="inlineStr">
        <is>
          <t>Yes</t>
        </is>
      </c>
      <c r="K290" t="inlineStr">
        <is>
          <t>No</t>
        </is>
      </c>
      <c r="L290" t="inlineStr">
        <is>
          <t>0</t>
        </is>
      </c>
      <c r="M290" t="inlineStr">
        <is>
          <t>Nikolaieff, George A., compiler.</t>
        </is>
      </c>
      <c r="N290" t="inlineStr">
        <is>
          <t>New York, H. W. Wilson Co., 1974.</t>
        </is>
      </c>
      <c r="O290" t="inlineStr">
        <is>
          <t>1974</t>
        </is>
      </c>
      <c r="Q290" t="inlineStr">
        <is>
          <t>eng</t>
        </is>
      </c>
      <c r="R290" t="inlineStr">
        <is>
          <t>nyu</t>
        </is>
      </c>
      <c r="S290" t="inlineStr">
        <is>
          <t>The Reference shelf, v. 46, no. 4</t>
        </is>
      </c>
      <c r="T290" t="inlineStr">
        <is>
          <t xml:space="preserve">KF </t>
        </is>
      </c>
      <c r="U290" t="n">
        <v>2</v>
      </c>
      <c r="V290" t="n">
        <v>4</v>
      </c>
      <c r="W290" t="inlineStr">
        <is>
          <t>2007-04-02</t>
        </is>
      </c>
      <c r="X290" t="inlineStr">
        <is>
          <t>2007-04-02</t>
        </is>
      </c>
      <c r="Y290" t="inlineStr">
        <is>
          <t>1997-04-17</t>
        </is>
      </c>
      <c r="Z290" t="inlineStr">
        <is>
          <t>1997-04-17</t>
        </is>
      </c>
      <c r="AA290" t="n">
        <v>1278</v>
      </c>
      <c r="AB290" t="n">
        <v>1225</v>
      </c>
      <c r="AC290" t="n">
        <v>1232</v>
      </c>
      <c r="AD290" t="n">
        <v>11</v>
      </c>
      <c r="AE290" t="n">
        <v>11</v>
      </c>
      <c r="AF290" t="n">
        <v>41</v>
      </c>
      <c r="AG290" t="n">
        <v>41</v>
      </c>
      <c r="AH290" t="n">
        <v>12</v>
      </c>
      <c r="AI290" t="n">
        <v>12</v>
      </c>
      <c r="AJ290" t="n">
        <v>5</v>
      </c>
      <c r="AK290" t="n">
        <v>5</v>
      </c>
      <c r="AL290" t="n">
        <v>19</v>
      </c>
      <c r="AM290" t="n">
        <v>19</v>
      </c>
      <c r="AN290" t="n">
        <v>8</v>
      </c>
      <c r="AO290" t="n">
        <v>8</v>
      </c>
      <c r="AP290" t="n">
        <v>5</v>
      </c>
      <c r="AQ290" t="n">
        <v>5</v>
      </c>
      <c r="AR290" t="inlineStr">
        <is>
          <t>No</t>
        </is>
      </c>
      <c r="AS290" t="inlineStr">
        <is>
          <t>Yes</t>
        </is>
      </c>
      <c r="AT290">
        <f>HYPERLINK("http://catalog.hathitrust.org/Record/003557615","HathiTrust Record")</f>
        <v/>
      </c>
      <c r="AU290">
        <f>HYPERLINK("https://creighton-primo.hosted.exlibrisgroup.com/primo-explore/search?tab=default_tab&amp;search_scope=EVERYTHING&amp;vid=01CRU&amp;lang=en_US&amp;offset=0&amp;query=any,contains,991001690469702656","Catalog Record")</f>
        <v/>
      </c>
      <c r="AV290">
        <f>HYPERLINK("http://www.worldcat.org/oclc/1031234","WorldCat Record")</f>
        <v/>
      </c>
      <c r="AW290" t="inlineStr">
        <is>
          <t>180202183:eng</t>
        </is>
      </c>
      <c r="AX290" t="inlineStr">
        <is>
          <t>1031234</t>
        </is>
      </c>
      <c r="AY290" t="inlineStr">
        <is>
          <t>991001690469702656</t>
        </is>
      </c>
      <c r="AZ290" t="inlineStr">
        <is>
          <t>991001690469702656</t>
        </is>
      </c>
      <c r="BA290" t="inlineStr">
        <is>
          <t>2265547110002656</t>
        </is>
      </c>
      <c r="BB290" t="inlineStr">
        <is>
          <t>BOOK</t>
        </is>
      </c>
      <c r="BD290" t="inlineStr">
        <is>
          <t>9780824205232</t>
        </is>
      </c>
      <c r="BE290" t="inlineStr">
        <is>
          <t>32285002552452</t>
        </is>
      </c>
      <c r="BF290" t="inlineStr">
        <is>
          <t>893684545</t>
        </is>
      </c>
    </row>
    <row r="291">
      <c r="B291" t="inlineStr">
        <is>
          <t>CURAL</t>
        </is>
      </c>
      <c r="C291" t="inlineStr">
        <is>
          <t>SHELVES</t>
        </is>
      </c>
      <c r="D291" t="inlineStr">
        <is>
          <t>KF5060 .S6</t>
        </is>
      </c>
      <c r="E291" t="inlineStr">
        <is>
          <t>0                      KF 5060000S  6</t>
        </is>
      </c>
      <c r="F291" t="inlineStr">
        <is>
          <t>War, foreign affairs, and constitutional power / by Abraham D. Sofaer.</t>
        </is>
      </c>
      <c r="G291" t="inlineStr">
        <is>
          <t>V.1</t>
        </is>
      </c>
      <c r="H291" t="inlineStr">
        <is>
          <t>No</t>
        </is>
      </c>
      <c r="I291" t="inlineStr">
        <is>
          <t>1</t>
        </is>
      </c>
      <c r="J291" t="inlineStr">
        <is>
          <t>Yes</t>
        </is>
      </c>
      <c r="K291" t="inlineStr">
        <is>
          <t>No</t>
        </is>
      </c>
      <c r="L291" t="inlineStr">
        <is>
          <t>0</t>
        </is>
      </c>
      <c r="M291" t="inlineStr">
        <is>
          <t>Sofaer, Abraham D.</t>
        </is>
      </c>
      <c r="N291" t="inlineStr">
        <is>
          <t>Cambridge, Mass. : Ballinger Pub. Co., c1976-</t>
        </is>
      </c>
      <c r="O291" t="inlineStr">
        <is>
          <t>1976</t>
        </is>
      </c>
      <c r="Q291" t="inlineStr">
        <is>
          <t>eng</t>
        </is>
      </c>
      <c r="R291" t="inlineStr">
        <is>
          <t>mau</t>
        </is>
      </c>
      <c r="T291" t="inlineStr">
        <is>
          <t xml:space="preserve">KF </t>
        </is>
      </c>
      <c r="U291" t="n">
        <v>5</v>
      </c>
      <c r="V291" t="n">
        <v>5</v>
      </c>
      <c r="W291" t="inlineStr">
        <is>
          <t>2002-03-17</t>
        </is>
      </c>
      <c r="X291" t="inlineStr">
        <is>
          <t>2002-03-17</t>
        </is>
      </c>
      <c r="Y291" t="inlineStr">
        <is>
          <t>1992-07-07</t>
        </is>
      </c>
      <c r="Z291" t="inlineStr">
        <is>
          <t>1992-07-07</t>
        </is>
      </c>
      <c r="AA291" t="n">
        <v>649</v>
      </c>
      <c r="AB291" t="n">
        <v>588</v>
      </c>
      <c r="AC291" t="n">
        <v>610</v>
      </c>
      <c r="AD291" t="n">
        <v>5</v>
      </c>
      <c r="AE291" t="n">
        <v>5</v>
      </c>
      <c r="AF291" t="n">
        <v>42</v>
      </c>
      <c r="AG291" t="n">
        <v>42</v>
      </c>
      <c r="AH291" t="n">
        <v>9</v>
      </c>
      <c r="AI291" t="n">
        <v>9</v>
      </c>
      <c r="AJ291" t="n">
        <v>6</v>
      </c>
      <c r="AK291" t="n">
        <v>6</v>
      </c>
      <c r="AL291" t="n">
        <v>14</v>
      </c>
      <c r="AM291" t="n">
        <v>14</v>
      </c>
      <c r="AN291" t="n">
        <v>3</v>
      </c>
      <c r="AO291" t="n">
        <v>3</v>
      </c>
      <c r="AP291" t="n">
        <v>19</v>
      </c>
      <c r="AQ291" t="n">
        <v>19</v>
      </c>
      <c r="AR291" t="inlineStr">
        <is>
          <t>No</t>
        </is>
      </c>
      <c r="AS291" t="inlineStr">
        <is>
          <t>Yes</t>
        </is>
      </c>
      <c r="AT291">
        <f>HYPERLINK("http://catalog.hathitrust.org/Record/000768055","HathiTrust Record")</f>
        <v/>
      </c>
      <c r="AU291">
        <f>HYPERLINK("https://creighton-primo.hosted.exlibrisgroup.com/primo-explore/search?tab=default_tab&amp;search_scope=EVERYTHING&amp;vid=01CRU&amp;lang=en_US&amp;offset=0&amp;query=any,contains,991001756699702656","Catalog Record")</f>
        <v/>
      </c>
      <c r="AV291">
        <f>HYPERLINK("http://www.worldcat.org/oclc/2189444","WorldCat Record")</f>
        <v/>
      </c>
      <c r="AW291" t="inlineStr">
        <is>
          <t>4288464:eng</t>
        </is>
      </c>
      <c r="AX291" t="inlineStr">
        <is>
          <t>2189444</t>
        </is>
      </c>
      <c r="AY291" t="inlineStr">
        <is>
          <t>991001756699702656</t>
        </is>
      </c>
      <c r="AZ291" t="inlineStr">
        <is>
          <t>991001756699702656</t>
        </is>
      </c>
      <c r="BA291" t="inlineStr">
        <is>
          <t>2265363400002656</t>
        </is>
      </c>
      <c r="BB291" t="inlineStr">
        <is>
          <t>BOOK</t>
        </is>
      </c>
      <c r="BD291" t="inlineStr">
        <is>
          <t>9780884102229</t>
        </is>
      </c>
      <c r="BE291" t="inlineStr">
        <is>
          <t>32285001178481</t>
        </is>
      </c>
      <c r="BF291" t="inlineStr">
        <is>
          <t>893785368</t>
        </is>
      </c>
    </row>
    <row r="292">
      <c r="B292" t="inlineStr">
        <is>
          <t>CURAL</t>
        </is>
      </c>
      <c r="C292" t="inlineStr">
        <is>
          <t>SHELVES</t>
        </is>
      </c>
      <c r="D292" t="inlineStr">
        <is>
          <t>KF5060.A68 S53 1999</t>
        </is>
      </c>
      <c r="E292" t="inlineStr">
        <is>
          <t>0                      KF 5060000A  68                 S  53          1999</t>
        </is>
      </c>
      <c r="F292" t="inlineStr">
        <is>
          <t>The judicial development of presidential war powers / Martin S. Sheffer.</t>
        </is>
      </c>
      <c r="H292" t="inlineStr">
        <is>
          <t>No</t>
        </is>
      </c>
      <c r="I292" t="inlineStr">
        <is>
          <t>1</t>
        </is>
      </c>
      <c r="J292" t="inlineStr">
        <is>
          <t>No</t>
        </is>
      </c>
      <c r="K292" t="inlineStr">
        <is>
          <t>No</t>
        </is>
      </c>
      <c r="L292" t="inlineStr">
        <is>
          <t>0</t>
        </is>
      </c>
      <c r="M292" t="inlineStr">
        <is>
          <t>Sheffer, Martin S.</t>
        </is>
      </c>
      <c r="N292" t="inlineStr">
        <is>
          <t>Westport, Conn. : Praeger, 1999.</t>
        </is>
      </c>
      <c r="O292" t="inlineStr">
        <is>
          <t>1999</t>
        </is>
      </c>
      <c r="Q292" t="inlineStr">
        <is>
          <t>eng</t>
        </is>
      </c>
      <c r="R292" t="inlineStr">
        <is>
          <t>ctu</t>
        </is>
      </c>
      <c r="T292" t="inlineStr">
        <is>
          <t xml:space="preserve">KF </t>
        </is>
      </c>
      <c r="U292" t="n">
        <v>2</v>
      </c>
      <c r="V292" t="n">
        <v>2</v>
      </c>
      <c r="W292" t="inlineStr">
        <is>
          <t>2001-11-19</t>
        </is>
      </c>
      <c r="X292" t="inlineStr">
        <is>
          <t>2001-11-19</t>
        </is>
      </c>
      <c r="Y292" t="inlineStr">
        <is>
          <t>2001-10-15</t>
        </is>
      </c>
      <c r="Z292" t="inlineStr">
        <is>
          <t>2001-10-15</t>
        </is>
      </c>
      <c r="AA292" t="n">
        <v>262</v>
      </c>
      <c r="AB292" t="n">
        <v>238</v>
      </c>
      <c r="AC292" t="n">
        <v>240</v>
      </c>
      <c r="AD292" t="n">
        <v>3</v>
      </c>
      <c r="AE292" t="n">
        <v>3</v>
      </c>
      <c r="AF292" t="n">
        <v>20</v>
      </c>
      <c r="AG292" t="n">
        <v>20</v>
      </c>
      <c r="AH292" t="n">
        <v>2</v>
      </c>
      <c r="AI292" t="n">
        <v>2</v>
      </c>
      <c r="AJ292" t="n">
        <v>1</v>
      </c>
      <c r="AK292" t="n">
        <v>1</v>
      </c>
      <c r="AL292" t="n">
        <v>4</v>
      </c>
      <c r="AM292" t="n">
        <v>4</v>
      </c>
      <c r="AN292" t="n">
        <v>2</v>
      </c>
      <c r="AO292" t="n">
        <v>2</v>
      </c>
      <c r="AP292" t="n">
        <v>12</v>
      </c>
      <c r="AQ292" t="n">
        <v>12</v>
      </c>
      <c r="AR292" t="inlineStr">
        <is>
          <t>No</t>
        </is>
      </c>
      <c r="AS292" t="inlineStr">
        <is>
          <t>Yes</t>
        </is>
      </c>
      <c r="AT292">
        <f>HYPERLINK("http://catalog.hathitrust.org/Record/004030559","HathiTrust Record")</f>
        <v/>
      </c>
      <c r="AU292">
        <f>HYPERLINK("https://creighton-primo.hosted.exlibrisgroup.com/primo-explore/search?tab=default_tab&amp;search_scope=EVERYTHING&amp;vid=01CRU&amp;lang=en_US&amp;offset=0&amp;query=any,contains,991003621979702656","Catalog Record")</f>
        <v/>
      </c>
      <c r="AV292">
        <f>HYPERLINK("http://www.worldcat.org/oclc/39556485","WorldCat Record")</f>
        <v/>
      </c>
      <c r="AW292" t="inlineStr">
        <is>
          <t>2580696:eng</t>
        </is>
      </c>
      <c r="AX292" t="inlineStr">
        <is>
          <t>39556485</t>
        </is>
      </c>
      <c r="AY292" t="inlineStr">
        <is>
          <t>991003621979702656</t>
        </is>
      </c>
      <c r="AZ292" t="inlineStr">
        <is>
          <t>991003621979702656</t>
        </is>
      </c>
      <c r="BA292" t="inlineStr">
        <is>
          <t>2263885400002656</t>
        </is>
      </c>
      <c r="BB292" t="inlineStr">
        <is>
          <t>BOOK</t>
        </is>
      </c>
      <c r="BD292" t="inlineStr">
        <is>
          <t>9780275964351</t>
        </is>
      </c>
      <c r="BE292" t="inlineStr">
        <is>
          <t>32285004396718</t>
        </is>
      </c>
      <c r="BF292" t="inlineStr">
        <is>
          <t>893717894</t>
        </is>
      </c>
    </row>
    <row r="293">
      <c r="B293" t="inlineStr">
        <is>
          <t>CURAL</t>
        </is>
      </c>
      <c r="C293" t="inlineStr">
        <is>
          <t>SHELVES</t>
        </is>
      </c>
      <c r="D293" t="inlineStr">
        <is>
          <t>KF5075 .L33</t>
        </is>
      </c>
      <c r="E293" t="inlineStr">
        <is>
          <t>0                      KF 5075000L  33</t>
        </is>
      </c>
      <c r="F293" t="inlineStr">
        <is>
          <t>Presidential impeachment / John R. Labovitz.</t>
        </is>
      </c>
      <c r="H293" t="inlineStr">
        <is>
          <t>No</t>
        </is>
      </c>
      <c r="I293" t="inlineStr">
        <is>
          <t>1</t>
        </is>
      </c>
      <c r="J293" t="inlineStr">
        <is>
          <t>Yes</t>
        </is>
      </c>
      <c r="K293" t="inlineStr">
        <is>
          <t>No</t>
        </is>
      </c>
      <c r="L293" t="inlineStr">
        <is>
          <t>0</t>
        </is>
      </c>
      <c r="M293" t="inlineStr">
        <is>
          <t>Labovitz, John R., 1943-</t>
        </is>
      </c>
      <c r="N293" t="inlineStr">
        <is>
          <t>New Haven : Yale University Press, 1978.</t>
        </is>
      </c>
      <c r="O293" t="inlineStr">
        <is>
          <t>1978</t>
        </is>
      </c>
      <c r="Q293" t="inlineStr">
        <is>
          <t>eng</t>
        </is>
      </c>
      <c r="R293" t="inlineStr">
        <is>
          <t>ctu</t>
        </is>
      </c>
      <c r="T293" t="inlineStr">
        <is>
          <t xml:space="preserve">KF </t>
        </is>
      </c>
      <c r="U293" t="n">
        <v>3</v>
      </c>
      <c r="V293" t="n">
        <v>4</v>
      </c>
      <c r="W293" t="inlineStr">
        <is>
          <t>2007-01-31</t>
        </is>
      </c>
      <c r="X293" t="inlineStr">
        <is>
          <t>2007-01-31</t>
        </is>
      </c>
      <c r="Y293" t="inlineStr">
        <is>
          <t>1992-07-07</t>
        </is>
      </c>
      <c r="Z293" t="inlineStr">
        <is>
          <t>1995-08-02</t>
        </is>
      </c>
      <c r="AA293" t="n">
        <v>1126</v>
      </c>
      <c r="AB293" t="n">
        <v>1017</v>
      </c>
      <c r="AC293" t="n">
        <v>1022</v>
      </c>
      <c r="AD293" t="n">
        <v>8</v>
      </c>
      <c r="AE293" t="n">
        <v>8</v>
      </c>
      <c r="AF293" t="n">
        <v>63</v>
      </c>
      <c r="AG293" t="n">
        <v>63</v>
      </c>
      <c r="AH293" t="n">
        <v>17</v>
      </c>
      <c r="AI293" t="n">
        <v>17</v>
      </c>
      <c r="AJ293" t="n">
        <v>10</v>
      </c>
      <c r="AK293" t="n">
        <v>10</v>
      </c>
      <c r="AL293" t="n">
        <v>19</v>
      </c>
      <c r="AM293" t="n">
        <v>19</v>
      </c>
      <c r="AN293" t="n">
        <v>5</v>
      </c>
      <c r="AO293" t="n">
        <v>5</v>
      </c>
      <c r="AP293" t="n">
        <v>23</v>
      </c>
      <c r="AQ293" t="n">
        <v>23</v>
      </c>
      <c r="AR293" t="inlineStr">
        <is>
          <t>No</t>
        </is>
      </c>
      <c r="AS293" t="inlineStr">
        <is>
          <t>Yes</t>
        </is>
      </c>
      <c r="AT293">
        <f>HYPERLINK("http://catalog.hathitrust.org/Record/000747917","HathiTrust Record")</f>
        <v/>
      </c>
      <c r="AU293">
        <f>HYPERLINK("https://creighton-primo.hosted.exlibrisgroup.com/primo-explore/search?tab=default_tab&amp;search_scope=EVERYTHING&amp;vid=01CRU&amp;lang=en_US&amp;offset=0&amp;query=any,contains,991001781239702656","Catalog Record")</f>
        <v/>
      </c>
      <c r="AV293">
        <f>HYPERLINK("http://www.worldcat.org/oclc/3294385","WorldCat Record")</f>
        <v/>
      </c>
      <c r="AW293" t="inlineStr">
        <is>
          <t>435257:eng</t>
        </is>
      </c>
      <c r="AX293" t="inlineStr">
        <is>
          <t>3294385</t>
        </is>
      </c>
      <c r="AY293" t="inlineStr">
        <is>
          <t>991001781239702656</t>
        </is>
      </c>
      <c r="AZ293" t="inlineStr">
        <is>
          <t>991001781239702656</t>
        </is>
      </c>
      <c r="BA293" t="inlineStr">
        <is>
          <t>2259759460002656</t>
        </is>
      </c>
      <c r="BB293" t="inlineStr">
        <is>
          <t>BOOK</t>
        </is>
      </c>
      <c r="BD293" t="inlineStr">
        <is>
          <t>9780300022131</t>
        </is>
      </c>
      <c r="BE293" t="inlineStr">
        <is>
          <t>32285001178499</t>
        </is>
      </c>
      <c r="BF293" t="inlineStr">
        <is>
          <t>893529220</t>
        </is>
      </c>
    </row>
    <row r="294">
      <c r="B294" t="inlineStr">
        <is>
          <t>CURAL</t>
        </is>
      </c>
      <c r="C294" t="inlineStr">
        <is>
          <t>SHELVES</t>
        </is>
      </c>
      <c r="D294" t="inlineStr">
        <is>
          <t>KF5075.A75 S3</t>
        </is>
      </c>
      <c r="E294" t="inlineStr">
        <is>
          <t>0                      KF 5075000A  75                 S  3</t>
        </is>
      </c>
      <c r="F294" t="inlineStr">
        <is>
          <t>Presidential impeachment; a documentary overview, edited by M. B. Schnapper. Introd. by Alan Barth.</t>
        </is>
      </c>
      <c r="H294" t="inlineStr">
        <is>
          <t>No</t>
        </is>
      </c>
      <c r="I294" t="inlineStr">
        <is>
          <t>1</t>
        </is>
      </c>
      <c r="J294" t="inlineStr">
        <is>
          <t>No</t>
        </is>
      </c>
      <c r="K294" t="inlineStr">
        <is>
          <t>No</t>
        </is>
      </c>
      <c r="L294" t="inlineStr">
        <is>
          <t>0</t>
        </is>
      </c>
      <c r="M294" t="inlineStr">
        <is>
          <t>Schnapper, M. B. (Morris Bartel), 1912-1999.</t>
        </is>
      </c>
      <c r="N294" t="inlineStr">
        <is>
          <t>Washington, Public Affairs Press [1974]</t>
        </is>
      </c>
      <c r="O294" t="inlineStr">
        <is>
          <t>1974</t>
        </is>
      </c>
      <c r="Q294" t="inlineStr">
        <is>
          <t>eng</t>
        </is>
      </c>
      <c r="R294" t="inlineStr">
        <is>
          <t>dcu</t>
        </is>
      </c>
      <c r="T294" t="inlineStr">
        <is>
          <t xml:space="preserve">KF </t>
        </is>
      </c>
      <c r="U294" t="n">
        <v>3</v>
      </c>
      <c r="V294" t="n">
        <v>3</v>
      </c>
      <c r="W294" t="inlineStr">
        <is>
          <t>2007-04-02</t>
        </is>
      </c>
      <c r="X294" t="inlineStr">
        <is>
          <t>2007-04-02</t>
        </is>
      </c>
      <c r="Y294" t="inlineStr">
        <is>
          <t>1997-04-17</t>
        </is>
      </c>
      <c r="Z294" t="inlineStr">
        <is>
          <t>1997-04-17</t>
        </is>
      </c>
      <c r="AA294" t="n">
        <v>393</v>
      </c>
      <c r="AB294" t="n">
        <v>370</v>
      </c>
      <c r="AC294" t="n">
        <v>371</v>
      </c>
      <c r="AD294" t="n">
        <v>3</v>
      </c>
      <c r="AE294" t="n">
        <v>3</v>
      </c>
      <c r="AF294" t="n">
        <v>13</v>
      </c>
      <c r="AG294" t="n">
        <v>13</v>
      </c>
      <c r="AH294" t="n">
        <v>2</v>
      </c>
      <c r="AI294" t="n">
        <v>2</v>
      </c>
      <c r="AJ294" t="n">
        <v>3</v>
      </c>
      <c r="AK294" t="n">
        <v>3</v>
      </c>
      <c r="AL294" t="n">
        <v>5</v>
      </c>
      <c r="AM294" t="n">
        <v>5</v>
      </c>
      <c r="AN294" t="n">
        <v>1</v>
      </c>
      <c r="AO294" t="n">
        <v>1</v>
      </c>
      <c r="AP294" t="n">
        <v>5</v>
      </c>
      <c r="AQ294" t="n">
        <v>5</v>
      </c>
      <c r="AR294" t="inlineStr">
        <is>
          <t>No</t>
        </is>
      </c>
      <c r="AS294" t="inlineStr">
        <is>
          <t>No</t>
        </is>
      </c>
      <c r="AU294">
        <f>HYPERLINK("https://creighton-primo.hosted.exlibrisgroup.com/primo-explore/search?tab=default_tab&amp;search_scope=EVERYTHING&amp;vid=01CRU&amp;lang=en_US&amp;offset=0&amp;query=any,contains,991003524429702656","Catalog Record")</f>
        <v/>
      </c>
      <c r="AV294">
        <f>HYPERLINK("http://www.worldcat.org/oclc/1086005","WorldCat Record")</f>
        <v/>
      </c>
      <c r="AW294" t="inlineStr">
        <is>
          <t>508677910:eng</t>
        </is>
      </c>
      <c r="AX294" t="inlineStr">
        <is>
          <t>1086005</t>
        </is>
      </c>
      <c r="AY294" t="inlineStr">
        <is>
          <t>991003524429702656</t>
        </is>
      </c>
      <c r="AZ294" t="inlineStr">
        <is>
          <t>991003524429702656</t>
        </is>
      </c>
      <c r="BA294" t="inlineStr">
        <is>
          <t>2269205200002656</t>
        </is>
      </c>
      <c r="BB294" t="inlineStr">
        <is>
          <t>BOOK</t>
        </is>
      </c>
      <c r="BE294" t="inlineStr">
        <is>
          <t>32285002552494</t>
        </is>
      </c>
      <c r="BF294" t="inlineStr">
        <is>
          <t>893435079</t>
        </is>
      </c>
    </row>
    <row r="295">
      <c r="B295" t="inlineStr">
        <is>
          <t>CURAL</t>
        </is>
      </c>
      <c r="C295" t="inlineStr">
        <is>
          <t>SHELVES</t>
        </is>
      </c>
      <c r="D295" t="inlineStr">
        <is>
          <t>KF5107 .E45 1987</t>
        </is>
      </c>
      <c r="E295" t="inlineStr">
        <is>
          <t>0                      KF 5107000E  45          1987</t>
        </is>
      </c>
      <c r="F295" t="inlineStr">
        <is>
          <t>The United States Department of Justice and individual rights, 1937-1962 / John T. Elliff.</t>
        </is>
      </c>
      <c r="H295" t="inlineStr">
        <is>
          <t>No</t>
        </is>
      </c>
      <c r="I295" t="inlineStr">
        <is>
          <t>1</t>
        </is>
      </c>
      <c r="J295" t="inlineStr">
        <is>
          <t>No</t>
        </is>
      </c>
      <c r="K295" t="inlineStr">
        <is>
          <t>No</t>
        </is>
      </c>
      <c r="L295" t="inlineStr">
        <is>
          <t>0</t>
        </is>
      </c>
      <c r="M295" t="inlineStr">
        <is>
          <t>Elliff, John T.</t>
        </is>
      </c>
      <c r="N295" t="inlineStr">
        <is>
          <t>New York : Garland Pub., 1987.</t>
        </is>
      </c>
      <c r="O295" t="inlineStr">
        <is>
          <t>1987</t>
        </is>
      </c>
      <c r="Q295" t="inlineStr">
        <is>
          <t>eng</t>
        </is>
      </c>
      <c r="R295" t="inlineStr">
        <is>
          <t>nyu</t>
        </is>
      </c>
      <c r="S295" t="inlineStr">
        <is>
          <t>American legal and constitutional history</t>
        </is>
      </c>
      <c r="T295" t="inlineStr">
        <is>
          <t xml:space="preserve">KF </t>
        </is>
      </c>
      <c r="U295" t="n">
        <v>0</v>
      </c>
      <c r="V295" t="n">
        <v>0</v>
      </c>
      <c r="W295" t="inlineStr">
        <is>
          <t>2008-10-02</t>
        </is>
      </c>
      <c r="X295" t="inlineStr">
        <is>
          <t>2008-10-02</t>
        </is>
      </c>
      <c r="Y295" t="inlineStr">
        <is>
          <t>1990-01-14</t>
        </is>
      </c>
      <c r="Z295" t="inlineStr">
        <is>
          <t>1990-01-14</t>
        </is>
      </c>
      <c r="AA295" t="n">
        <v>201</v>
      </c>
      <c r="AB295" t="n">
        <v>178</v>
      </c>
      <c r="AC295" t="n">
        <v>183</v>
      </c>
      <c r="AD295" t="n">
        <v>2</v>
      </c>
      <c r="AE295" t="n">
        <v>2</v>
      </c>
      <c r="AF295" t="n">
        <v>15</v>
      </c>
      <c r="AG295" t="n">
        <v>15</v>
      </c>
      <c r="AH295" t="n">
        <v>1</v>
      </c>
      <c r="AI295" t="n">
        <v>1</v>
      </c>
      <c r="AJ295" t="n">
        <v>0</v>
      </c>
      <c r="AK295" t="n">
        <v>0</v>
      </c>
      <c r="AL295" t="n">
        <v>2</v>
      </c>
      <c r="AM295" t="n">
        <v>2</v>
      </c>
      <c r="AN295" t="n">
        <v>1</v>
      </c>
      <c r="AO295" t="n">
        <v>1</v>
      </c>
      <c r="AP295" t="n">
        <v>12</v>
      </c>
      <c r="AQ295" t="n">
        <v>12</v>
      </c>
      <c r="AR295" t="inlineStr">
        <is>
          <t>No</t>
        </is>
      </c>
      <c r="AS295" t="inlineStr">
        <is>
          <t>No</t>
        </is>
      </c>
      <c r="AU295">
        <f>HYPERLINK("https://creighton-primo.hosted.exlibrisgroup.com/primo-explore/search?tab=default_tab&amp;search_scope=EVERYTHING&amp;vid=01CRU&amp;lang=en_US&amp;offset=0&amp;query=any,contains,991000957419702656","Catalog Record")</f>
        <v/>
      </c>
      <c r="AV295">
        <f>HYPERLINK("http://www.worldcat.org/oclc/14719662","WorldCat Record")</f>
        <v/>
      </c>
      <c r="AW295" t="inlineStr">
        <is>
          <t>913685:eng</t>
        </is>
      </c>
      <c r="AX295" t="inlineStr">
        <is>
          <t>14719662</t>
        </is>
      </c>
      <c r="AY295" t="inlineStr">
        <is>
          <t>991000957419702656</t>
        </is>
      </c>
      <c r="AZ295" t="inlineStr">
        <is>
          <t>991000957419702656</t>
        </is>
      </c>
      <c r="BA295" t="inlineStr">
        <is>
          <t>2254870250002656</t>
        </is>
      </c>
      <c r="BB295" t="inlineStr">
        <is>
          <t>BOOK</t>
        </is>
      </c>
      <c r="BD295" t="inlineStr">
        <is>
          <t>9780824082611</t>
        </is>
      </c>
      <c r="BE295" t="inlineStr">
        <is>
          <t>32285000027192</t>
        </is>
      </c>
      <c r="BF295" t="inlineStr">
        <is>
          <t>893872175</t>
        </is>
      </c>
    </row>
    <row r="296">
      <c r="B296" t="inlineStr">
        <is>
          <t>CURAL</t>
        </is>
      </c>
      <c r="C296" t="inlineStr">
        <is>
          <t>SHELVES</t>
        </is>
      </c>
      <c r="D296" t="inlineStr">
        <is>
          <t>KF5150 .S72 1992</t>
        </is>
      </c>
      <c r="E296" t="inlineStr">
        <is>
          <t>0                      KF 5150000S  72          1992</t>
        </is>
      </c>
      <c r="F296" t="inlineStr">
        <is>
          <t>Stars, stripes &amp; statutes : a state by state review of provisions covering the use and display of your flag and related subjects of concern to educators, parents, citizens / by National Flag Foundation ; with introduction by Lamar Alexander.</t>
        </is>
      </c>
      <c r="H296" t="inlineStr">
        <is>
          <t>No</t>
        </is>
      </c>
      <c r="I296" t="inlineStr">
        <is>
          <t>1</t>
        </is>
      </c>
      <c r="J296" t="inlineStr">
        <is>
          <t>No</t>
        </is>
      </c>
      <c r="K296" t="inlineStr">
        <is>
          <t>No</t>
        </is>
      </c>
      <c r="L296" t="inlineStr">
        <is>
          <t>0</t>
        </is>
      </c>
      <c r="N296" t="inlineStr">
        <is>
          <t>Pittsburgh, PA : National Flag Foundation, c1992.</t>
        </is>
      </c>
      <c r="O296" t="inlineStr">
        <is>
          <t>1992</t>
        </is>
      </c>
      <c r="P296" t="inlineStr">
        <is>
          <t>1st ed.</t>
        </is>
      </c>
      <c r="Q296" t="inlineStr">
        <is>
          <t>eng</t>
        </is>
      </c>
      <c r="R296" t="inlineStr">
        <is>
          <t>pau</t>
        </is>
      </c>
      <c r="T296" t="inlineStr">
        <is>
          <t xml:space="preserve">KF </t>
        </is>
      </c>
      <c r="U296" t="n">
        <v>1</v>
      </c>
      <c r="V296" t="n">
        <v>1</v>
      </c>
      <c r="W296" t="inlineStr">
        <is>
          <t>2003-04-24</t>
        </is>
      </c>
      <c r="X296" t="inlineStr">
        <is>
          <t>2003-04-24</t>
        </is>
      </c>
      <c r="Y296" t="inlineStr">
        <is>
          <t>1998-12-16</t>
        </is>
      </c>
      <c r="Z296" t="inlineStr">
        <is>
          <t>1998-12-16</t>
        </is>
      </c>
      <c r="AA296" t="n">
        <v>109</v>
      </c>
      <c r="AB296" t="n">
        <v>109</v>
      </c>
      <c r="AC296" t="n">
        <v>112</v>
      </c>
      <c r="AD296" t="n">
        <v>3</v>
      </c>
      <c r="AE296" t="n">
        <v>3</v>
      </c>
      <c r="AF296" t="n">
        <v>2</v>
      </c>
      <c r="AG296" t="n">
        <v>2</v>
      </c>
      <c r="AH296" t="n">
        <v>1</v>
      </c>
      <c r="AI296" t="n">
        <v>1</v>
      </c>
      <c r="AJ296" t="n">
        <v>0</v>
      </c>
      <c r="AK296" t="n">
        <v>0</v>
      </c>
      <c r="AL296" t="n">
        <v>0</v>
      </c>
      <c r="AM296" t="n">
        <v>0</v>
      </c>
      <c r="AN296" t="n">
        <v>1</v>
      </c>
      <c r="AO296" t="n">
        <v>1</v>
      </c>
      <c r="AP296" t="n">
        <v>0</v>
      </c>
      <c r="AQ296" t="n">
        <v>0</v>
      </c>
      <c r="AR296" t="inlineStr">
        <is>
          <t>No</t>
        </is>
      </c>
      <c r="AS296" t="inlineStr">
        <is>
          <t>No</t>
        </is>
      </c>
      <c r="AU296">
        <f>HYPERLINK("https://creighton-primo.hosted.exlibrisgroup.com/primo-explore/search?tab=default_tab&amp;search_scope=EVERYTHING&amp;vid=01CRU&amp;lang=en_US&amp;offset=0&amp;query=any,contains,991002097759702656","Catalog Record")</f>
        <v/>
      </c>
      <c r="AV296">
        <f>HYPERLINK("http://www.worldcat.org/oclc/26919191","WorldCat Record")</f>
        <v/>
      </c>
      <c r="AW296" t="inlineStr">
        <is>
          <t>29474774:eng</t>
        </is>
      </c>
      <c r="AX296" t="inlineStr">
        <is>
          <t>26919191</t>
        </is>
      </c>
      <c r="AY296" t="inlineStr">
        <is>
          <t>991002097759702656</t>
        </is>
      </c>
      <c r="AZ296" t="inlineStr">
        <is>
          <t>991002097759702656</t>
        </is>
      </c>
      <c r="BA296" t="inlineStr">
        <is>
          <t>2272320670002656</t>
        </is>
      </c>
      <c r="BB296" t="inlineStr">
        <is>
          <t>BOOK</t>
        </is>
      </c>
      <c r="BD296" t="inlineStr">
        <is>
          <t>9780934021258</t>
        </is>
      </c>
      <c r="BE296" t="inlineStr">
        <is>
          <t>32285003507232</t>
        </is>
      </c>
      <c r="BF296" t="inlineStr">
        <is>
          <t>893779423</t>
        </is>
      </c>
    </row>
    <row r="297">
      <c r="B297" t="inlineStr">
        <is>
          <t>CURAL</t>
        </is>
      </c>
      <c r="C297" t="inlineStr">
        <is>
          <t>SHELVES</t>
        </is>
      </c>
      <c r="D297" t="inlineStr">
        <is>
          <t>KF535 .J33 1988</t>
        </is>
      </c>
      <c r="E297" t="inlineStr">
        <is>
          <t>0                      KF 0535000J  33          1988</t>
        </is>
      </c>
      <c r="F297" t="inlineStr">
        <is>
          <t>Silent revolution : the transformation of divorce law in the United States / Herbert Jacob.</t>
        </is>
      </c>
      <c r="H297" t="inlineStr">
        <is>
          <t>No</t>
        </is>
      </c>
      <c r="I297" t="inlineStr">
        <is>
          <t>1</t>
        </is>
      </c>
      <c r="J297" t="inlineStr">
        <is>
          <t>Yes</t>
        </is>
      </c>
      <c r="K297" t="inlineStr">
        <is>
          <t>No</t>
        </is>
      </c>
      <c r="L297" t="inlineStr">
        <is>
          <t>0</t>
        </is>
      </c>
      <c r="M297" t="inlineStr">
        <is>
          <t>Jacob, Herbert, 1933-1996.</t>
        </is>
      </c>
      <c r="N297" t="inlineStr">
        <is>
          <t>Chicago : University of Chicago Press, 1988.</t>
        </is>
      </c>
      <c r="O297" t="inlineStr">
        <is>
          <t>1988</t>
        </is>
      </c>
      <c r="Q297" t="inlineStr">
        <is>
          <t>eng</t>
        </is>
      </c>
      <c r="R297" t="inlineStr">
        <is>
          <t>ilu</t>
        </is>
      </c>
      <c r="T297" t="inlineStr">
        <is>
          <t xml:space="preserve">KF </t>
        </is>
      </c>
      <c r="U297" t="n">
        <v>3</v>
      </c>
      <c r="V297" t="n">
        <v>7</v>
      </c>
      <c r="W297" t="inlineStr">
        <is>
          <t>1995-05-17</t>
        </is>
      </c>
      <c r="X297" t="inlineStr">
        <is>
          <t>2001-11-03</t>
        </is>
      </c>
      <c r="Y297" t="inlineStr">
        <is>
          <t>1991-12-09</t>
        </is>
      </c>
      <c r="Z297" t="inlineStr">
        <is>
          <t>1991-12-09</t>
        </is>
      </c>
      <c r="AA297" t="n">
        <v>620</v>
      </c>
      <c r="AB297" t="n">
        <v>532</v>
      </c>
      <c r="AC297" t="n">
        <v>537</v>
      </c>
      <c r="AD297" t="n">
        <v>4</v>
      </c>
      <c r="AE297" t="n">
        <v>4</v>
      </c>
      <c r="AF297" t="n">
        <v>34</v>
      </c>
      <c r="AG297" t="n">
        <v>34</v>
      </c>
      <c r="AH297" t="n">
        <v>6</v>
      </c>
      <c r="AI297" t="n">
        <v>6</v>
      </c>
      <c r="AJ297" t="n">
        <v>5</v>
      </c>
      <c r="AK297" t="n">
        <v>5</v>
      </c>
      <c r="AL297" t="n">
        <v>6</v>
      </c>
      <c r="AM297" t="n">
        <v>6</v>
      </c>
      <c r="AN297" t="n">
        <v>1</v>
      </c>
      <c r="AO297" t="n">
        <v>1</v>
      </c>
      <c r="AP297" t="n">
        <v>19</v>
      </c>
      <c r="AQ297" t="n">
        <v>19</v>
      </c>
      <c r="AR297" t="inlineStr">
        <is>
          <t>No</t>
        </is>
      </c>
      <c r="AS297" t="inlineStr">
        <is>
          <t>No</t>
        </is>
      </c>
      <c r="AU297">
        <f>HYPERLINK("https://creighton-primo.hosted.exlibrisgroup.com/primo-explore/search?tab=default_tab&amp;search_scope=EVERYTHING&amp;vid=01CRU&amp;lang=en_US&amp;offset=0&amp;query=any,contains,991001638179702656","Catalog Record")</f>
        <v/>
      </c>
      <c r="AV297">
        <f>HYPERLINK("http://www.worldcat.org/oclc/17354609","WorldCat Record")</f>
        <v/>
      </c>
      <c r="AW297" t="inlineStr">
        <is>
          <t>836754621:eng</t>
        </is>
      </c>
      <c r="AX297" t="inlineStr">
        <is>
          <t>17354609</t>
        </is>
      </c>
      <c r="AY297" t="inlineStr">
        <is>
          <t>991001638179702656</t>
        </is>
      </c>
      <c r="AZ297" t="inlineStr">
        <is>
          <t>991001638179702656</t>
        </is>
      </c>
      <c r="BA297" t="inlineStr">
        <is>
          <t>2268048770002656</t>
        </is>
      </c>
      <c r="BB297" t="inlineStr">
        <is>
          <t>BOOK</t>
        </is>
      </c>
      <c r="BD297" t="inlineStr">
        <is>
          <t>9780226389516</t>
        </is>
      </c>
      <c r="BE297" t="inlineStr">
        <is>
          <t>32285000829480</t>
        </is>
      </c>
      <c r="BF297" t="inlineStr">
        <is>
          <t>893439260</t>
        </is>
      </c>
    </row>
    <row r="298">
      <c r="B298" t="inlineStr">
        <is>
          <t>CURAL</t>
        </is>
      </c>
      <c r="C298" t="inlineStr">
        <is>
          <t>SHELVES</t>
        </is>
      </c>
      <c r="D298" t="inlineStr">
        <is>
          <t>KF535 .W43 1985</t>
        </is>
      </c>
      <c r="E298" t="inlineStr">
        <is>
          <t>0                      KF 0535000W  43          1985</t>
        </is>
      </c>
      <c r="F298" t="inlineStr">
        <is>
          <t>The divorce revolution : the unexpected social and economic consequences for women and children in America / Lenore J. Weitzman.</t>
        </is>
      </c>
      <c r="H298" t="inlineStr">
        <is>
          <t>No</t>
        </is>
      </c>
      <c r="I298" t="inlineStr">
        <is>
          <t>1</t>
        </is>
      </c>
      <c r="J298" t="inlineStr">
        <is>
          <t>Yes</t>
        </is>
      </c>
      <c r="K298" t="inlineStr">
        <is>
          <t>No</t>
        </is>
      </c>
      <c r="L298" t="inlineStr">
        <is>
          <t>0</t>
        </is>
      </c>
      <c r="M298" t="inlineStr">
        <is>
          <t>Weitzman, Lenore J.</t>
        </is>
      </c>
      <c r="N298" t="inlineStr">
        <is>
          <t>New York : Free Press ; London : Collier Macmillan, c1985.</t>
        </is>
      </c>
      <c r="O298" t="inlineStr">
        <is>
          <t>1985</t>
        </is>
      </c>
      <c r="Q298" t="inlineStr">
        <is>
          <t>eng</t>
        </is>
      </c>
      <c r="R298" t="inlineStr">
        <is>
          <t>nyu</t>
        </is>
      </c>
      <c r="T298" t="inlineStr">
        <is>
          <t xml:space="preserve">KF </t>
        </is>
      </c>
      <c r="U298" t="n">
        <v>15</v>
      </c>
      <c r="V298" t="n">
        <v>17</v>
      </c>
      <c r="W298" t="inlineStr">
        <is>
          <t>2004-04-15</t>
        </is>
      </c>
      <c r="X298" t="inlineStr">
        <is>
          <t>2004-04-15</t>
        </is>
      </c>
      <c r="Y298" t="inlineStr">
        <is>
          <t>1992-05-28</t>
        </is>
      </c>
      <c r="Z298" t="inlineStr">
        <is>
          <t>1995-09-26</t>
        </is>
      </c>
      <c r="AA298" t="n">
        <v>1589</v>
      </c>
      <c r="AB298" t="n">
        <v>1414</v>
      </c>
      <c r="AC298" t="n">
        <v>1464</v>
      </c>
      <c r="AD298" t="n">
        <v>14</v>
      </c>
      <c r="AE298" t="n">
        <v>14</v>
      </c>
      <c r="AF298" t="n">
        <v>72</v>
      </c>
      <c r="AG298" t="n">
        <v>73</v>
      </c>
      <c r="AH298" t="n">
        <v>22</v>
      </c>
      <c r="AI298" t="n">
        <v>23</v>
      </c>
      <c r="AJ298" t="n">
        <v>11</v>
      </c>
      <c r="AK298" t="n">
        <v>11</v>
      </c>
      <c r="AL298" t="n">
        <v>22</v>
      </c>
      <c r="AM298" t="n">
        <v>22</v>
      </c>
      <c r="AN298" t="n">
        <v>9</v>
      </c>
      <c r="AO298" t="n">
        <v>9</v>
      </c>
      <c r="AP298" t="n">
        <v>20</v>
      </c>
      <c r="AQ298" t="n">
        <v>20</v>
      </c>
      <c r="AR298" t="inlineStr">
        <is>
          <t>No</t>
        </is>
      </c>
      <c r="AS298" t="inlineStr">
        <is>
          <t>Yes</t>
        </is>
      </c>
      <c r="AT298">
        <f>HYPERLINK("http://catalog.hathitrust.org/Record/000656130","HathiTrust Record")</f>
        <v/>
      </c>
      <c r="AU298">
        <f>HYPERLINK("https://creighton-primo.hosted.exlibrisgroup.com/primo-explore/search?tab=default_tab&amp;search_scope=EVERYTHING&amp;vid=01CRU&amp;lang=en_US&amp;offset=0&amp;query=any,contains,991001630249702656","Catalog Record")</f>
        <v/>
      </c>
      <c r="AV298">
        <f>HYPERLINK("http://www.worldcat.org/oclc/11970153","WorldCat Record")</f>
        <v/>
      </c>
      <c r="AW298" t="inlineStr">
        <is>
          <t>4493968:eng</t>
        </is>
      </c>
      <c r="AX298" t="inlineStr">
        <is>
          <t>11970153</t>
        </is>
      </c>
      <c r="AY298" t="inlineStr">
        <is>
          <t>991001630249702656</t>
        </is>
      </c>
      <c r="AZ298" t="inlineStr">
        <is>
          <t>991001630249702656</t>
        </is>
      </c>
      <c r="BA298" t="inlineStr">
        <is>
          <t>2256440700002656</t>
        </is>
      </c>
      <c r="BB298" t="inlineStr">
        <is>
          <t>BOOK</t>
        </is>
      </c>
      <c r="BD298" t="inlineStr">
        <is>
          <t>9780029347102</t>
        </is>
      </c>
      <c r="BE298" t="inlineStr">
        <is>
          <t>32285001113371</t>
        </is>
      </c>
      <c r="BF298" t="inlineStr">
        <is>
          <t>893516331</t>
        </is>
      </c>
    </row>
    <row r="299">
      <c r="B299" t="inlineStr">
        <is>
          <t>CURAL</t>
        </is>
      </c>
      <c r="C299" t="inlineStr">
        <is>
          <t>SHELVES</t>
        </is>
      </c>
      <c r="D299" t="inlineStr">
        <is>
          <t>KF535 .W45</t>
        </is>
      </c>
      <c r="E299" t="inlineStr">
        <is>
          <t>0                      KF 0535000W  45</t>
        </is>
      </c>
      <c r="F299" t="inlineStr">
        <is>
          <t>No-fault divorce.</t>
        </is>
      </c>
      <c r="H299" t="inlineStr">
        <is>
          <t>No</t>
        </is>
      </c>
      <c r="I299" t="inlineStr">
        <is>
          <t>1</t>
        </is>
      </c>
      <c r="J299" t="inlineStr">
        <is>
          <t>No</t>
        </is>
      </c>
      <c r="K299" t="inlineStr">
        <is>
          <t>No</t>
        </is>
      </c>
      <c r="L299" t="inlineStr">
        <is>
          <t>0</t>
        </is>
      </c>
      <c r="M299" t="inlineStr">
        <is>
          <t>Wheeler, Michael, 1943-</t>
        </is>
      </c>
      <c r="N299" t="inlineStr">
        <is>
          <t>Boston, Beacon Press [1974]</t>
        </is>
      </c>
      <c r="O299" t="inlineStr">
        <is>
          <t>1974</t>
        </is>
      </c>
      <c r="Q299" t="inlineStr">
        <is>
          <t>eng</t>
        </is>
      </c>
      <c r="R299" t="inlineStr">
        <is>
          <t>mau</t>
        </is>
      </c>
      <c r="T299" t="inlineStr">
        <is>
          <t xml:space="preserve">KF </t>
        </is>
      </c>
      <c r="U299" t="n">
        <v>1</v>
      </c>
      <c r="V299" t="n">
        <v>1</v>
      </c>
      <c r="W299" t="inlineStr">
        <is>
          <t>2004-04-22</t>
        </is>
      </c>
      <c r="X299" t="inlineStr">
        <is>
          <t>2004-04-22</t>
        </is>
      </c>
      <c r="Y299" t="inlineStr">
        <is>
          <t>1997-04-14</t>
        </is>
      </c>
      <c r="Z299" t="inlineStr">
        <is>
          <t>1997-04-14</t>
        </is>
      </c>
      <c r="AA299" t="n">
        <v>604</v>
      </c>
      <c r="AB299" t="n">
        <v>560</v>
      </c>
      <c r="AC299" t="n">
        <v>568</v>
      </c>
      <c r="AD299" t="n">
        <v>5</v>
      </c>
      <c r="AE299" t="n">
        <v>5</v>
      </c>
      <c r="AF299" t="n">
        <v>26</v>
      </c>
      <c r="AG299" t="n">
        <v>26</v>
      </c>
      <c r="AH299" t="n">
        <v>5</v>
      </c>
      <c r="AI299" t="n">
        <v>5</v>
      </c>
      <c r="AJ299" t="n">
        <v>3</v>
      </c>
      <c r="AK299" t="n">
        <v>3</v>
      </c>
      <c r="AL299" t="n">
        <v>4</v>
      </c>
      <c r="AM299" t="n">
        <v>4</v>
      </c>
      <c r="AN299" t="n">
        <v>2</v>
      </c>
      <c r="AO299" t="n">
        <v>2</v>
      </c>
      <c r="AP299" t="n">
        <v>15</v>
      </c>
      <c r="AQ299" t="n">
        <v>15</v>
      </c>
      <c r="AR299" t="inlineStr">
        <is>
          <t>No</t>
        </is>
      </c>
      <c r="AS299" t="inlineStr">
        <is>
          <t>Yes</t>
        </is>
      </c>
      <c r="AT299">
        <f>HYPERLINK("http://catalog.hathitrust.org/Record/007550797","HathiTrust Record")</f>
        <v/>
      </c>
      <c r="AU299">
        <f>HYPERLINK("https://creighton-primo.hosted.exlibrisgroup.com/primo-explore/search?tab=default_tab&amp;search_scope=EVERYTHING&amp;vid=01CRU&amp;lang=en_US&amp;offset=0&amp;query=any,contains,991003205969702656","Catalog Record")</f>
        <v/>
      </c>
      <c r="AV299">
        <f>HYPERLINK("http://www.worldcat.org/oclc/730773","WorldCat Record")</f>
        <v/>
      </c>
      <c r="AW299" t="inlineStr">
        <is>
          <t>1754858:eng</t>
        </is>
      </c>
      <c r="AX299" t="inlineStr">
        <is>
          <t>730773</t>
        </is>
      </c>
      <c r="AY299" t="inlineStr">
        <is>
          <t>991003205969702656</t>
        </is>
      </c>
      <c r="AZ299" t="inlineStr">
        <is>
          <t>991003205969702656</t>
        </is>
      </c>
      <c r="BA299" t="inlineStr">
        <is>
          <t>2267166070002656</t>
        </is>
      </c>
      <c r="BB299" t="inlineStr">
        <is>
          <t>BOOK</t>
        </is>
      </c>
      <c r="BD299" t="inlineStr">
        <is>
          <t>9780807044827</t>
        </is>
      </c>
      <c r="BE299" t="inlineStr">
        <is>
          <t>32285002550035</t>
        </is>
      </c>
      <c r="BF299" t="inlineStr">
        <is>
          <t>893787073</t>
        </is>
      </c>
    </row>
    <row r="300">
      <c r="B300" t="inlineStr">
        <is>
          <t>CURAL</t>
        </is>
      </c>
      <c r="C300" t="inlineStr">
        <is>
          <t>SHELVES</t>
        </is>
      </c>
      <c r="D300" t="inlineStr">
        <is>
          <t>KF535.Z9 J36 1997</t>
        </is>
      </c>
      <c r="E300" t="inlineStr">
        <is>
          <t>0                      KF 0535000Z  9                  J  36          1997</t>
        </is>
      </c>
      <c r="F300" t="inlineStr">
        <is>
          <t>The Divorce mediation handbook : everything you need to know / Paula James.</t>
        </is>
      </c>
      <c r="H300" t="inlineStr">
        <is>
          <t>No</t>
        </is>
      </c>
      <c r="I300" t="inlineStr">
        <is>
          <t>1</t>
        </is>
      </c>
      <c r="J300" t="inlineStr">
        <is>
          <t>No</t>
        </is>
      </c>
      <c r="K300" t="inlineStr">
        <is>
          <t>No</t>
        </is>
      </c>
      <c r="L300" t="inlineStr">
        <is>
          <t>0</t>
        </is>
      </c>
      <c r="M300" t="inlineStr">
        <is>
          <t>James, Paula.</t>
        </is>
      </c>
      <c r="N300" t="inlineStr">
        <is>
          <t>San Francisco, Calif. : Jossey-Bass, c1997.</t>
        </is>
      </c>
      <c r="O300" t="inlineStr">
        <is>
          <t>1997</t>
        </is>
      </c>
      <c r="P300" t="inlineStr">
        <is>
          <t>1st ed.</t>
        </is>
      </c>
      <c r="Q300" t="inlineStr">
        <is>
          <t>eng</t>
        </is>
      </c>
      <c r="R300" t="inlineStr">
        <is>
          <t>cau</t>
        </is>
      </c>
      <c r="T300" t="inlineStr">
        <is>
          <t xml:space="preserve">KF </t>
        </is>
      </c>
      <c r="U300" t="n">
        <v>5</v>
      </c>
      <c r="V300" t="n">
        <v>5</v>
      </c>
      <c r="W300" t="inlineStr">
        <is>
          <t>2000-12-15</t>
        </is>
      </c>
      <c r="X300" t="inlineStr">
        <is>
          <t>2000-12-15</t>
        </is>
      </c>
      <c r="Y300" t="inlineStr">
        <is>
          <t>1998-08-24</t>
        </is>
      </c>
      <c r="Z300" t="inlineStr">
        <is>
          <t>1998-08-24</t>
        </is>
      </c>
      <c r="AA300" t="n">
        <v>471</v>
      </c>
      <c r="AB300" t="n">
        <v>445</v>
      </c>
      <c r="AC300" t="n">
        <v>1244</v>
      </c>
      <c r="AD300" t="n">
        <v>5</v>
      </c>
      <c r="AE300" t="n">
        <v>5</v>
      </c>
      <c r="AF300" t="n">
        <v>20</v>
      </c>
      <c r="AG300" t="n">
        <v>30</v>
      </c>
      <c r="AH300" t="n">
        <v>3</v>
      </c>
      <c r="AI300" t="n">
        <v>10</v>
      </c>
      <c r="AJ300" t="n">
        <v>0</v>
      </c>
      <c r="AK300" t="n">
        <v>2</v>
      </c>
      <c r="AL300" t="n">
        <v>3</v>
      </c>
      <c r="AM300" t="n">
        <v>7</v>
      </c>
      <c r="AN300" t="n">
        <v>4</v>
      </c>
      <c r="AO300" t="n">
        <v>4</v>
      </c>
      <c r="AP300" t="n">
        <v>10</v>
      </c>
      <c r="AQ300" t="n">
        <v>10</v>
      </c>
      <c r="AR300" t="inlineStr">
        <is>
          <t>No</t>
        </is>
      </c>
      <c r="AS300" t="inlineStr">
        <is>
          <t>Yes</t>
        </is>
      </c>
      <c r="AT300">
        <f>HYPERLINK("http://catalog.hathitrust.org/Record/003168516","HathiTrust Record")</f>
        <v/>
      </c>
      <c r="AU300">
        <f>HYPERLINK("https://creighton-primo.hosted.exlibrisgroup.com/primo-explore/search?tab=default_tab&amp;search_scope=EVERYTHING&amp;vid=01CRU&amp;lang=en_US&amp;offset=0&amp;query=any,contains,991002767049702656","Catalog Record")</f>
        <v/>
      </c>
      <c r="AV300">
        <f>HYPERLINK("http://www.worldcat.org/oclc/36307958","WorldCat Record")</f>
        <v/>
      </c>
      <c r="AW300" t="inlineStr">
        <is>
          <t>62828649:eng</t>
        </is>
      </c>
      <c r="AX300" t="inlineStr">
        <is>
          <t>36307958</t>
        </is>
      </c>
      <c r="AY300" t="inlineStr">
        <is>
          <t>991002767049702656</t>
        </is>
      </c>
      <c r="AZ300" t="inlineStr">
        <is>
          <t>991002767049702656</t>
        </is>
      </c>
      <c r="BA300" t="inlineStr">
        <is>
          <t>2267178260002656</t>
        </is>
      </c>
      <c r="BB300" t="inlineStr">
        <is>
          <t>BOOK</t>
        </is>
      </c>
      <c r="BD300" t="inlineStr">
        <is>
          <t>9780787908720</t>
        </is>
      </c>
      <c r="BE300" t="inlineStr">
        <is>
          <t>32285003461026</t>
        </is>
      </c>
      <c r="BF300" t="inlineStr">
        <is>
          <t>893239461</t>
        </is>
      </c>
    </row>
    <row r="301">
      <c r="B301" t="inlineStr">
        <is>
          <t>CURAL</t>
        </is>
      </c>
      <c r="C301" t="inlineStr">
        <is>
          <t>SHELVES</t>
        </is>
      </c>
      <c r="D301" t="inlineStr">
        <is>
          <t>KF5399 .W56 1984</t>
        </is>
      </c>
      <c r="E301" t="inlineStr">
        <is>
          <t>0                      KF 5399000W  56          1984</t>
        </is>
      </c>
      <c r="F301" t="inlineStr">
        <is>
          <t>The law and politics of police discretion / Gregory Howard Williams.</t>
        </is>
      </c>
      <c r="H301" t="inlineStr">
        <is>
          <t>No</t>
        </is>
      </c>
      <c r="I301" t="inlineStr">
        <is>
          <t>1</t>
        </is>
      </c>
      <c r="J301" t="inlineStr">
        <is>
          <t>No</t>
        </is>
      </c>
      <c r="K301" t="inlineStr">
        <is>
          <t>No</t>
        </is>
      </c>
      <c r="L301" t="inlineStr">
        <is>
          <t>0</t>
        </is>
      </c>
      <c r="M301" t="inlineStr">
        <is>
          <t>Williams, Gregory Howard.</t>
        </is>
      </c>
      <c r="N301" t="inlineStr">
        <is>
          <t>Westport, Conn. : Greenwood Press, 1984.</t>
        </is>
      </c>
      <c r="O301" t="inlineStr">
        <is>
          <t>1984</t>
        </is>
      </c>
      <c r="Q301" t="inlineStr">
        <is>
          <t>eng</t>
        </is>
      </c>
      <c r="R301" t="inlineStr">
        <is>
          <t>ctu</t>
        </is>
      </c>
      <c r="S301" t="inlineStr">
        <is>
          <t>Contributions in criminology and penology, 0732-4464 ; no. 4</t>
        </is>
      </c>
      <c r="T301" t="inlineStr">
        <is>
          <t xml:space="preserve">KF </t>
        </is>
      </c>
      <c r="U301" t="n">
        <v>8</v>
      </c>
      <c r="V301" t="n">
        <v>8</v>
      </c>
      <c r="W301" t="inlineStr">
        <is>
          <t>2003-11-18</t>
        </is>
      </c>
      <c r="X301" t="inlineStr">
        <is>
          <t>2003-11-18</t>
        </is>
      </c>
      <c r="Y301" t="inlineStr">
        <is>
          <t>1992-07-07</t>
        </is>
      </c>
      <c r="Z301" t="inlineStr">
        <is>
          <t>1992-07-07</t>
        </is>
      </c>
      <c r="AA301" t="n">
        <v>489</v>
      </c>
      <c r="AB301" t="n">
        <v>428</v>
      </c>
      <c r="AC301" t="n">
        <v>445</v>
      </c>
      <c r="AD301" t="n">
        <v>4</v>
      </c>
      <c r="AE301" t="n">
        <v>4</v>
      </c>
      <c r="AF301" t="n">
        <v>32</v>
      </c>
      <c r="AG301" t="n">
        <v>32</v>
      </c>
      <c r="AH301" t="n">
        <v>9</v>
      </c>
      <c r="AI301" t="n">
        <v>9</v>
      </c>
      <c r="AJ301" t="n">
        <v>8</v>
      </c>
      <c r="AK301" t="n">
        <v>8</v>
      </c>
      <c r="AL301" t="n">
        <v>8</v>
      </c>
      <c r="AM301" t="n">
        <v>8</v>
      </c>
      <c r="AN301" t="n">
        <v>2</v>
      </c>
      <c r="AO301" t="n">
        <v>2</v>
      </c>
      <c r="AP301" t="n">
        <v>12</v>
      </c>
      <c r="AQ301" t="n">
        <v>12</v>
      </c>
      <c r="AR301" t="inlineStr">
        <is>
          <t>No</t>
        </is>
      </c>
      <c r="AS301" t="inlineStr">
        <is>
          <t>Yes</t>
        </is>
      </c>
      <c r="AT301">
        <f>HYPERLINK("http://catalog.hathitrust.org/Record/000379684","HathiTrust Record")</f>
        <v/>
      </c>
      <c r="AU301">
        <f>HYPERLINK("https://creighton-primo.hosted.exlibrisgroup.com/primo-explore/search?tab=default_tab&amp;search_scope=EVERYTHING&amp;vid=01CRU&amp;lang=en_US&amp;offset=0&amp;query=any,contains,991000323749702656","Catalog Record")</f>
        <v/>
      </c>
      <c r="AV301">
        <f>HYPERLINK("http://www.worldcat.org/oclc/10162647","WorldCat Record")</f>
        <v/>
      </c>
      <c r="AW301" t="inlineStr">
        <is>
          <t>2606180:eng</t>
        </is>
      </c>
      <c r="AX301" t="inlineStr">
        <is>
          <t>10162647</t>
        </is>
      </c>
      <c r="AY301" t="inlineStr">
        <is>
          <t>991000323749702656</t>
        </is>
      </c>
      <c r="AZ301" t="inlineStr">
        <is>
          <t>991000323749702656</t>
        </is>
      </c>
      <c r="BA301" t="inlineStr">
        <is>
          <t>2267976280002656</t>
        </is>
      </c>
      <c r="BB301" t="inlineStr">
        <is>
          <t>BOOK</t>
        </is>
      </c>
      <c r="BD301" t="inlineStr">
        <is>
          <t>9780313240706</t>
        </is>
      </c>
      <c r="BE301" t="inlineStr">
        <is>
          <t>32285001178556</t>
        </is>
      </c>
      <c r="BF301" t="inlineStr">
        <is>
          <t>893534114</t>
        </is>
      </c>
    </row>
    <row r="302">
      <c r="B302" t="inlineStr">
        <is>
          <t>CURAL</t>
        </is>
      </c>
      <c r="C302" t="inlineStr">
        <is>
          <t>SHELVES</t>
        </is>
      </c>
      <c r="D302" t="inlineStr">
        <is>
          <t>KF5425 .E35 1990</t>
        </is>
      </c>
      <c r="E302" t="inlineStr">
        <is>
          <t>0                      KF 5425000E  35          1990</t>
        </is>
      </c>
      <c r="F302" t="inlineStr">
        <is>
          <t>Administrative law : rethinking judicial control of bureaucracy / Christopher F. Edley, Jr.</t>
        </is>
      </c>
      <c r="H302" t="inlineStr">
        <is>
          <t>No</t>
        </is>
      </c>
      <c r="I302" t="inlineStr">
        <is>
          <t>1</t>
        </is>
      </c>
      <c r="J302" t="inlineStr">
        <is>
          <t>Yes</t>
        </is>
      </c>
      <c r="K302" t="inlineStr">
        <is>
          <t>No</t>
        </is>
      </c>
      <c r="L302" t="inlineStr">
        <is>
          <t>0</t>
        </is>
      </c>
      <c r="M302" t="inlineStr">
        <is>
          <t>Edley, Christopher F., 1953-</t>
        </is>
      </c>
      <c r="N302" t="inlineStr">
        <is>
          <t>New Haven : Yale University Press, c1990.</t>
        </is>
      </c>
      <c r="O302" t="inlineStr">
        <is>
          <t>1990</t>
        </is>
      </c>
      <c r="Q302" t="inlineStr">
        <is>
          <t>eng</t>
        </is>
      </c>
      <c r="R302" t="inlineStr">
        <is>
          <t>ctu</t>
        </is>
      </c>
      <c r="T302" t="inlineStr">
        <is>
          <t xml:space="preserve">KF </t>
        </is>
      </c>
      <c r="U302" t="n">
        <v>3</v>
      </c>
      <c r="V302" t="n">
        <v>6</v>
      </c>
      <c r="W302" t="inlineStr">
        <is>
          <t>1992-04-18</t>
        </is>
      </c>
      <c r="X302" t="inlineStr">
        <is>
          <t>1993-06-08</t>
        </is>
      </c>
      <c r="Y302" t="inlineStr">
        <is>
          <t>1991-05-13</t>
        </is>
      </c>
      <c r="Z302" t="inlineStr">
        <is>
          <t>2004-06-28</t>
        </is>
      </c>
      <c r="AA302" t="n">
        <v>590</v>
      </c>
      <c r="AB302" t="n">
        <v>491</v>
      </c>
      <c r="AC302" t="n">
        <v>491</v>
      </c>
      <c r="AD302" t="n">
        <v>5</v>
      </c>
      <c r="AE302" t="n">
        <v>5</v>
      </c>
      <c r="AF302" t="n">
        <v>39</v>
      </c>
      <c r="AG302" t="n">
        <v>39</v>
      </c>
      <c r="AH302" t="n">
        <v>6</v>
      </c>
      <c r="AI302" t="n">
        <v>6</v>
      </c>
      <c r="AJ302" t="n">
        <v>4</v>
      </c>
      <c r="AK302" t="n">
        <v>4</v>
      </c>
      <c r="AL302" t="n">
        <v>7</v>
      </c>
      <c r="AM302" t="n">
        <v>7</v>
      </c>
      <c r="AN302" t="n">
        <v>2</v>
      </c>
      <c r="AO302" t="n">
        <v>2</v>
      </c>
      <c r="AP302" t="n">
        <v>24</v>
      </c>
      <c r="AQ302" t="n">
        <v>24</v>
      </c>
      <c r="AR302" t="inlineStr">
        <is>
          <t>No</t>
        </is>
      </c>
      <c r="AS302" t="inlineStr">
        <is>
          <t>No</t>
        </is>
      </c>
      <c r="AU302">
        <f>HYPERLINK("https://creighton-primo.hosted.exlibrisgroup.com/primo-explore/search?tab=default_tab&amp;search_scope=EVERYTHING&amp;vid=01CRU&amp;lang=en_US&amp;offset=0&amp;query=any,contains,991001642489702656","Catalog Record")</f>
        <v/>
      </c>
      <c r="AV302">
        <f>HYPERLINK("http://www.worldcat.org/oclc/20354571","WorldCat Record")</f>
        <v/>
      </c>
      <c r="AW302" t="inlineStr">
        <is>
          <t>836728006:eng</t>
        </is>
      </c>
      <c r="AX302" t="inlineStr">
        <is>
          <t>20354571</t>
        </is>
      </c>
      <c r="AY302" t="inlineStr">
        <is>
          <t>991001642489702656</t>
        </is>
      </c>
      <c r="AZ302" t="inlineStr">
        <is>
          <t>991001642489702656</t>
        </is>
      </c>
      <c r="BA302" t="inlineStr">
        <is>
          <t>2270916280002656</t>
        </is>
      </c>
      <c r="BB302" t="inlineStr">
        <is>
          <t>BOOK</t>
        </is>
      </c>
      <c r="BD302" t="inlineStr">
        <is>
          <t>9780300040791</t>
        </is>
      </c>
      <c r="BE302" t="inlineStr">
        <is>
          <t>32285000572775</t>
        </is>
      </c>
      <c r="BF302" t="inlineStr">
        <is>
          <t>893334433</t>
        </is>
      </c>
    </row>
    <row r="303">
      <c r="B303" t="inlineStr">
        <is>
          <t>CURAL</t>
        </is>
      </c>
      <c r="C303" t="inlineStr">
        <is>
          <t>SHELVES</t>
        </is>
      </c>
      <c r="D303" t="inlineStr">
        <is>
          <t>KF5425 .R33 1989</t>
        </is>
      </c>
      <c r="E303" t="inlineStr">
        <is>
          <t>0                      KF 5425000R  33          1989</t>
        </is>
      </c>
      <c r="F303" t="inlineStr">
        <is>
          <t>Judicial compulsions : how public law distorts public policy / Jeremy Rabkin.</t>
        </is>
      </c>
      <c r="H303" t="inlineStr">
        <is>
          <t>No</t>
        </is>
      </c>
      <c r="I303" t="inlineStr">
        <is>
          <t>1</t>
        </is>
      </c>
      <c r="J303" t="inlineStr">
        <is>
          <t>No</t>
        </is>
      </c>
      <c r="K303" t="inlineStr">
        <is>
          <t>No</t>
        </is>
      </c>
      <c r="L303" t="inlineStr">
        <is>
          <t>0</t>
        </is>
      </c>
      <c r="M303" t="inlineStr">
        <is>
          <t>Rabkin, Jeremy A.</t>
        </is>
      </c>
      <c r="N303" t="inlineStr">
        <is>
          <t>New York : Basic Books, c1989.</t>
        </is>
      </c>
      <c r="O303" t="inlineStr">
        <is>
          <t>1989</t>
        </is>
      </c>
      <c r="Q303" t="inlineStr">
        <is>
          <t>eng</t>
        </is>
      </c>
      <c r="R303" t="inlineStr">
        <is>
          <t>nyu</t>
        </is>
      </c>
      <c r="T303" t="inlineStr">
        <is>
          <t xml:space="preserve">KF </t>
        </is>
      </c>
      <c r="U303" t="n">
        <v>1</v>
      </c>
      <c r="V303" t="n">
        <v>1</v>
      </c>
      <c r="W303" t="inlineStr">
        <is>
          <t>2003-09-28</t>
        </is>
      </c>
      <c r="X303" t="inlineStr">
        <is>
          <t>2003-09-28</t>
        </is>
      </c>
      <c r="Y303" t="inlineStr">
        <is>
          <t>1990-08-29</t>
        </is>
      </c>
      <c r="Z303" t="inlineStr">
        <is>
          <t>1990-08-29</t>
        </is>
      </c>
      <c r="AA303" t="n">
        <v>620</v>
      </c>
      <c r="AB303" t="n">
        <v>573</v>
      </c>
      <c r="AC303" t="n">
        <v>580</v>
      </c>
      <c r="AD303" t="n">
        <v>3</v>
      </c>
      <c r="AE303" t="n">
        <v>3</v>
      </c>
      <c r="AF303" t="n">
        <v>36</v>
      </c>
      <c r="AG303" t="n">
        <v>36</v>
      </c>
      <c r="AH303" t="n">
        <v>7</v>
      </c>
      <c r="AI303" t="n">
        <v>7</v>
      </c>
      <c r="AJ303" t="n">
        <v>4</v>
      </c>
      <c r="AK303" t="n">
        <v>4</v>
      </c>
      <c r="AL303" t="n">
        <v>11</v>
      </c>
      <c r="AM303" t="n">
        <v>11</v>
      </c>
      <c r="AN303" t="n">
        <v>2</v>
      </c>
      <c r="AO303" t="n">
        <v>2</v>
      </c>
      <c r="AP303" t="n">
        <v>18</v>
      </c>
      <c r="AQ303" t="n">
        <v>18</v>
      </c>
      <c r="AR303" t="inlineStr">
        <is>
          <t>No</t>
        </is>
      </c>
      <c r="AS303" t="inlineStr">
        <is>
          <t>Yes</t>
        </is>
      </c>
      <c r="AT303">
        <f>HYPERLINK("http://catalog.hathitrust.org/Record/001304316","HathiTrust Record")</f>
        <v/>
      </c>
      <c r="AU303">
        <f>HYPERLINK("https://creighton-primo.hosted.exlibrisgroup.com/primo-explore/search?tab=default_tab&amp;search_scope=EVERYTHING&amp;vid=01CRU&amp;lang=en_US&amp;offset=0&amp;query=any,contains,991001437519702656","Catalog Record")</f>
        <v/>
      </c>
      <c r="AV303">
        <f>HYPERLINK("http://www.worldcat.org/oclc/19130929","WorldCat Record")</f>
        <v/>
      </c>
      <c r="AW303" t="inlineStr">
        <is>
          <t>19127316:eng</t>
        </is>
      </c>
      <c r="AX303" t="inlineStr">
        <is>
          <t>19130929</t>
        </is>
      </c>
      <c r="AY303" t="inlineStr">
        <is>
          <t>991001437519702656</t>
        </is>
      </c>
      <c r="AZ303" t="inlineStr">
        <is>
          <t>991001437519702656</t>
        </is>
      </c>
      <c r="BA303" t="inlineStr">
        <is>
          <t>2261512340002656</t>
        </is>
      </c>
      <c r="BB303" t="inlineStr">
        <is>
          <t>BOOK</t>
        </is>
      </c>
      <c r="BD303" t="inlineStr">
        <is>
          <t>9780465036875</t>
        </is>
      </c>
      <c r="BE303" t="inlineStr">
        <is>
          <t>32285000275411</t>
        </is>
      </c>
      <c r="BF303" t="inlineStr">
        <is>
          <t>893414239</t>
        </is>
      </c>
    </row>
    <row r="304">
      <c r="B304" t="inlineStr">
        <is>
          <t>CURAL</t>
        </is>
      </c>
      <c r="C304" t="inlineStr">
        <is>
          <t>SHELVES</t>
        </is>
      </c>
      <c r="D304" t="inlineStr">
        <is>
          <t>KF547 .L56 1988</t>
        </is>
      </c>
      <c r="E304" t="inlineStr">
        <is>
          <t>0                      KF 0547000L  56          1988</t>
        </is>
      </c>
      <c r="F304" t="inlineStr">
        <is>
          <t>A manual on investigating child custody reports / by Mary E. Lindley.</t>
        </is>
      </c>
      <c r="H304" t="inlineStr">
        <is>
          <t>No</t>
        </is>
      </c>
      <c r="I304" t="inlineStr">
        <is>
          <t>1</t>
        </is>
      </c>
      <c r="J304" t="inlineStr">
        <is>
          <t>No</t>
        </is>
      </c>
      <c r="K304" t="inlineStr">
        <is>
          <t>No</t>
        </is>
      </c>
      <c r="L304" t="inlineStr">
        <is>
          <t>0</t>
        </is>
      </c>
      <c r="M304" t="inlineStr">
        <is>
          <t>Lindley, Mary E.</t>
        </is>
      </c>
      <c r="N304" t="inlineStr">
        <is>
          <t>Springfield, Ill., U.S.A. : C.C. Thomas, c1988.</t>
        </is>
      </c>
      <c r="O304" t="inlineStr">
        <is>
          <t>1988</t>
        </is>
      </c>
      <c r="Q304" t="inlineStr">
        <is>
          <t>eng</t>
        </is>
      </c>
      <c r="R304" t="inlineStr">
        <is>
          <t>ilu</t>
        </is>
      </c>
      <c r="T304" t="inlineStr">
        <is>
          <t xml:space="preserve">KF </t>
        </is>
      </c>
      <c r="U304" t="n">
        <v>4</v>
      </c>
      <c r="V304" t="n">
        <v>4</v>
      </c>
      <c r="W304" t="inlineStr">
        <is>
          <t>2004-04-19</t>
        </is>
      </c>
      <c r="X304" t="inlineStr">
        <is>
          <t>2004-04-19</t>
        </is>
      </c>
      <c r="Y304" t="inlineStr">
        <is>
          <t>1995-07-05</t>
        </is>
      </c>
      <c r="Z304" t="inlineStr">
        <is>
          <t>1995-07-05</t>
        </is>
      </c>
      <c r="AA304" t="n">
        <v>210</v>
      </c>
      <c r="AB304" t="n">
        <v>186</v>
      </c>
      <c r="AC304" t="n">
        <v>188</v>
      </c>
      <c r="AD304" t="n">
        <v>3</v>
      </c>
      <c r="AE304" t="n">
        <v>3</v>
      </c>
      <c r="AF304" t="n">
        <v>10</v>
      </c>
      <c r="AG304" t="n">
        <v>10</v>
      </c>
      <c r="AH304" t="n">
        <v>2</v>
      </c>
      <c r="AI304" t="n">
        <v>2</v>
      </c>
      <c r="AJ304" t="n">
        <v>0</v>
      </c>
      <c r="AK304" t="n">
        <v>0</v>
      </c>
      <c r="AL304" t="n">
        <v>4</v>
      </c>
      <c r="AM304" t="n">
        <v>4</v>
      </c>
      <c r="AN304" t="n">
        <v>2</v>
      </c>
      <c r="AO304" t="n">
        <v>2</v>
      </c>
      <c r="AP304" t="n">
        <v>4</v>
      </c>
      <c r="AQ304" t="n">
        <v>4</v>
      </c>
      <c r="AR304" t="inlineStr">
        <is>
          <t>No</t>
        </is>
      </c>
      <c r="AS304" t="inlineStr">
        <is>
          <t>Yes</t>
        </is>
      </c>
      <c r="AT304">
        <f>HYPERLINK("http://catalog.hathitrust.org/Record/001292870","HathiTrust Record")</f>
        <v/>
      </c>
      <c r="AU304">
        <f>HYPERLINK("https://creighton-primo.hosted.exlibrisgroup.com/primo-explore/search?tab=default_tab&amp;search_scope=EVERYTHING&amp;vid=01CRU&amp;lang=en_US&amp;offset=0&amp;query=any,contains,991001255369702656","Catalog Record")</f>
        <v/>
      </c>
      <c r="AV304">
        <f>HYPERLINK("http://www.worldcat.org/oclc/17731090","WorldCat Record")</f>
        <v/>
      </c>
      <c r="AW304" t="inlineStr">
        <is>
          <t>16726223:eng</t>
        </is>
      </c>
      <c r="AX304" t="inlineStr">
        <is>
          <t>17731090</t>
        </is>
      </c>
      <c r="AY304" t="inlineStr">
        <is>
          <t>991001255369702656</t>
        </is>
      </c>
      <c r="AZ304" t="inlineStr">
        <is>
          <t>991001255369702656</t>
        </is>
      </c>
      <c r="BA304" t="inlineStr">
        <is>
          <t>2272252350002656</t>
        </is>
      </c>
      <c r="BB304" t="inlineStr">
        <is>
          <t>BOOK</t>
        </is>
      </c>
      <c r="BD304" t="inlineStr">
        <is>
          <t>9780398054878</t>
        </is>
      </c>
      <c r="BE304" t="inlineStr">
        <is>
          <t>32285002053162</t>
        </is>
      </c>
      <c r="BF304" t="inlineStr">
        <is>
          <t>893522428</t>
        </is>
      </c>
    </row>
    <row r="305">
      <c r="B305" t="inlineStr">
        <is>
          <t>CURAL</t>
        </is>
      </c>
      <c r="C305" t="inlineStr">
        <is>
          <t>SHELVES</t>
        </is>
      </c>
      <c r="D305" t="inlineStr">
        <is>
          <t>KF547 .S26 1983</t>
        </is>
      </c>
      <c r="E305" t="inlineStr">
        <is>
          <t>0                      KF 0547000S  26          1983</t>
        </is>
      </c>
      <c r="F305" t="inlineStr">
        <is>
          <t>Mediating child custody disputes / Donald T. Saposnek.</t>
        </is>
      </c>
      <c r="H305" t="inlineStr">
        <is>
          <t>No</t>
        </is>
      </c>
      <c r="I305" t="inlineStr">
        <is>
          <t>1</t>
        </is>
      </c>
      <c r="J305" t="inlineStr">
        <is>
          <t>No</t>
        </is>
      </c>
      <c r="K305" t="inlineStr">
        <is>
          <t>No</t>
        </is>
      </c>
      <c r="L305" t="inlineStr">
        <is>
          <t>0</t>
        </is>
      </c>
      <c r="M305" t="inlineStr">
        <is>
          <t>Saposnek, Donald T.</t>
        </is>
      </c>
      <c r="N305" t="inlineStr">
        <is>
          <t>San Francisco : Jossey-Bass, 1983.</t>
        </is>
      </c>
      <c r="O305" t="inlineStr">
        <is>
          <t>1983</t>
        </is>
      </c>
      <c r="P305" t="inlineStr">
        <is>
          <t>1st ed.</t>
        </is>
      </c>
      <c r="Q305" t="inlineStr">
        <is>
          <t>eng</t>
        </is>
      </c>
      <c r="R305" t="inlineStr">
        <is>
          <t>cau</t>
        </is>
      </c>
      <c r="S305" t="inlineStr">
        <is>
          <t>The Jossey-Bass social and behavioral science series</t>
        </is>
      </c>
      <c r="T305" t="inlineStr">
        <is>
          <t xml:space="preserve">KF </t>
        </is>
      </c>
      <c r="U305" t="n">
        <v>10</v>
      </c>
      <c r="V305" t="n">
        <v>10</v>
      </c>
      <c r="W305" t="inlineStr">
        <is>
          <t>2004-04-19</t>
        </is>
      </c>
      <c r="X305" t="inlineStr">
        <is>
          <t>2004-04-19</t>
        </is>
      </c>
      <c r="Y305" t="inlineStr">
        <is>
          <t>1990-04-20</t>
        </is>
      </c>
      <c r="Z305" t="inlineStr">
        <is>
          <t>1990-04-20</t>
        </is>
      </c>
      <c r="AA305" t="n">
        <v>496</v>
      </c>
      <c r="AB305" t="n">
        <v>415</v>
      </c>
      <c r="AC305" t="n">
        <v>432</v>
      </c>
      <c r="AD305" t="n">
        <v>3</v>
      </c>
      <c r="AE305" t="n">
        <v>3</v>
      </c>
      <c r="AF305" t="n">
        <v>29</v>
      </c>
      <c r="AG305" t="n">
        <v>31</v>
      </c>
      <c r="AH305" t="n">
        <v>4</v>
      </c>
      <c r="AI305" t="n">
        <v>5</v>
      </c>
      <c r="AJ305" t="n">
        <v>2</v>
      </c>
      <c r="AK305" t="n">
        <v>3</v>
      </c>
      <c r="AL305" t="n">
        <v>7</v>
      </c>
      <c r="AM305" t="n">
        <v>7</v>
      </c>
      <c r="AN305" t="n">
        <v>1</v>
      </c>
      <c r="AO305" t="n">
        <v>1</v>
      </c>
      <c r="AP305" t="n">
        <v>17</v>
      </c>
      <c r="AQ305" t="n">
        <v>17</v>
      </c>
      <c r="AR305" t="inlineStr">
        <is>
          <t>No</t>
        </is>
      </c>
      <c r="AS305" t="inlineStr">
        <is>
          <t>Yes</t>
        </is>
      </c>
      <c r="AT305">
        <f>HYPERLINK("http://catalog.hathitrust.org/Record/002605526","HathiTrust Record")</f>
        <v/>
      </c>
      <c r="AU305">
        <f>HYPERLINK("https://creighton-primo.hosted.exlibrisgroup.com/primo-explore/search?tab=default_tab&amp;search_scope=EVERYTHING&amp;vid=01CRU&amp;lang=en_US&amp;offset=0&amp;query=any,contains,991000265779702656","Catalog Record")</f>
        <v/>
      </c>
      <c r="AV305">
        <f>HYPERLINK("http://www.worldcat.org/oclc/9829581","WorldCat Record")</f>
        <v/>
      </c>
      <c r="AW305" t="inlineStr">
        <is>
          <t>36498508:eng</t>
        </is>
      </c>
      <c r="AX305" t="inlineStr">
        <is>
          <t>9829581</t>
        </is>
      </c>
      <c r="AY305" t="inlineStr">
        <is>
          <t>991000265779702656</t>
        </is>
      </c>
      <c r="AZ305" t="inlineStr">
        <is>
          <t>991000265779702656</t>
        </is>
      </c>
      <c r="BA305" t="inlineStr">
        <is>
          <t>2269999980002656</t>
        </is>
      </c>
      <c r="BB305" t="inlineStr">
        <is>
          <t>BOOK</t>
        </is>
      </c>
      <c r="BD305" t="inlineStr">
        <is>
          <t>9780875895826</t>
        </is>
      </c>
      <c r="BE305" t="inlineStr">
        <is>
          <t>32285000124288</t>
        </is>
      </c>
      <c r="BF305" t="inlineStr">
        <is>
          <t>893714461</t>
        </is>
      </c>
    </row>
    <row r="306">
      <c r="B306" t="inlineStr">
        <is>
          <t>CURAL</t>
        </is>
      </c>
      <c r="C306" t="inlineStr">
        <is>
          <t>SHELVES</t>
        </is>
      </c>
      <c r="D306" t="inlineStr">
        <is>
          <t>KF5640 .L86</t>
        </is>
      </c>
      <c r="E306" t="inlineStr">
        <is>
          <t>0                      KF 5640000L  86</t>
        </is>
      </c>
      <c r="F306" t="inlineStr">
        <is>
          <t>American wildlife law / Thomas A. Lund.</t>
        </is>
      </c>
      <c r="H306" t="inlineStr">
        <is>
          <t>No</t>
        </is>
      </c>
      <c r="I306" t="inlineStr">
        <is>
          <t>1</t>
        </is>
      </c>
      <c r="J306" t="inlineStr">
        <is>
          <t>Yes</t>
        </is>
      </c>
      <c r="K306" t="inlineStr">
        <is>
          <t>No</t>
        </is>
      </c>
      <c r="L306" t="inlineStr">
        <is>
          <t>0</t>
        </is>
      </c>
      <c r="M306" t="inlineStr">
        <is>
          <t>Lund, Thomas Alan, 1942-</t>
        </is>
      </c>
      <c r="N306" t="inlineStr">
        <is>
          <t>Berkeley : University of California Press, c1980.</t>
        </is>
      </c>
      <c r="O306" t="inlineStr">
        <is>
          <t>1980</t>
        </is>
      </c>
      <c r="Q306" t="inlineStr">
        <is>
          <t>eng</t>
        </is>
      </c>
      <c r="R306" t="inlineStr">
        <is>
          <t>cau</t>
        </is>
      </c>
      <c r="T306" t="inlineStr">
        <is>
          <t xml:space="preserve">KF </t>
        </is>
      </c>
      <c r="U306" t="n">
        <v>5</v>
      </c>
      <c r="V306" t="n">
        <v>5</v>
      </c>
      <c r="W306" t="inlineStr">
        <is>
          <t>2006-03-08</t>
        </is>
      </c>
      <c r="X306" t="inlineStr">
        <is>
          <t>2006-03-08</t>
        </is>
      </c>
      <c r="Y306" t="inlineStr">
        <is>
          <t>1992-07-07</t>
        </is>
      </c>
      <c r="Z306" t="inlineStr">
        <is>
          <t>1992-07-07</t>
        </is>
      </c>
      <c r="AA306" t="n">
        <v>487</v>
      </c>
      <c r="AB306" t="n">
        <v>437</v>
      </c>
      <c r="AC306" t="n">
        <v>443</v>
      </c>
      <c r="AD306" t="n">
        <v>3</v>
      </c>
      <c r="AE306" t="n">
        <v>3</v>
      </c>
      <c r="AF306" t="n">
        <v>25</v>
      </c>
      <c r="AG306" t="n">
        <v>25</v>
      </c>
      <c r="AH306" t="n">
        <v>2</v>
      </c>
      <c r="AI306" t="n">
        <v>2</v>
      </c>
      <c r="AJ306" t="n">
        <v>1</v>
      </c>
      <c r="AK306" t="n">
        <v>1</v>
      </c>
      <c r="AL306" t="n">
        <v>2</v>
      </c>
      <c r="AM306" t="n">
        <v>2</v>
      </c>
      <c r="AN306" t="n">
        <v>1</v>
      </c>
      <c r="AO306" t="n">
        <v>1</v>
      </c>
      <c r="AP306" t="n">
        <v>19</v>
      </c>
      <c r="AQ306" t="n">
        <v>19</v>
      </c>
      <c r="AR306" t="inlineStr">
        <is>
          <t>No</t>
        </is>
      </c>
      <c r="AS306" t="inlineStr">
        <is>
          <t>No</t>
        </is>
      </c>
      <c r="AU306">
        <f>HYPERLINK("https://creighton-primo.hosted.exlibrisgroup.com/primo-explore/search?tab=default_tab&amp;search_scope=EVERYTHING&amp;vid=01CRU&amp;lang=en_US&amp;offset=0&amp;query=any,contains,991001812209702656","Catalog Record")</f>
        <v/>
      </c>
      <c r="AV306">
        <f>HYPERLINK("http://www.worldcat.org/oclc/5676315","WorldCat Record")</f>
        <v/>
      </c>
      <c r="AW306" t="inlineStr">
        <is>
          <t>501982:eng</t>
        </is>
      </c>
      <c r="AX306" t="inlineStr">
        <is>
          <t>5676315</t>
        </is>
      </c>
      <c r="AY306" t="inlineStr">
        <is>
          <t>991001812209702656</t>
        </is>
      </c>
      <c r="AZ306" t="inlineStr">
        <is>
          <t>991001812209702656</t>
        </is>
      </c>
      <c r="BA306" t="inlineStr">
        <is>
          <t>2259946950002656</t>
        </is>
      </c>
      <c r="BB306" t="inlineStr">
        <is>
          <t>BOOK</t>
        </is>
      </c>
      <c r="BD306" t="inlineStr">
        <is>
          <t>9780520038837</t>
        </is>
      </c>
      <c r="BE306" t="inlineStr">
        <is>
          <t>32285001178614</t>
        </is>
      </c>
      <c r="BF306" t="inlineStr">
        <is>
          <t>893444817</t>
        </is>
      </c>
    </row>
    <row r="307">
      <c r="B307" t="inlineStr">
        <is>
          <t>CURAL</t>
        </is>
      </c>
      <c r="C307" t="inlineStr">
        <is>
          <t>SHELVES</t>
        </is>
      </c>
      <c r="D307" t="inlineStr">
        <is>
          <t>KF5660 .W38</t>
        </is>
      </c>
      <c r="E307" t="inlineStr">
        <is>
          <t>0                      KF 5660000W  38</t>
        </is>
      </c>
      <c r="F307" t="inlineStr">
        <is>
          <t>The assault on Indian tribalism : the General allotment law (Dawes act) of 1887 / Wilcomb E. Washburn.</t>
        </is>
      </c>
      <c r="H307" t="inlineStr">
        <is>
          <t>No</t>
        </is>
      </c>
      <c r="I307" t="inlineStr">
        <is>
          <t>1</t>
        </is>
      </c>
      <c r="J307" t="inlineStr">
        <is>
          <t>No</t>
        </is>
      </c>
      <c r="K307" t="inlineStr">
        <is>
          <t>No</t>
        </is>
      </c>
      <c r="L307" t="inlineStr">
        <is>
          <t>0</t>
        </is>
      </c>
      <c r="M307" t="inlineStr">
        <is>
          <t>Washburn, Wilcomb E.</t>
        </is>
      </c>
      <c r="N307" t="inlineStr">
        <is>
          <t>Philadelphia : Lippincott, [1975]</t>
        </is>
      </c>
      <c r="O307" t="inlineStr">
        <is>
          <t>1975</t>
        </is>
      </c>
      <c r="Q307" t="inlineStr">
        <is>
          <t>eng</t>
        </is>
      </c>
      <c r="R307" t="inlineStr">
        <is>
          <t>pau</t>
        </is>
      </c>
      <c r="S307" t="inlineStr">
        <is>
          <t>The America's alternatives series</t>
        </is>
      </c>
      <c r="T307" t="inlineStr">
        <is>
          <t xml:space="preserve">KF </t>
        </is>
      </c>
      <c r="U307" t="n">
        <v>4</v>
      </c>
      <c r="V307" t="n">
        <v>4</v>
      </c>
      <c r="W307" t="inlineStr">
        <is>
          <t>2009-02-05</t>
        </is>
      </c>
      <c r="X307" t="inlineStr">
        <is>
          <t>2009-02-05</t>
        </is>
      </c>
      <c r="Y307" t="inlineStr">
        <is>
          <t>1997-04-17</t>
        </is>
      </c>
      <c r="Z307" t="inlineStr">
        <is>
          <t>1997-04-17</t>
        </is>
      </c>
      <c r="AA307" t="n">
        <v>469</v>
      </c>
      <c r="AB307" t="n">
        <v>435</v>
      </c>
      <c r="AC307" t="n">
        <v>500</v>
      </c>
      <c r="AD307" t="n">
        <v>8</v>
      </c>
      <c r="AE307" t="n">
        <v>9</v>
      </c>
      <c r="AF307" t="n">
        <v>20</v>
      </c>
      <c r="AG307" t="n">
        <v>21</v>
      </c>
      <c r="AH307" t="n">
        <v>6</v>
      </c>
      <c r="AI307" t="n">
        <v>6</v>
      </c>
      <c r="AJ307" t="n">
        <v>5</v>
      </c>
      <c r="AK307" t="n">
        <v>5</v>
      </c>
      <c r="AL307" t="n">
        <v>8</v>
      </c>
      <c r="AM307" t="n">
        <v>8</v>
      </c>
      <c r="AN307" t="n">
        <v>5</v>
      </c>
      <c r="AO307" t="n">
        <v>5</v>
      </c>
      <c r="AP307" t="n">
        <v>2</v>
      </c>
      <c r="AQ307" t="n">
        <v>3</v>
      </c>
      <c r="AR307" t="inlineStr">
        <is>
          <t>No</t>
        </is>
      </c>
      <c r="AS307" t="inlineStr">
        <is>
          <t>Yes</t>
        </is>
      </c>
      <c r="AT307">
        <f>HYPERLINK("http://catalog.hathitrust.org/Record/000030190","HathiTrust Record")</f>
        <v/>
      </c>
      <c r="AU307">
        <f>HYPERLINK("https://creighton-primo.hosted.exlibrisgroup.com/primo-explore/search?tab=default_tab&amp;search_scope=EVERYTHING&amp;vid=01CRU&amp;lang=en_US&amp;offset=0&amp;query=any,contains,991003530579702656","Catalog Record")</f>
        <v/>
      </c>
      <c r="AV307">
        <f>HYPERLINK("http://www.worldcat.org/oclc/1093476","WorldCat Record")</f>
        <v/>
      </c>
      <c r="AW307" t="inlineStr">
        <is>
          <t>906882640:eng</t>
        </is>
      </c>
      <c r="AX307" t="inlineStr">
        <is>
          <t>1093476</t>
        </is>
      </c>
      <c r="AY307" t="inlineStr">
        <is>
          <t>991003530579702656</t>
        </is>
      </c>
      <c r="AZ307" t="inlineStr">
        <is>
          <t>991003530579702656</t>
        </is>
      </c>
      <c r="BA307" t="inlineStr">
        <is>
          <t>2264780700002656</t>
        </is>
      </c>
      <c r="BB307" t="inlineStr">
        <is>
          <t>BOOK</t>
        </is>
      </c>
      <c r="BD307" t="inlineStr">
        <is>
          <t>9780397473373</t>
        </is>
      </c>
      <c r="BE307" t="inlineStr">
        <is>
          <t>32285005503171</t>
        </is>
      </c>
      <c r="BF307" t="inlineStr">
        <is>
          <t>893623585</t>
        </is>
      </c>
    </row>
    <row r="308">
      <c r="B308" t="inlineStr">
        <is>
          <t>CURAL</t>
        </is>
      </c>
      <c r="C308" t="inlineStr">
        <is>
          <t>SHELVES</t>
        </is>
      </c>
      <c r="D308" t="inlineStr">
        <is>
          <t>KF5698 .B32</t>
        </is>
      </c>
      <c r="E308" t="inlineStr">
        <is>
          <t>0                      KF 5698000B  32</t>
        </is>
      </c>
      <c r="F308" t="inlineStr">
        <is>
          <t>The zoning game; municipal practices and policies [by] Richard F. Babcock.</t>
        </is>
      </c>
      <c r="H308" t="inlineStr">
        <is>
          <t>No</t>
        </is>
      </c>
      <c r="I308" t="inlineStr">
        <is>
          <t>1</t>
        </is>
      </c>
      <c r="J308" t="inlineStr">
        <is>
          <t>Yes</t>
        </is>
      </c>
      <c r="K308" t="inlineStr">
        <is>
          <t>No</t>
        </is>
      </c>
      <c r="L308" t="inlineStr">
        <is>
          <t>0</t>
        </is>
      </c>
      <c r="M308" t="inlineStr">
        <is>
          <t>Babcock, Richard F.</t>
        </is>
      </c>
      <c r="N308" t="inlineStr">
        <is>
          <t>Madison, University of Wisconsin Press, 1966.</t>
        </is>
      </c>
      <c r="O308" t="inlineStr">
        <is>
          <t>1966</t>
        </is>
      </c>
      <c r="Q308" t="inlineStr">
        <is>
          <t>eng</t>
        </is>
      </c>
      <c r="R308" t="inlineStr">
        <is>
          <t>wiu</t>
        </is>
      </c>
      <c r="T308" t="inlineStr">
        <is>
          <t xml:space="preserve">KF </t>
        </is>
      </c>
      <c r="U308" t="n">
        <v>1</v>
      </c>
      <c r="V308" t="n">
        <v>3</v>
      </c>
      <c r="W308" t="inlineStr">
        <is>
          <t>1997-07-17</t>
        </is>
      </c>
      <c r="X308" t="inlineStr">
        <is>
          <t>1997-07-17</t>
        </is>
      </c>
      <c r="Y308" t="inlineStr">
        <is>
          <t>1997-04-21</t>
        </is>
      </c>
      <c r="Z308" t="inlineStr">
        <is>
          <t>1997-04-21</t>
        </is>
      </c>
      <c r="AA308" t="n">
        <v>906</v>
      </c>
      <c r="AB308" t="n">
        <v>792</v>
      </c>
      <c r="AC308" t="n">
        <v>816</v>
      </c>
      <c r="AD308" t="n">
        <v>7</v>
      </c>
      <c r="AE308" t="n">
        <v>7</v>
      </c>
      <c r="AF308" t="n">
        <v>43</v>
      </c>
      <c r="AG308" t="n">
        <v>45</v>
      </c>
      <c r="AH308" t="n">
        <v>7</v>
      </c>
      <c r="AI308" t="n">
        <v>8</v>
      </c>
      <c r="AJ308" t="n">
        <v>6</v>
      </c>
      <c r="AK308" t="n">
        <v>6</v>
      </c>
      <c r="AL308" t="n">
        <v>12</v>
      </c>
      <c r="AM308" t="n">
        <v>14</v>
      </c>
      <c r="AN308" t="n">
        <v>4</v>
      </c>
      <c r="AO308" t="n">
        <v>4</v>
      </c>
      <c r="AP308" t="n">
        <v>21</v>
      </c>
      <c r="AQ308" t="n">
        <v>21</v>
      </c>
      <c r="AR308" t="inlineStr">
        <is>
          <t>No</t>
        </is>
      </c>
      <c r="AS308" t="inlineStr">
        <is>
          <t>Yes</t>
        </is>
      </c>
      <c r="AT308">
        <f>HYPERLINK("http://catalog.hathitrust.org/Record/000341803","HathiTrust Record")</f>
        <v/>
      </c>
      <c r="AU308">
        <f>HYPERLINK("https://creighton-primo.hosted.exlibrisgroup.com/primo-explore/search?tab=default_tab&amp;search_scope=EVERYTHING&amp;vid=01CRU&amp;lang=en_US&amp;offset=0&amp;query=any,contains,991001672759702656","Catalog Record")</f>
        <v/>
      </c>
      <c r="AV308">
        <f>HYPERLINK("http://www.worldcat.org/oclc/712153","WorldCat Record")</f>
        <v/>
      </c>
      <c r="AW308" t="inlineStr">
        <is>
          <t>1663259:eng</t>
        </is>
      </c>
      <c r="AX308" t="inlineStr">
        <is>
          <t>712153</t>
        </is>
      </c>
      <c r="AY308" t="inlineStr">
        <is>
          <t>991001672759702656</t>
        </is>
      </c>
      <c r="AZ308" t="inlineStr">
        <is>
          <t>991001672759702656</t>
        </is>
      </c>
      <c r="BA308" t="inlineStr">
        <is>
          <t>2256733140002656</t>
        </is>
      </c>
      <c r="BB308" t="inlineStr">
        <is>
          <t>BOOK</t>
        </is>
      </c>
      <c r="BE308" t="inlineStr">
        <is>
          <t>32285002559317</t>
        </is>
      </c>
      <c r="BF308" t="inlineStr">
        <is>
          <t>893328284</t>
        </is>
      </c>
    </row>
    <row r="309">
      <c r="B309" t="inlineStr">
        <is>
          <t>CURAL</t>
        </is>
      </c>
      <c r="C309" t="inlineStr">
        <is>
          <t>SHELVES</t>
        </is>
      </c>
      <c r="D309" t="inlineStr">
        <is>
          <t>KF5698 .B337</t>
        </is>
      </c>
      <c r="E309" t="inlineStr">
        <is>
          <t>0                      KF 5698000B  337</t>
        </is>
      </c>
      <c r="F309" t="inlineStr">
        <is>
          <t>Environmental law and the siting of facilities : issues in land use and coastal zone management / Michael S. Baram, with contributions by Timothy Backstrom ... [et al.].</t>
        </is>
      </c>
      <c r="H309" t="inlineStr">
        <is>
          <t>No</t>
        </is>
      </c>
      <c r="I309" t="inlineStr">
        <is>
          <t>1</t>
        </is>
      </c>
      <c r="J309" t="inlineStr">
        <is>
          <t>No</t>
        </is>
      </c>
      <c r="K309" t="inlineStr">
        <is>
          <t>No</t>
        </is>
      </c>
      <c r="L309" t="inlineStr">
        <is>
          <t>0</t>
        </is>
      </c>
      <c r="M309" t="inlineStr">
        <is>
          <t>Baram, Michael S.</t>
        </is>
      </c>
      <c r="N309" t="inlineStr">
        <is>
          <t>Cambridge, Mass. : Ballinger Pub. Co., c1976.</t>
        </is>
      </c>
      <c r="O309" t="inlineStr">
        <is>
          <t>1976</t>
        </is>
      </c>
      <c r="Q309" t="inlineStr">
        <is>
          <t>eng</t>
        </is>
      </c>
      <c r="R309" t="inlineStr">
        <is>
          <t>mau</t>
        </is>
      </c>
      <c r="T309" t="inlineStr">
        <is>
          <t xml:space="preserve">KF </t>
        </is>
      </c>
      <c r="U309" t="n">
        <v>1</v>
      </c>
      <c r="V309" t="n">
        <v>1</v>
      </c>
      <c r="W309" t="inlineStr">
        <is>
          <t>1997-07-17</t>
        </is>
      </c>
      <c r="X309" t="inlineStr">
        <is>
          <t>1997-07-17</t>
        </is>
      </c>
      <c r="Y309" t="inlineStr">
        <is>
          <t>1997-04-21</t>
        </is>
      </c>
      <c r="Z309" t="inlineStr">
        <is>
          <t>1997-04-21</t>
        </is>
      </c>
      <c r="AA309" t="n">
        <v>407</v>
      </c>
      <c r="AB309" t="n">
        <v>341</v>
      </c>
      <c r="AC309" t="n">
        <v>343</v>
      </c>
      <c r="AD309" t="n">
        <v>3</v>
      </c>
      <c r="AE309" t="n">
        <v>3</v>
      </c>
      <c r="AF309" t="n">
        <v>20</v>
      </c>
      <c r="AG309" t="n">
        <v>20</v>
      </c>
      <c r="AH309" t="n">
        <v>0</v>
      </c>
      <c r="AI309" t="n">
        <v>0</v>
      </c>
      <c r="AJ309" t="n">
        <v>1</v>
      </c>
      <c r="AK309" t="n">
        <v>1</v>
      </c>
      <c r="AL309" t="n">
        <v>3</v>
      </c>
      <c r="AM309" t="n">
        <v>3</v>
      </c>
      <c r="AN309" t="n">
        <v>2</v>
      </c>
      <c r="AO309" t="n">
        <v>2</v>
      </c>
      <c r="AP309" t="n">
        <v>14</v>
      </c>
      <c r="AQ309" t="n">
        <v>14</v>
      </c>
      <c r="AR309" t="inlineStr">
        <is>
          <t>No</t>
        </is>
      </c>
      <c r="AS309" t="inlineStr">
        <is>
          <t>Yes</t>
        </is>
      </c>
      <c r="AT309">
        <f>HYPERLINK("http://catalog.hathitrust.org/Record/000711237","HathiTrust Record")</f>
        <v/>
      </c>
      <c r="AU309">
        <f>HYPERLINK("https://creighton-primo.hosted.exlibrisgroup.com/primo-explore/search?tab=default_tab&amp;search_scope=EVERYTHING&amp;vid=01CRU&amp;lang=en_US&amp;offset=0&amp;query=any,contains,991003982659702656","Catalog Record")</f>
        <v/>
      </c>
      <c r="AV309">
        <f>HYPERLINK("http://www.worldcat.org/oclc/2020770","WorldCat Record")</f>
        <v/>
      </c>
      <c r="AW309" t="inlineStr">
        <is>
          <t>228000823:eng</t>
        </is>
      </c>
      <c r="AX309" t="inlineStr">
        <is>
          <t>2020770</t>
        </is>
      </c>
      <c r="AY309" t="inlineStr">
        <is>
          <t>991003982659702656</t>
        </is>
      </c>
      <c r="AZ309" t="inlineStr">
        <is>
          <t>991003982659702656</t>
        </is>
      </c>
      <c r="BA309" t="inlineStr">
        <is>
          <t>2271463150002656</t>
        </is>
      </c>
      <c r="BB309" t="inlineStr">
        <is>
          <t>BOOK</t>
        </is>
      </c>
      <c r="BD309" t="inlineStr">
        <is>
          <t>9780884104179</t>
        </is>
      </c>
      <c r="BE309" t="inlineStr">
        <is>
          <t>32285002559325</t>
        </is>
      </c>
      <c r="BF309" t="inlineStr">
        <is>
          <t>893875543</t>
        </is>
      </c>
    </row>
    <row r="310">
      <c r="B310" t="inlineStr">
        <is>
          <t>CURAL</t>
        </is>
      </c>
      <c r="C310" t="inlineStr">
        <is>
          <t>SHELVES</t>
        </is>
      </c>
      <c r="D310" t="inlineStr">
        <is>
          <t>KF5698 .P66</t>
        </is>
      </c>
      <c r="E310" t="inlineStr">
        <is>
          <t>0                      KF 5698000P  66</t>
        </is>
      </c>
      <c r="F310" t="inlineStr">
        <is>
          <t>The politics of land-use reform / Frank J. Popper.</t>
        </is>
      </c>
      <c r="H310" t="inlineStr">
        <is>
          <t>No</t>
        </is>
      </c>
      <c r="I310" t="inlineStr">
        <is>
          <t>1</t>
        </is>
      </c>
      <c r="J310" t="inlineStr">
        <is>
          <t>No</t>
        </is>
      </c>
      <c r="K310" t="inlineStr">
        <is>
          <t>No</t>
        </is>
      </c>
      <c r="L310" t="inlineStr">
        <is>
          <t>0</t>
        </is>
      </c>
      <c r="M310" t="inlineStr">
        <is>
          <t>Popper, Frank, 1944-</t>
        </is>
      </c>
      <c r="N310" t="inlineStr">
        <is>
          <t>Madison, Wis. : University of Wisconsin Press, 1981.</t>
        </is>
      </c>
      <c r="O310" t="inlineStr">
        <is>
          <t>1981</t>
        </is>
      </c>
      <c r="Q310" t="inlineStr">
        <is>
          <t>eng</t>
        </is>
      </c>
      <c r="R310" t="inlineStr">
        <is>
          <t>wiu</t>
        </is>
      </c>
      <c r="T310" t="inlineStr">
        <is>
          <t xml:space="preserve">KF </t>
        </is>
      </c>
      <c r="U310" t="n">
        <v>4</v>
      </c>
      <c r="V310" t="n">
        <v>4</v>
      </c>
      <c r="W310" t="inlineStr">
        <is>
          <t>2000-09-18</t>
        </is>
      </c>
      <c r="X310" t="inlineStr">
        <is>
          <t>2000-09-18</t>
        </is>
      </c>
      <c r="Y310" t="inlineStr">
        <is>
          <t>1992-07-07</t>
        </is>
      </c>
      <c r="Z310" t="inlineStr">
        <is>
          <t>1992-07-07</t>
        </is>
      </c>
      <c r="AA310" t="n">
        <v>570</v>
      </c>
      <c r="AB310" t="n">
        <v>512</v>
      </c>
      <c r="AC310" t="n">
        <v>518</v>
      </c>
      <c r="AD310" t="n">
        <v>4</v>
      </c>
      <c r="AE310" t="n">
        <v>4</v>
      </c>
      <c r="AF310" t="n">
        <v>31</v>
      </c>
      <c r="AG310" t="n">
        <v>31</v>
      </c>
      <c r="AH310" t="n">
        <v>7</v>
      </c>
      <c r="AI310" t="n">
        <v>7</v>
      </c>
      <c r="AJ310" t="n">
        <v>5</v>
      </c>
      <c r="AK310" t="n">
        <v>5</v>
      </c>
      <c r="AL310" t="n">
        <v>9</v>
      </c>
      <c r="AM310" t="n">
        <v>9</v>
      </c>
      <c r="AN310" t="n">
        <v>3</v>
      </c>
      <c r="AO310" t="n">
        <v>3</v>
      </c>
      <c r="AP310" t="n">
        <v>12</v>
      </c>
      <c r="AQ310" t="n">
        <v>12</v>
      </c>
      <c r="AR310" t="inlineStr">
        <is>
          <t>No</t>
        </is>
      </c>
      <c r="AS310" t="inlineStr">
        <is>
          <t>Yes</t>
        </is>
      </c>
      <c r="AT310">
        <f>HYPERLINK("http://catalog.hathitrust.org/Record/000103635","HathiTrust Record")</f>
        <v/>
      </c>
      <c r="AU310">
        <f>HYPERLINK("https://creighton-primo.hosted.exlibrisgroup.com/primo-explore/search?tab=default_tab&amp;search_scope=EVERYTHING&amp;vid=01CRU&amp;lang=en_US&amp;offset=0&amp;query=any,contains,991005036859702656","Catalog Record")</f>
        <v/>
      </c>
      <c r="AV310">
        <f>HYPERLINK("http://www.worldcat.org/oclc/6762322","WorldCat Record")</f>
        <v/>
      </c>
      <c r="AW310" t="inlineStr">
        <is>
          <t>434520:eng</t>
        </is>
      </c>
      <c r="AX310" t="inlineStr">
        <is>
          <t>6762322</t>
        </is>
      </c>
      <c r="AY310" t="inlineStr">
        <is>
          <t>991005036859702656</t>
        </is>
      </c>
      <c r="AZ310" t="inlineStr">
        <is>
          <t>991005036859702656</t>
        </is>
      </c>
      <c r="BA310" t="inlineStr">
        <is>
          <t>2262953850002656</t>
        </is>
      </c>
      <c r="BB310" t="inlineStr">
        <is>
          <t>BOOK</t>
        </is>
      </c>
      <c r="BD310" t="inlineStr">
        <is>
          <t>9780299085308</t>
        </is>
      </c>
      <c r="BE310" t="inlineStr">
        <is>
          <t>32285001178630</t>
        </is>
      </c>
      <c r="BF310" t="inlineStr">
        <is>
          <t>893520323</t>
        </is>
      </c>
    </row>
    <row r="311">
      <c r="B311" t="inlineStr">
        <is>
          <t>CURAL</t>
        </is>
      </c>
      <c r="C311" t="inlineStr">
        <is>
          <t>SHELVES</t>
        </is>
      </c>
      <c r="D311" t="inlineStr">
        <is>
          <t>KF5753 .S75</t>
        </is>
      </c>
      <c r="E311" t="inlineStr">
        <is>
          <t>0                      KF 5753000S  75</t>
        </is>
      </c>
      <c r="F311" t="inlineStr">
        <is>
          <t>The information establishment : our government and the media / by Charles S. Steinberg.</t>
        </is>
      </c>
      <c r="H311" t="inlineStr">
        <is>
          <t>No</t>
        </is>
      </c>
      <c r="I311" t="inlineStr">
        <is>
          <t>1</t>
        </is>
      </c>
      <c r="J311" t="inlineStr">
        <is>
          <t>No</t>
        </is>
      </c>
      <c r="K311" t="inlineStr">
        <is>
          <t>No</t>
        </is>
      </c>
      <c r="L311" t="inlineStr">
        <is>
          <t>0</t>
        </is>
      </c>
      <c r="M311" t="inlineStr">
        <is>
          <t>Steinberg, Charles S. (Charles Side), 1913-1978.</t>
        </is>
      </c>
      <c r="N311" t="inlineStr">
        <is>
          <t>New York : Hastings House, c1980.</t>
        </is>
      </c>
      <c r="O311" t="inlineStr">
        <is>
          <t>1979</t>
        </is>
      </c>
      <c r="Q311" t="inlineStr">
        <is>
          <t>eng</t>
        </is>
      </c>
      <c r="R311" t="inlineStr">
        <is>
          <t>nyu</t>
        </is>
      </c>
      <c r="S311" t="inlineStr">
        <is>
          <t>Communication arts books</t>
        </is>
      </c>
      <c r="T311" t="inlineStr">
        <is>
          <t xml:space="preserve">KF </t>
        </is>
      </c>
      <c r="U311" t="n">
        <v>2</v>
      </c>
      <c r="V311" t="n">
        <v>2</v>
      </c>
      <c r="W311" t="inlineStr">
        <is>
          <t>1994-04-10</t>
        </is>
      </c>
      <c r="X311" t="inlineStr">
        <is>
          <t>1994-04-10</t>
        </is>
      </c>
      <c r="Y311" t="inlineStr">
        <is>
          <t>1992-03-20</t>
        </is>
      </c>
      <c r="Z311" t="inlineStr">
        <is>
          <t>1992-03-20</t>
        </is>
      </c>
      <c r="AA311" t="n">
        <v>360</v>
      </c>
      <c r="AB311" t="n">
        <v>330</v>
      </c>
      <c r="AC311" t="n">
        <v>346</v>
      </c>
      <c r="AD311" t="n">
        <v>4</v>
      </c>
      <c r="AE311" t="n">
        <v>4</v>
      </c>
      <c r="AF311" t="n">
        <v>21</v>
      </c>
      <c r="AG311" t="n">
        <v>21</v>
      </c>
      <c r="AH311" t="n">
        <v>6</v>
      </c>
      <c r="AI311" t="n">
        <v>6</v>
      </c>
      <c r="AJ311" t="n">
        <v>1</v>
      </c>
      <c r="AK311" t="n">
        <v>1</v>
      </c>
      <c r="AL311" t="n">
        <v>9</v>
      </c>
      <c r="AM311" t="n">
        <v>9</v>
      </c>
      <c r="AN311" t="n">
        <v>3</v>
      </c>
      <c r="AO311" t="n">
        <v>3</v>
      </c>
      <c r="AP311" t="n">
        <v>5</v>
      </c>
      <c r="AQ311" t="n">
        <v>5</v>
      </c>
      <c r="AR311" t="inlineStr">
        <is>
          <t>No</t>
        </is>
      </c>
      <c r="AS311" t="inlineStr">
        <is>
          <t>Yes</t>
        </is>
      </c>
      <c r="AT311">
        <f>HYPERLINK("http://catalog.hathitrust.org/Record/000715940","HathiTrust Record")</f>
        <v/>
      </c>
      <c r="AU311">
        <f>HYPERLINK("https://creighton-primo.hosted.exlibrisgroup.com/primo-explore/search?tab=default_tab&amp;search_scope=EVERYTHING&amp;vid=01CRU&amp;lang=en_US&amp;offset=0&amp;query=any,contains,991004783089702656","Catalog Record")</f>
        <v/>
      </c>
      <c r="AV311">
        <f>HYPERLINK("http://www.worldcat.org/oclc/5126193","WorldCat Record")</f>
        <v/>
      </c>
      <c r="AW311" t="inlineStr">
        <is>
          <t>16531830:eng</t>
        </is>
      </c>
      <c r="AX311" t="inlineStr">
        <is>
          <t>5126193</t>
        </is>
      </c>
      <c r="AY311" t="inlineStr">
        <is>
          <t>991004783089702656</t>
        </is>
      </c>
      <c r="AZ311" t="inlineStr">
        <is>
          <t>991004783089702656</t>
        </is>
      </c>
      <c r="BA311" t="inlineStr">
        <is>
          <t>2267882380002656</t>
        </is>
      </c>
      <c r="BB311" t="inlineStr">
        <is>
          <t>BOOK</t>
        </is>
      </c>
      <c r="BD311" t="inlineStr">
        <is>
          <t>9780803834248</t>
        </is>
      </c>
      <c r="BE311" t="inlineStr">
        <is>
          <t>32285001024800</t>
        </is>
      </c>
      <c r="BF311" t="inlineStr">
        <is>
          <t>893895479</t>
        </is>
      </c>
    </row>
    <row r="312">
      <c r="B312" t="inlineStr">
        <is>
          <t>CURAL</t>
        </is>
      </c>
      <c r="C312" t="inlineStr">
        <is>
          <t>SHELVES</t>
        </is>
      </c>
      <c r="D312" t="inlineStr">
        <is>
          <t>KF5753.Z9 G68</t>
        </is>
      </c>
      <c r="E312" t="inlineStr">
        <is>
          <t>0                      KF 5753000Z  9                  G  68</t>
        </is>
      </c>
      <c r="F312" t="inlineStr">
        <is>
          <t>Government information : Freedom of information act, Sunshine act, Privacy act / Alan B. Levenson, Harvey L. Pitt, cochairmen.</t>
        </is>
      </c>
      <c r="H312" t="inlineStr">
        <is>
          <t>No</t>
        </is>
      </c>
      <c r="I312" t="inlineStr">
        <is>
          <t>1</t>
        </is>
      </c>
      <c r="J312" t="inlineStr">
        <is>
          <t>No</t>
        </is>
      </c>
      <c r="K312" t="inlineStr">
        <is>
          <t>No</t>
        </is>
      </c>
      <c r="L312" t="inlineStr">
        <is>
          <t>0</t>
        </is>
      </c>
      <c r="N312" t="inlineStr">
        <is>
          <t>New York : Practising Law Institute, c1978.</t>
        </is>
      </c>
      <c r="O312" t="inlineStr">
        <is>
          <t>1978</t>
        </is>
      </c>
      <c r="Q312" t="inlineStr">
        <is>
          <t>eng</t>
        </is>
      </c>
      <c r="R312" t="inlineStr">
        <is>
          <t>nyu</t>
        </is>
      </c>
      <c r="S312" t="inlineStr">
        <is>
          <t>Corporate law and practice course handbook series ; no. 261</t>
        </is>
      </c>
      <c r="T312" t="inlineStr">
        <is>
          <t xml:space="preserve">KF </t>
        </is>
      </c>
      <c r="U312" t="n">
        <v>2</v>
      </c>
      <c r="V312" t="n">
        <v>2</v>
      </c>
      <c r="W312" t="inlineStr">
        <is>
          <t>1992-02-21</t>
        </is>
      </c>
      <c r="X312" t="inlineStr">
        <is>
          <t>1992-02-21</t>
        </is>
      </c>
      <c r="Y312" t="inlineStr">
        <is>
          <t>1992-02-12</t>
        </is>
      </c>
      <c r="Z312" t="inlineStr">
        <is>
          <t>1992-02-12</t>
        </is>
      </c>
      <c r="AA312" t="n">
        <v>148</v>
      </c>
      <c r="AB312" t="n">
        <v>126</v>
      </c>
      <c r="AC312" t="n">
        <v>126</v>
      </c>
      <c r="AD312" t="n">
        <v>3</v>
      </c>
      <c r="AE312" t="n">
        <v>3</v>
      </c>
      <c r="AF312" t="n">
        <v>11</v>
      </c>
      <c r="AG312" t="n">
        <v>11</v>
      </c>
      <c r="AH312" t="n">
        <v>1</v>
      </c>
      <c r="AI312" t="n">
        <v>1</v>
      </c>
      <c r="AJ312" t="n">
        <v>0</v>
      </c>
      <c r="AK312" t="n">
        <v>0</v>
      </c>
      <c r="AL312" t="n">
        <v>1</v>
      </c>
      <c r="AM312" t="n">
        <v>1</v>
      </c>
      <c r="AN312" t="n">
        <v>2</v>
      </c>
      <c r="AO312" t="n">
        <v>2</v>
      </c>
      <c r="AP312" t="n">
        <v>7</v>
      </c>
      <c r="AQ312" t="n">
        <v>7</v>
      </c>
      <c r="AR312" t="inlineStr">
        <is>
          <t>No</t>
        </is>
      </c>
      <c r="AS312" t="inlineStr">
        <is>
          <t>No</t>
        </is>
      </c>
      <c r="AU312">
        <f>HYPERLINK("https://creighton-primo.hosted.exlibrisgroup.com/primo-explore/search?tab=default_tab&amp;search_scope=EVERYTHING&amp;vid=01CRU&amp;lang=en_US&amp;offset=0&amp;query=any,contains,991004549659702656","Catalog Record")</f>
        <v/>
      </c>
      <c r="AV312">
        <f>HYPERLINK("http://www.worldcat.org/oclc/3932970","WorldCat Record")</f>
        <v/>
      </c>
      <c r="AW312" t="inlineStr">
        <is>
          <t>308854054:eng</t>
        </is>
      </c>
      <c r="AX312" t="inlineStr">
        <is>
          <t>3932970</t>
        </is>
      </c>
      <c r="AY312" t="inlineStr">
        <is>
          <t>991004549659702656</t>
        </is>
      </c>
      <c r="AZ312" t="inlineStr">
        <is>
          <t>991004549659702656</t>
        </is>
      </c>
      <c r="BA312" t="inlineStr">
        <is>
          <t>2267828830002656</t>
        </is>
      </c>
      <c r="BB312" t="inlineStr">
        <is>
          <t>BOOK</t>
        </is>
      </c>
      <c r="BE312" t="inlineStr">
        <is>
          <t>32285000958040</t>
        </is>
      </c>
      <c r="BF312" t="inlineStr">
        <is>
          <t>893353448</t>
        </is>
      </c>
    </row>
    <row r="313">
      <c r="B313" t="inlineStr">
        <is>
          <t>CURAL</t>
        </is>
      </c>
      <c r="C313" t="inlineStr">
        <is>
          <t>SHELVES</t>
        </is>
      </c>
      <c r="D313" t="inlineStr">
        <is>
          <t>KF6011 .B73 1988</t>
        </is>
      </c>
      <c r="E313" t="inlineStr">
        <is>
          <t>0                      KF 6011000B  73          1988</t>
        </is>
      </c>
      <c r="F313" t="inlineStr">
        <is>
          <t>Corporatism and the rule of law : a study of the National Recovery Administration / Donald R. Brand.</t>
        </is>
      </c>
      <c r="H313" t="inlineStr">
        <is>
          <t>No</t>
        </is>
      </c>
      <c r="I313" t="inlineStr">
        <is>
          <t>1</t>
        </is>
      </c>
      <c r="J313" t="inlineStr">
        <is>
          <t>No</t>
        </is>
      </c>
      <c r="K313" t="inlineStr">
        <is>
          <t>No</t>
        </is>
      </c>
      <c r="L313" t="inlineStr">
        <is>
          <t>0</t>
        </is>
      </c>
      <c r="M313" t="inlineStr">
        <is>
          <t>Brand, Donald Robert, 1948-</t>
        </is>
      </c>
      <c r="N313" t="inlineStr">
        <is>
          <t>Ithaca : Cornell University Press, 1988.</t>
        </is>
      </c>
      <c r="O313" t="inlineStr">
        <is>
          <t>1988</t>
        </is>
      </c>
      <c r="Q313" t="inlineStr">
        <is>
          <t>eng</t>
        </is>
      </c>
      <c r="R313" t="inlineStr">
        <is>
          <t>nyu</t>
        </is>
      </c>
      <c r="T313" t="inlineStr">
        <is>
          <t xml:space="preserve">KF </t>
        </is>
      </c>
      <c r="U313" t="n">
        <v>2</v>
      </c>
      <c r="V313" t="n">
        <v>2</v>
      </c>
      <c r="W313" t="inlineStr">
        <is>
          <t>1996-04-27</t>
        </is>
      </c>
      <c r="X313" t="inlineStr">
        <is>
          <t>1996-04-27</t>
        </is>
      </c>
      <c r="Y313" t="inlineStr">
        <is>
          <t>1990-04-20</t>
        </is>
      </c>
      <c r="Z313" t="inlineStr">
        <is>
          <t>1990-04-20</t>
        </is>
      </c>
      <c r="AA313" t="n">
        <v>415</v>
      </c>
      <c r="AB313" t="n">
        <v>358</v>
      </c>
      <c r="AC313" t="n">
        <v>541</v>
      </c>
      <c r="AD313" t="n">
        <v>3</v>
      </c>
      <c r="AE313" t="n">
        <v>3</v>
      </c>
      <c r="AF313" t="n">
        <v>31</v>
      </c>
      <c r="AG313" t="n">
        <v>38</v>
      </c>
      <c r="AH313" t="n">
        <v>8</v>
      </c>
      <c r="AI313" t="n">
        <v>12</v>
      </c>
      <c r="AJ313" t="n">
        <v>4</v>
      </c>
      <c r="AK313" t="n">
        <v>7</v>
      </c>
      <c r="AL313" t="n">
        <v>12</v>
      </c>
      <c r="AM313" t="n">
        <v>14</v>
      </c>
      <c r="AN313" t="n">
        <v>2</v>
      </c>
      <c r="AO313" t="n">
        <v>2</v>
      </c>
      <c r="AP313" t="n">
        <v>11</v>
      </c>
      <c r="AQ313" t="n">
        <v>11</v>
      </c>
      <c r="AR313" t="inlineStr">
        <is>
          <t>No</t>
        </is>
      </c>
      <c r="AS313" t="inlineStr">
        <is>
          <t>Yes</t>
        </is>
      </c>
      <c r="AT313">
        <f>HYPERLINK("http://catalog.hathitrust.org/Record/000930153","HathiTrust Record")</f>
        <v/>
      </c>
      <c r="AU313">
        <f>HYPERLINK("https://creighton-primo.hosted.exlibrisgroup.com/primo-explore/search?tab=default_tab&amp;search_scope=EVERYTHING&amp;vid=01CRU&amp;lang=en_US&amp;offset=0&amp;query=any,contains,991001256819702656","Catalog Record")</f>
        <v/>
      </c>
      <c r="AV313">
        <f>HYPERLINK("http://www.worldcat.org/oclc/17732226","WorldCat Record")</f>
        <v/>
      </c>
      <c r="AW313" t="inlineStr">
        <is>
          <t>16748580:eng</t>
        </is>
      </c>
      <c r="AX313" t="inlineStr">
        <is>
          <t>17732226</t>
        </is>
      </c>
      <c r="AY313" t="inlineStr">
        <is>
          <t>991001256819702656</t>
        </is>
      </c>
      <c r="AZ313" t="inlineStr">
        <is>
          <t>991001256819702656</t>
        </is>
      </c>
      <c r="BA313" t="inlineStr">
        <is>
          <t>2271026600002656</t>
        </is>
      </c>
      <c r="BB313" t="inlineStr">
        <is>
          <t>BOOK</t>
        </is>
      </c>
      <c r="BD313" t="inlineStr">
        <is>
          <t>9780801494956</t>
        </is>
      </c>
      <c r="BE313" t="inlineStr">
        <is>
          <t>32285000103407</t>
        </is>
      </c>
      <c r="BF313" t="inlineStr">
        <is>
          <t>893803494</t>
        </is>
      </c>
    </row>
    <row r="314">
      <c r="B314" t="inlineStr">
        <is>
          <t>CURAL</t>
        </is>
      </c>
      <c r="C314" t="inlineStr">
        <is>
          <t>SHELVES</t>
        </is>
      </c>
      <c r="D314" t="inlineStr">
        <is>
          <t>KF6020 .I7 1982</t>
        </is>
      </c>
      <c r="E314" t="inlineStr">
        <is>
          <t>0                      KF 6020000I  7           1982</t>
        </is>
      </c>
      <c r="F314" t="inlineStr">
        <is>
          <t>The New Deal lawyers / by Peter H. Irons.</t>
        </is>
      </c>
      <c r="H314" t="inlineStr">
        <is>
          <t>No</t>
        </is>
      </c>
      <c r="I314" t="inlineStr">
        <is>
          <t>1</t>
        </is>
      </c>
      <c r="J314" t="inlineStr">
        <is>
          <t>Yes</t>
        </is>
      </c>
      <c r="K314" t="inlineStr">
        <is>
          <t>No</t>
        </is>
      </c>
      <c r="L314" t="inlineStr">
        <is>
          <t>0</t>
        </is>
      </c>
      <c r="M314" t="inlineStr">
        <is>
          <t>Irons, Peter H., 1940-</t>
        </is>
      </c>
      <c r="N314" t="inlineStr">
        <is>
          <t>Princeton, N.J. : Princeton University Press, c1982.</t>
        </is>
      </c>
      <c r="O314" t="inlineStr">
        <is>
          <t>1982</t>
        </is>
      </c>
      <c r="Q314" t="inlineStr">
        <is>
          <t>eng</t>
        </is>
      </c>
      <c r="R314" t="inlineStr">
        <is>
          <t>nju</t>
        </is>
      </c>
      <c r="T314" t="inlineStr">
        <is>
          <t xml:space="preserve">KF </t>
        </is>
      </c>
      <c r="U314" t="n">
        <v>2</v>
      </c>
      <c r="V314" t="n">
        <v>2</v>
      </c>
      <c r="W314" t="inlineStr">
        <is>
          <t>1994-03-30</t>
        </is>
      </c>
      <c r="X314" t="inlineStr">
        <is>
          <t>1994-03-30</t>
        </is>
      </c>
      <c r="Y314" t="inlineStr">
        <is>
          <t>1992-07-07</t>
        </is>
      </c>
      <c r="Z314" t="inlineStr">
        <is>
          <t>2000-08-29</t>
        </is>
      </c>
      <c r="AA314" t="n">
        <v>657</v>
      </c>
      <c r="AB314" t="n">
        <v>574</v>
      </c>
      <c r="AC314" t="n">
        <v>735</v>
      </c>
      <c r="AD314" t="n">
        <v>6</v>
      </c>
      <c r="AE314" t="n">
        <v>6</v>
      </c>
      <c r="AF314" t="n">
        <v>45</v>
      </c>
      <c r="AG314" t="n">
        <v>53</v>
      </c>
      <c r="AH314" t="n">
        <v>11</v>
      </c>
      <c r="AI314" t="n">
        <v>15</v>
      </c>
      <c r="AJ314" t="n">
        <v>6</v>
      </c>
      <c r="AK314" t="n">
        <v>8</v>
      </c>
      <c r="AL314" t="n">
        <v>13</v>
      </c>
      <c r="AM314" t="n">
        <v>16</v>
      </c>
      <c r="AN314" t="n">
        <v>3</v>
      </c>
      <c r="AO314" t="n">
        <v>3</v>
      </c>
      <c r="AP314" t="n">
        <v>20</v>
      </c>
      <c r="AQ314" t="n">
        <v>21</v>
      </c>
      <c r="AR314" t="inlineStr">
        <is>
          <t>No</t>
        </is>
      </c>
      <c r="AS314" t="inlineStr">
        <is>
          <t>No</t>
        </is>
      </c>
      <c r="AU314">
        <f>HYPERLINK("https://creighton-primo.hosted.exlibrisgroup.com/primo-explore/search?tab=default_tab&amp;search_scope=EVERYTHING&amp;vid=01CRU&amp;lang=en_US&amp;offset=0&amp;query=any,contains,991001674509702656","Catalog Record")</f>
        <v/>
      </c>
      <c r="AV314">
        <f>HYPERLINK("http://www.worldcat.org/oclc/8109724","WorldCat Record")</f>
        <v/>
      </c>
      <c r="AW314" t="inlineStr">
        <is>
          <t>441348:eng</t>
        </is>
      </c>
      <c r="AX314" t="inlineStr">
        <is>
          <t>8109724</t>
        </is>
      </c>
      <c r="AY314" t="inlineStr">
        <is>
          <t>991001674509702656</t>
        </is>
      </c>
      <c r="AZ314" t="inlineStr">
        <is>
          <t>991001674509702656</t>
        </is>
      </c>
      <c r="BA314" t="inlineStr">
        <is>
          <t>2261429850002656</t>
        </is>
      </c>
      <c r="BB314" t="inlineStr">
        <is>
          <t>BOOK</t>
        </is>
      </c>
      <c r="BD314" t="inlineStr">
        <is>
          <t>9780691046884</t>
        </is>
      </c>
      <c r="BE314" t="inlineStr">
        <is>
          <t>32285001178705</t>
        </is>
      </c>
      <c r="BF314" t="inlineStr">
        <is>
          <t>893328285</t>
        </is>
      </c>
    </row>
    <row r="315">
      <c r="B315" t="inlineStr">
        <is>
          <t>CURAL</t>
        </is>
      </c>
      <c r="C315" t="inlineStr">
        <is>
          <t>SHELVES</t>
        </is>
      </c>
      <c r="D315" t="inlineStr">
        <is>
          <t>KF6276.558.A16 C66 1990</t>
        </is>
      </c>
      <c r="E315" t="inlineStr">
        <is>
          <t>0                      KF 6276558A  16                 C  66          1990</t>
        </is>
      </c>
      <c r="F315" t="inlineStr">
        <is>
          <t>Taxing choices : the politics of tax reform / Timothy J. Conlan, Margaret T. Wrightson, David R. Beam.</t>
        </is>
      </c>
      <c r="H315" t="inlineStr">
        <is>
          <t>No</t>
        </is>
      </c>
      <c r="I315" t="inlineStr">
        <is>
          <t>1</t>
        </is>
      </c>
      <c r="J315" t="inlineStr">
        <is>
          <t>No</t>
        </is>
      </c>
      <c r="K315" t="inlineStr">
        <is>
          <t>No</t>
        </is>
      </c>
      <c r="L315" t="inlineStr">
        <is>
          <t>0</t>
        </is>
      </c>
      <c r="M315" t="inlineStr">
        <is>
          <t>Conlan, Timothy J.</t>
        </is>
      </c>
      <c r="N315" t="inlineStr">
        <is>
          <t>Washington, D.C. : CQ Press, c1990.</t>
        </is>
      </c>
      <c r="O315" t="inlineStr">
        <is>
          <t>1990</t>
        </is>
      </c>
      <c r="Q315" t="inlineStr">
        <is>
          <t>eng</t>
        </is>
      </c>
      <c r="R315" t="inlineStr">
        <is>
          <t>dcu</t>
        </is>
      </c>
      <c r="T315" t="inlineStr">
        <is>
          <t xml:space="preserve">KF </t>
        </is>
      </c>
      <c r="U315" t="n">
        <v>4</v>
      </c>
      <c r="V315" t="n">
        <v>4</v>
      </c>
      <c r="W315" t="inlineStr">
        <is>
          <t>2002-10-30</t>
        </is>
      </c>
      <c r="X315" t="inlineStr">
        <is>
          <t>2002-10-30</t>
        </is>
      </c>
      <c r="Y315" t="inlineStr">
        <is>
          <t>1994-09-13</t>
        </is>
      </c>
      <c r="Z315" t="inlineStr">
        <is>
          <t>1994-09-13</t>
        </is>
      </c>
      <c r="AA315" t="n">
        <v>571</v>
      </c>
      <c r="AB315" t="n">
        <v>539</v>
      </c>
      <c r="AC315" t="n">
        <v>550</v>
      </c>
      <c r="AD315" t="n">
        <v>2</v>
      </c>
      <c r="AE315" t="n">
        <v>2</v>
      </c>
      <c r="AF315" t="n">
        <v>25</v>
      </c>
      <c r="AG315" t="n">
        <v>26</v>
      </c>
      <c r="AH315" t="n">
        <v>7</v>
      </c>
      <c r="AI315" t="n">
        <v>8</v>
      </c>
      <c r="AJ315" t="n">
        <v>6</v>
      </c>
      <c r="AK315" t="n">
        <v>6</v>
      </c>
      <c r="AL315" t="n">
        <v>8</v>
      </c>
      <c r="AM315" t="n">
        <v>9</v>
      </c>
      <c r="AN315" t="n">
        <v>1</v>
      </c>
      <c r="AO315" t="n">
        <v>1</v>
      </c>
      <c r="AP315" t="n">
        <v>9</v>
      </c>
      <c r="AQ315" t="n">
        <v>9</v>
      </c>
      <c r="AR315" t="inlineStr">
        <is>
          <t>No</t>
        </is>
      </c>
      <c r="AS315" t="inlineStr">
        <is>
          <t>Yes</t>
        </is>
      </c>
      <c r="AT315">
        <f>HYPERLINK("http://catalog.hathitrust.org/Record/002204684","HathiTrust Record")</f>
        <v/>
      </c>
      <c r="AU315">
        <f>HYPERLINK("https://creighton-primo.hosted.exlibrisgroup.com/primo-explore/search?tab=default_tab&amp;search_scope=EVERYTHING&amp;vid=01CRU&amp;lang=en_US&amp;offset=0&amp;query=any,contains,991001534649702656","Catalog Record")</f>
        <v/>
      </c>
      <c r="AV315">
        <f>HYPERLINK("http://www.worldcat.org/oclc/20057284","WorldCat Record")</f>
        <v/>
      </c>
      <c r="AW315" t="inlineStr">
        <is>
          <t>20598143:eng</t>
        </is>
      </c>
      <c r="AX315" t="inlineStr">
        <is>
          <t>20057284</t>
        </is>
      </c>
      <c r="AY315" t="inlineStr">
        <is>
          <t>991001534649702656</t>
        </is>
      </c>
      <c r="AZ315" t="inlineStr">
        <is>
          <t>991001534649702656</t>
        </is>
      </c>
      <c r="BA315" t="inlineStr">
        <is>
          <t>2269984740002656</t>
        </is>
      </c>
      <c r="BB315" t="inlineStr">
        <is>
          <t>BOOK</t>
        </is>
      </c>
      <c r="BD315" t="inlineStr">
        <is>
          <t>9780871874801</t>
        </is>
      </c>
      <c r="BE315" t="inlineStr">
        <is>
          <t>32285001867349</t>
        </is>
      </c>
      <c r="BF315" t="inlineStr">
        <is>
          <t>893522618</t>
        </is>
      </c>
    </row>
    <row r="316">
      <c r="B316" t="inlineStr">
        <is>
          <t>CURAL</t>
        </is>
      </c>
      <c r="C316" t="inlineStr">
        <is>
          <t>SHELVES</t>
        </is>
      </c>
      <c r="D316" t="inlineStr">
        <is>
          <t>KF6289.3 .C7 1970</t>
        </is>
      </c>
      <c r="E316" t="inlineStr">
        <is>
          <t>0                      KF 6289300C  7           1970</t>
        </is>
      </c>
      <c r="F316" t="inlineStr">
        <is>
          <t>The Federal tax system of the United States; a survey of law and administration, by Joseph P. Crockett.</t>
        </is>
      </c>
      <c r="H316" t="inlineStr">
        <is>
          <t>No</t>
        </is>
      </c>
      <c r="I316" t="inlineStr">
        <is>
          <t>1</t>
        </is>
      </c>
      <c r="J316" t="inlineStr">
        <is>
          <t>No</t>
        </is>
      </c>
      <c r="K316" t="inlineStr">
        <is>
          <t>No</t>
        </is>
      </c>
      <c r="L316" t="inlineStr">
        <is>
          <t>0</t>
        </is>
      </c>
      <c r="M316" t="inlineStr">
        <is>
          <t>Crockett, Joseph P.</t>
        </is>
      </c>
      <c r="N316" t="inlineStr">
        <is>
          <t>Westport, Conn., Greenwood Press [1970, c1955]</t>
        </is>
      </c>
      <c r="O316" t="inlineStr">
        <is>
          <t>1970</t>
        </is>
      </c>
      <c r="Q316" t="inlineStr">
        <is>
          <t>eng</t>
        </is>
      </c>
      <c r="R316" t="inlineStr">
        <is>
          <t>ctu</t>
        </is>
      </c>
      <c r="T316" t="inlineStr">
        <is>
          <t xml:space="preserve">KF </t>
        </is>
      </c>
      <c r="U316" t="n">
        <v>2</v>
      </c>
      <c r="V316" t="n">
        <v>2</v>
      </c>
      <c r="W316" t="inlineStr">
        <is>
          <t>2001-12-01</t>
        </is>
      </c>
      <c r="X316" t="inlineStr">
        <is>
          <t>2001-12-01</t>
        </is>
      </c>
      <c r="Y316" t="inlineStr">
        <is>
          <t>1997-07-02</t>
        </is>
      </c>
      <c r="Z316" t="inlineStr">
        <is>
          <t>1997-07-02</t>
        </is>
      </c>
      <c r="AA316" t="n">
        <v>172</v>
      </c>
      <c r="AB316" t="n">
        <v>148</v>
      </c>
      <c r="AC316" t="n">
        <v>385</v>
      </c>
      <c r="AD316" t="n">
        <v>1</v>
      </c>
      <c r="AE316" t="n">
        <v>2</v>
      </c>
      <c r="AF316" t="n">
        <v>9</v>
      </c>
      <c r="AG316" t="n">
        <v>28</v>
      </c>
      <c r="AH316" t="n">
        <v>2</v>
      </c>
      <c r="AI316" t="n">
        <v>7</v>
      </c>
      <c r="AJ316" t="n">
        <v>2</v>
      </c>
      <c r="AK316" t="n">
        <v>5</v>
      </c>
      <c r="AL316" t="n">
        <v>1</v>
      </c>
      <c r="AM316" t="n">
        <v>12</v>
      </c>
      <c r="AN316" t="n">
        <v>0</v>
      </c>
      <c r="AO316" t="n">
        <v>0</v>
      </c>
      <c r="AP316" t="n">
        <v>4</v>
      </c>
      <c r="AQ316" t="n">
        <v>9</v>
      </c>
      <c r="AR316" t="inlineStr">
        <is>
          <t>No</t>
        </is>
      </c>
      <c r="AS316" t="inlineStr">
        <is>
          <t>No</t>
        </is>
      </c>
      <c r="AU316">
        <f>HYPERLINK("https://creighton-primo.hosted.exlibrisgroup.com/primo-explore/search?tab=default_tab&amp;search_scope=EVERYTHING&amp;vid=01CRU&amp;lang=en_US&amp;offset=0&amp;query=any,contains,991001949609702656","Catalog Record")</f>
        <v/>
      </c>
      <c r="AV316">
        <f>HYPERLINK("http://www.worldcat.org/oclc/251470","WorldCat Record")</f>
        <v/>
      </c>
      <c r="AW316" t="inlineStr">
        <is>
          <t>499916:eng</t>
        </is>
      </c>
      <c r="AX316" t="inlineStr">
        <is>
          <t>251470</t>
        </is>
      </c>
      <c r="AY316" t="inlineStr">
        <is>
          <t>991001949609702656</t>
        </is>
      </c>
      <c r="AZ316" t="inlineStr">
        <is>
          <t>991001949609702656</t>
        </is>
      </c>
      <c r="BA316" t="inlineStr">
        <is>
          <t>2268732000002656</t>
        </is>
      </c>
      <c r="BB316" t="inlineStr">
        <is>
          <t>BOOK</t>
        </is>
      </c>
      <c r="BD316" t="inlineStr">
        <is>
          <t>9780837136813</t>
        </is>
      </c>
      <c r="BE316" t="inlineStr">
        <is>
          <t>32285002844719</t>
        </is>
      </c>
      <c r="BF316" t="inlineStr">
        <is>
          <t>893497564</t>
        </is>
      </c>
    </row>
    <row r="317">
      <c r="B317" t="inlineStr">
        <is>
          <t>CURAL</t>
        </is>
      </c>
      <c r="C317" t="inlineStr">
        <is>
          <t>SHELVES</t>
        </is>
      </c>
      <c r="D317" t="inlineStr">
        <is>
          <t>KF6289.5 .G55 1991</t>
        </is>
      </c>
      <c r="E317" t="inlineStr">
        <is>
          <t>0                      KF 6289500G  55          1991</t>
        </is>
      </c>
      <c r="F317" t="inlineStr">
        <is>
          <t>Federal tax : objective questions and explanations / by Irvin N. Gleim, John L. Kramer.</t>
        </is>
      </c>
      <c r="H317" t="inlineStr">
        <is>
          <t>No</t>
        </is>
      </c>
      <c r="I317" t="inlineStr">
        <is>
          <t>1</t>
        </is>
      </c>
      <c r="J317" t="inlineStr">
        <is>
          <t>No</t>
        </is>
      </c>
      <c r="K317" t="inlineStr">
        <is>
          <t>No</t>
        </is>
      </c>
      <c r="L317" t="inlineStr">
        <is>
          <t>0</t>
        </is>
      </c>
      <c r="M317" t="inlineStr">
        <is>
          <t>Gleim, Irvin N.</t>
        </is>
      </c>
      <c r="N317" t="inlineStr">
        <is>
          <t>Gainesville, Fla. : Gleim Publications, c1991.</t>
        </is>
      </c>
      <c r="O317" t="inlineStr">
        <is>
          <t>1991</t>
        </is>
      </c>
      <c r="P317" t="inlineStr">
        <is>
          <t>5th ed.</t>
        </is>
      </c>
      <c r="Q317" t="inlineStr">
        <is>
          <t>eng</t>
        </is>
      </c>
      <c r="R317" t="inlineStr">
        <is>
          <t>flu</t>
        </is>
      </c>
      <c r="S317" t="inlineStr">
        <is>
          <t>The Gleim series</t>
        </is>
      </c>
      <c r="T317" t="inlineStr">
        <is>
          <t xml:space="preserve">KF </t>
        </is>
      </c>
      <c r="U317" t="n">
        <v>2</v>
      </c>
      <c r="V317" t="n">
        <v>2</v>
      </c>
      <c r="W317" t="inlineStr">
        <is>
          <t>1993-04-21</t>
        </is>
      </c>
      <c r="X317" t="inlineStr">
        <is>
          <t>1993-04-21</t>
        </is>
      </c>
      <c r="Y317" t="inlineStr">
        <is>
          <t>1991-10-17</t>
        </is>
      </c>
      <c r="Z317" t="inlineStr">
        <is>
          <t>1991-10-17</t>
        </is>
      </c>
      <c r="AA317" t="n">
        <v>85</v>
      </c>
      <c r="AB317" t="n">
        <v>85</v>
      </c>
      <c r="AC317" t="n">
        <v>167</v>
      </c>
      <c r="AD317" t="n">
        <v>2</v>
      </c>
      <c r="AE317" t="n">
        <v>2</v>
      </c>
      <c r="AF317" t="n">
        <v>3</v>
      </c>
      <c r="AG317" t="n">
        <v>7</v>
      </c>
      <c r="AH317" t="n">
        <v>0</v>
      </c>
      <c r="AI317" t="n">
        <v>0</v>
      </c>
      <c r="AJ317" t="n">
        <v>1</v>
      </c>
      <c r="AK317" t="n">
        <v>3</v>
      </c>
      <c r="AL317" t="n">
        <v>2</v>
      </c>
      <c r="AM317" t="n">
        <v>4</v>
      </c>
      <c r="AN317" t="n">
        <v>1</v>
      </c>
      <c r="AO317" t="n">
        <v>1</v>
      </c>
      <c r="AP317" t="n">
        <v>0</v>
      </c>
      <c r="AQ317" t="n">
        <v>1</v>
      </c>
      <c r="AR317" t="inlineStr">
        <is>
          <t>No</t>
        </is>
      </c>
      <c r="AS317" t="inlineStr">
        <is>
          <t>Yes</t>
        </is>
      </c>
      <c r="AT317">
        <f>HYPERLINK("http://catalog.hathitrust.org/Record/009814278","HathiTrust Record")</f>
        <v/>
      </c>
      <c r="AU317">
        <f>HYPERLINK("https://creighton-primo.hosted.exlibrisgroup.com/primo-explore/search?tab=default_tab&amp;search_scope=EVERYTHING&amp;vid=01CRU&amp;lang=en_US&amp;offset=0&amp;query=any,contains,991001907619702656","Catalog Record")</f>
        <v/>
      </c>
      <c r="AV317">
        <f>HYPERLINK("http://www.worldcat.org/oclc/24081955","WorldCat Record")</f>
        <v/>
      </c>
      <c r="AW317" t="inlineStr">
        <is>
          <t>4160275837:eng</t>
        </is>
      </c>
      <c r="AX317" t="inlineStr">
        <is>
          <t>24081955</t>
        </is>
      </c>
      <c r="AY317" t="inlineStr">
        <is>
          <t>991001907619702656</t>
        </is>
      </c>
      <c r="AZ317" t="inlineStr">
        <is>
          <t>991001907619702656</t>
        </is>
      </c>
      <c r="BA317" t="inlineStr">
        <is>
          <t>2267268130002656</t>
        </is>
      </c>
      <c r="BB317" t="inlineStr">
        <is>
          <t>BOOK</t>
        </is>
      </c>
      <c r="BD317" t="inlineStr">
        <is>
          <t>9780917537448</t>
        </is>
      </c>
      <c r="BE317" t="inlineStr">
        <is>
          <t>32285000727403</t>
        </is>
      </c>
      <c r="BF317" t="inlineStr">
        <is>
          <t>893803990</t>
        </is>
      </c>
    </row>
    <row r="318">
      <c r="B318" t="inlineStr">
        <is>
          <t>CURAL</t>
        </is>
      </c>
      <c r="C318" t="inlineStr">
        <is>
          <t>SHELVES</t>
        </is>
      </c>
      <c r="D318" t="inlineStr">
        <is>
          <t>KF6297.5 .S9 1982</t>
        </is>
      </c>
      <c r="E318" t="inlineStr">
        <is>
          <t>0                      KF 6297500S  9           1982</t>
        </is>
      </c>
      <c r="F318" t="inlineStr">
        <is>
          <t>Tax shelters, a guide for investors and their advisors / Robert E. Swanson and Barbara Mardinly Swanson.</t>
        </is>
      </c>
      <c r="H318" t="inlineStr">
        <is>
          <t>No</t>
        </is>
      </c>
      <c r="I318" t="inlineStr">
        <is>
          <t>1</t>
        </is>
      </c>
      <c r="J318" t="inlineStr">
        <is>
          <t>No</t>
        </is>
      </c>
      <c r="K318" t="inlineStr">
        <is>
          <t>No</t>
        </is>
      </c>
      <c r="L318" t="inlineStr">
        <is>
          <t>0</t>
        </is>
      </c>
      <c r="M318" t="inlineStr">
        <is>
          <t>Swanson, Robert E., 1947-</t>
        </is>
      </c>
      <c r="N318" t="inlineStr">
        <is>
          <t>Homewood, Ill. : Dow Jones-Irwin, c1982.</t>
        </is>
      </c>
      <c r="O318" t="inlineStr">
        <is>
          <t>1982</t>
        </is>
      </c>
      <c r="Q318" t="inlineStr">
        <is>
          <t>eng</t>
        </is>
      </c>
      <c r="R318" t="inlineStr">
        <is>
          <t>ilu</t>
        </is>
      </c>
      <c r="T318" t="inlineStr">
        <is>
          <t xml:space="preserve">KF </t>
        </is>
      </c>
      <c r="U318" t="n">
        <v>1</v>
      </c>
      <c r="V318" t="n">
        <v>1</v>
      </c>
      <c r="W318" t="inlineStr">
        <is>
          <t>2004-06-11</t>
        </is>
      </c>
      <c r="X318" t="inlineStr">
        <is>
          <t>2004-06-11</t>
        </is>
      </c>
      <c r="Y318" t="inlineStr">
        <is>
          <t>1992-07-10</t>
        </is>
      </c>
      <c r="Z318" t="inlineStr">
        <is>
          <t>1992-07-10</t>
        </is>
      </c>
      <c r="AA318" t="n">
        <v>306</v>
      </c>
      <c r="AB318" t="n">
        <v>293</v>
      </c>
      <c r="AC318" t="n">
        <v>361</v>
      </c>
      <c r="AD318" t="n">
        <v>2</v>
      </c>
      <c r="AE318" t="n">
        <v>2</v>
      </c>
      <c r="AF318" t="n">
        <v>7</v>
      </c>
      <c r="AG318" t="n">
        <v>9</v>
      </c>
      <c r="AH318" t="n">
        <v>1</v>
      </c>
      <c r="AI318" t="n">
        <v>1</v>
      </c>
      <c r="AJ318" t="n">
        <v>2</v>
      </c>
      <c r="AK318" t="n">
        <v>2</v>
      </c>
      <c r="AL318" t="n">
        <v>5</v>
      </c>
      <c r="AM318" t="n">
        <v>6</v>
      </c>
      <c r="AN318" t="n">
        <v>0</v>
      </c>
      <c r="AO318" t="n">
        <v>0</v>
      </c>
      <c r="AP318" t="n">
        <v>1</v>
      </c>
      <c r="AQ318" t="n">
        <v>2</v>
      </c>
      <c r="AR318" t="inlineStr">
        <is>
          <t>No</t>
        </is>
      </c>
      <c r="AS318" t="inlineStr">
        <is>
          <t>Yes</t>
        </is>
      </c>
      <c r="AT318">
        <f>HYPERLINK("http://catalog.hathitrust.org/Record/004509565","HathiTrust Record")</f>
        <v/>
      </c>
      <c r="AU318">
        <f>HYPERLINK("https://creighton-primo.hosted.exlibrisgroup.com/primo-explore/search?tab=default_tab&amp;search_scope=EVERYTHING&amp;vid=01CRU&amp;lang=en_US&amp;offset=0&amp;query=any,contains,991000026709702656","Catalog Record")</f>
        <v/>
      </c>
      <c r="AV318">
        <f>HYPERLINK("http://www.worldcat.org/oclc/8589764","WorldCat Record")</f>
        <v/>
      </c>
      <c r="AW318" t="inlineStr">
        <is>
          <t>42990053:eng</t>
        </is>
      </c>
      <c r="AX318" t="inlineStr">
        <is>
          <t>8589764</t>
        </is>
      </c>
      <c r="AY318" t="inlineStr">
        <is>
          <t>991000026709702656</t>
        </is>
      </c>
      <c r="AZ318" t="inlineStr">
        <is>
          <t>991000026709702656</t>
        </is>
      </c>
      <c r="BA318" t="inlineStr">
        <is>
          <t>2255052260002656</t>
        </is>
      </c>
      <c r="BB318" t="inlineStr">
        <is>
          <t>BOOK</t>
        </is>
      </c>
      <c r="BD318" t="inlineStr">
        <is>
          <t>9780870942761</t>
        </is>
      </c>
      <c r="BE318" t="inlineStr">
        <is>
          <t>32285001178846</t>
        </is>
      </c>
      <c r="BF318" t="inlineStr">
        <is>
          <t>893595189</t>
        </is>
      </c>
    </row>
    <row r="319">
      <c r="B319" t="inlineStr">
        <is>
          <t>CURAL</t>
        </is>
      </c>
      <c r="C319" t="inlineStr">
        <is>
          <t>SHELVES</t>
        </is>
      </c>
      <c r="D319" t="inlineStr">
        <is>
          <t>KF6297.5.A5 S3 1980</t>
        </is>
      </c>
      <c r="E319" t="inlineStr">
        <is>
          <t>0                      KF 6297500A  5                  S  3           1980</t>
        </is>
      </c>
      <c r="F319" t="inlineStr">
        <is>
          <t>Tax shelters / edited by Ruth G. Schapiro.</t>
        </is>
      </c>
      <c r="H319" t="inlineStr">
        <is>
          <t>No</t>
        </is>
      </c>
      <c r="I319" t="inlineStr">
        <is>
          <t>1</t>
        </is>
      </c>
      <c r="J319" t="inlineStr">
        <is>
          <t>No</t>
        </is>
      </c>
      <c r="K319" t="inlineStr">
        <is>
          <t>No</t>
        </is>
      </c>
      <c r="L319" t="inlineStr">
        <is>
          <t>0</t>
        </is>
      </c>
      <c r="M319" t="inlineStr">
        <is>
          <t>Schapiro, Ruth G.</t>
        </is>
      </c>
      <c r="N319" t="inlineStr">
        <is>
          <t>New York : Practising Law Institute, 1980.</t>
        </is>
      </c>
      <c r="O319" t="inlineStr">
        <is>
          <t>1980</t>
        </is>
      </c>
      <c r="P319" t="inlineStr">
        <is>
          <t>2nd ed.</t>
        </is>
      </c>
      <c r="Q319" t="inlineStr">
        <is>
          <t>eng</t>
        </is>
      </c>
      <c r="R319" t="inlineStr">
        <is>
          <t>nyu</t>
        </is>
      </c>
      <c r="T319" t="inlineStr">
        <is>
          <t xml:space="preserve">KF </t>
        </is>
      </c>
      <c r="U319" t="n">
        <v>1</v>
      </c>
      <c r="V319" t="n">
        <v>1</v>
      </c>
      <c r="W319" t="inlineStr">
        <is>
          <t>2004-06-11</t>
        </is>
      </c>
      <c r="X319" t="inlineStr">
        <is>
          <t>2004-06-11</t>
        </is>
      </c>
      <c r="Y319" t="inlineStr">
        <is>
          <t>1992-07-10</t>
        </is>
      </c>
      <c r="Z319" t="inlineStr">
        <is>
          <t>1992-07-10</t>
        </is>
      </c>
      <c r="AA319" t="n">
        <v>130</v>
      </c>
      <c r="AB319" t="n">
        <v>123</v>
      </c>
      <c r="AC319" t="n">
        <v>191</v>
      </c>
      <c r="AD319" t="n">
        <v>1</v>
      </c>
      <c r="AE319" t="n">
        <v>2</v>
      </c>
      <c r="AF319" t="n">
        <v>8</v>
      </c>
      <c r="AG319" t="n">
        <v>19</v>
      </c>
      <c r="AH319" t="n">
        <v>0</v>
      </c>
      <c r="AI319" t="n">
        <v>0</v>
      </c>
      <c r="AJ319" t="n">
        <v>0</v>
      </c>
      <c r="AK319" t="n">
        <v>0</v>
      </c>
      <c r="AL319" t="n">
        <v>0</v>
      </c>
      <c r="AM319" t="n">
        <v>0</v>
      </c>
      <c r="AN319" t="n">
        <v>0</v>
      </c>
      <c r="AO319" t="n">
        <v>0</v>
      </c>
      <c r="AP319" t="n">
        <v>8</v>
      </c>
      <c r="AQ319" t="n">
        <v>19</v>
      </c>
      <c r="AR319" t="inlineStr">
        <is>
          <t>No</t>
        </is>
      </c>
      <c r="AS319" t="inlineStr">
        <is>
          <t>Yes</t>
        </is>
      </c>
      <c r="AT319">
        <f>HYPERLINK("http://catalog.hathitrust.org/Record/010069147","HathiTrust Record")</f>
        <v/>
      </c>
      <c r="AU319">
        <f>HYPERLINK("https://creighton-primo.hosted.exlibrisgroup.com/primo-explore/search?tab=default_tab&amp;search_scope=EVERYTHING&amp;vid=01CRU&amp;lang=en_US&amp;offset=0&amp;query=any,contains,991005022289702656","Catalog Record")</f>
        <v/>
      </c>
      <c r="AV319">
        <f>HYPERLINK("http://www.worldcat.org/oclc/7176625","WorldCat Record")</f>
        <v/>
      </c>
      <c r="AW319" t="inlineStr">
        <is>
          <t>54070412:eng</t>
        </is>
      </c>
      <c r="AX319" t="inlineStr">
        <is>
          <t>7176625</t>
        </is>
      </c>
      <c r="AY319" t="inlineStr">
        <is>
          <t>991005022289702656</t>
        </is>
      </c>
      <c r="AZ319" t="inlineStr">
        <is>
          <t>991005022289702656</t>
        </is>
      </c>
      <c r="BA319" t="inlineStr">
        <is>
          <t>2257829300002656</t>
        </is>
      </c>
      <c r="BB319" t="inlineStr">
        <is>
          <t>BOOK</t>
        </is>
      </c>
      <c r="BE319" t="inlineStr">
        <is>
          <t>32285001178838</t>
        </is>
      </c>
      <c r="BF319" t="inlineStr">
        <is>
          <t>893533040</t>
        </is>
      </c>
    </row>
    <row r="320">
      <c r="B320" t="inlineStr">
        <is>
          <t>CURAL</t>
        </is>
      </c>
      <c r="C320" t="inlineStr">
        <is>
          <t>SHELVES</t>
        </is>
      </c>
      <c r="D320" t="inlineStr">
        <is>
          <t>KF7221 .D6 1977</t>
        </is>
      </c>
      <c r="E320" t="inlineStr">
        <is>
          <t>0                      KF 7221000D  6           1977</t>
        </is>
      </c>
      <c r="F320" t="inlineStr">
        <is>
          <t>Pardon and amnesty under Lincoln and Johnson : the restoration of the Confederates to their rights and privileges, 1861-1898 / by Jonathan Truman Dorris ; introd. by J. G. Randall.</t>
        </is>
      </c>
      <c r="H320" t="inlineStr">
        <is>
          <t>No</t>
        </is>
      </c>
      <c r="I320" t="inlineStr">
        <is>
          <t>1</t>
        </is>
      </c>
      <c r="J320" t="inlineStr">
        <is>
          <t>No</t>
        </is>
      </c>
      <c r="K320" t="inlineStr">
        <is>
          <t>No</t>
        </is>
      </c>
      <c r="L320" t="inlineStr">
        <is>
          <t>0</t>
        </is>
      </c>
      <c r="M320" t="inlineStr">
        <is>
          <t>Dorris, Jonathan Truman, 1883-1972.</t>
        </is>
      </c>
      <c r="N320" t="inlineStr">
        <is>
          <t>Westport, Conn. : Greenwood Press, 1977, c1953.</t>
        </is>
      </c>
      <c r="O320" t="inlineStr">
        <is>
          <t>1977</t>
        </is>
      </c>
      <c r="Q320" t="inlineStr">
        <is>
          <t>eng</t>
        </is>
      </c>
      <c r="R320" t="inlineStr">
        <is>
          <t>ctu</t>
        </is>
      </c>
      <c r="T320" t="inlineStr">
        <is>
          <t xml:space="preserve">KF </t>
        </is>
      </c>
      <c r="U320" t="n">
        <v>1</v>
      </c>
      <c r="V320" t="n">
        <v>1</v>
      </c>
      <c r="W320" t="inlineStr">
        <is>
          <t>2001-05-01</t>
        </is>
      </c>
      <c r="X320" t="inlineStr">
        <is>
          <t>2001-05-01</t>
        </is>
      </c>
      <c r="Y320" t="inlineStr">
        <is>
          <t>1997-04-17</t>
        </is>
      </c>
      <c r="Z320" t="inlineStr">
        <is>
          <t>1997-04-17</t>
        </is>
      </c>
      <c r="AA320" t="n">
        <v>111</v>
      </c>
      <c r="AB320" t="n">
        <v>104</v>
      </c>
      <c r="AC320" t="n">
        <v>729</v>
      </c>
      <c r="AD320" t="n">
        <v>1</v>
      </c>
      <c r="AE320" t="n">
        <v>4</v>
      </c>
      <c r="AF320" t="n">
        <v>10</v>
      </c>
      <c r="AG320" t="n">
        <v>37</v>
      </c>
      <c r="AH320" t="n">
        <v>4</v>
      </c>
      <c r="AI320" t="n">
        <v>15</v>
      </c>
      <c r="AJ320" t="n">
        <v>1</v>
      </c>
      <c r="AK320" t="n">
        <v>5</v>
      </c>
      <c r="AL320" t="n">
        <v>1</v>
      </c>
      <c r="AM320" t="n">
        <v>12</v>
      </c>
      <c r="AN320" t="n">
        <v>0</v>
      </c>
      <c r="AO320" t="n">
        <v>3</v>
      </c>
      <c r="AP320" t="n">
        <v>6</v>
      </c>
      <c r="AQ320" t="n">
        <v>9</v>
      </c>
      <c r="AR320" t="inlineStr">
        <is>
          <t>No</t>
        </is>
      </c>
      <c r="AS320" t="inlineStr">
        <is>
          <t>No</t>
        </is>
      </c>
      <c r="AU320">
        <f>HYPERLINK("https://creighton-primo.hosted.exlibrisgroup.com/primo-explore/search?tab=default_tab&amp;search_scope=EVERYTHING&amp;vid=01CRU&amp;lang=en_US&amp;offset=0&amp;query=any,contains,991004281879702656","Catalog Record")</f>
        <v/>
      </c>
      <c r="AV320">
        <f>HYPERLINK("http://www.worldcat.org/oclc/2912214","WorldCat Record")</f>
        <v/>
      </c>
      <c r="AW320" t="inlineStr">
        <is>
          <t>1547212:eng</t>
        </is>
      </c>
      <c r="AX320" t="inlineStr">
        <is>
          <t>2912214</t>
        </is>
      </c>
      <c r="AY320" t="inlineStr">
        <is>
          <t>991004281879702656</t>
        </is>
      </c>
      <c r="AZ320" t="inlineStr">
        <is>
          <t>991004281879702656</t>
        </is>
      </c>
      <c r="BA320" t="inlineStr">
        <is>
          <t>2267958690002656</t>
        </is>
      </c>
      <c r="BB320" t="inlineStr">
        <is>
          <t>BOOK</t>
        </is>
      </c>
      <c r="BD320" t="inlineStr">
        <is>
          <t>9780837196466</t>
        </is>
      </c>
      <c r="BE320" t="inlineStr">
        <is>
          <t>32285002552908</t>
        </is>
      </c>
      <c r="BF320" t="inlineStr">
        <is>
          <t>893901043</t>
        </is>
      </c>
    </row>
    <row r="321">
      <c r="B321" t="inlineStr">
        <is>
          <t>CURAL</t>
        </is>
      </c>
      <c r="C321" t="inlineStr">
        <is>
          <t>SHELVES</t>
        </is>
      </c>
      <c r="D321" t="inlineStr">
        <is>
          <t>KF750 .S45</t>
        </is>
      </c>
      <c r="E321" t="inlineStr">
        <is>
          <t>0                      KF 0750000S  45</t>
        </is>
      </c>
      <c r="F321" t="inlineStr">
        <is>
          <t>Death, property, and lawyers; a behavioral approach [by] Thomas L. Shaffer.</t>
        </is>
      </c>
      <c r="H321" t="inlineStr">
        <is>
          <t>No</t>
        </is>
      </c>
      <c r="I321" t="inlineStr">
        <is>
          <t>1</t>
        </is>
      </c>
      <c r="J321" t="inlineStr">
        <is>
          <t>No</t>
        </is>
      </c>
      <c r="K321" t="inlineStr">
        <is>
          <t>No</t>
        </is>
      </c>
      <c r="L321" t="inlineStr">
        <is>
          <t>0</t>
        </is>
      </c>
      <c r="M321" t="inlineStr">
        <is>
          <t>Shaffer, Thomas L., 1934-</t>
        </is>
      </c>
      <c r="N321" t="inlineStr">
        <is>
          <t>[New York] Dunellen [c1970]</t>
        </is>
      </c>
      <c r="O321" t="inlineStr">
        <is>
          <t>1970</t>
        </is>
      </c>
      <c r="Q321" t="inlineStr">
        <is>
          <t>eng</t>
        </is>
      </c>
      <c r="R321" t="inlineStr">
        <is>
          <t>nyu</t>
        </is>
      </c>
      <c r="T321" t="inlineStr">
        <is>
          <t xml:space="preserve">KF </t>
        </is>
      </c>
      <c r="U321" t="n">
        <v>3</v>
      </c>
      <c r="V321" t="n">
        <v>3</v>
      </c>
      <c r="W321" t="inlineStr">
        <is>
          <t>2007-10-10</t>
        </is>
      </c>
      <c r="X321" t="inlineStr">
        <is>
          <t>2007-10-10</t>
        </is>
      </c>
      <c r="Y321" t="inlineStr">
        <is>
          <t>1997-04-14</t>
        </is>
      </c>
      <c r="Z321" t="inlineStr">
        <is>
          <t>1997-04-14</t>
        </is>
      </c>
      <c r="AA321" t="n">
        <v>368</v>
      </c>
      <c r="AB321" t="n">
        <v>324</v>
      </c>
      <c r="AC321" t="n">
        <v>325</v>
      </c>
      <c r="AD321" t="n">
        <v>5</v>
      </c>
      <c r="AE321" t="n">
        <v>5</v>
      </c>
      <c r="AF321" t="n">
        <v>23</v>
      </c>
      <c r="AG321" t="n">
        <v>23</v>
      </c>
      <c r="AH321" t="n">
        <v>0</v>
      </c>
      <c r="AI321" t="n">
        <v>0</v>
      </c>
      <c r="AJ321" t="n">
        <v>0</v>
      </c>
      <c r="AK321" t="n">
        <v>0</v>
      </c>
      <c r="AL321" t="n">
        <v>3</v>
      </c>
      <c r="AM321" t="n">
        <v>3</v>
      </c>
      <c r="AN321" t="n">
        <v>3</v>
      </c>
      <c r="AO321" t="n">
        <v>3</v>
      </c>
      <c r="AP321" t="n">
        <v>17</v>
      </c>
      <c r="AQ321" t="n">
        <v>17</v>
      </c>
      <c r="AR321" t="inlineStr">
        <is>
          <t>No</t>
        </is>
      </c>
      <c r="AS321" t="inlineStr">
        <is>
          <t>No</t>
        </is>
      </c>
      <c r="AU321">
        <f>HYPERLINK("https://creighton-primo.hosted.exlibrisgroup.com/primo-explore/search?tab=default_tab&amp;search_scope=EVERYTHING&amp;vid=01CRU&amp;lang=en_US&amp;offset=0&amp;query=any,contains,991000910059702656","Catalog Record")</f>
        <v/>
      </c>
      <c r="AV321">
        <f>HYPERLINK("http://www.worldcat.org/oclc/159339","WorldCat Record")</f>
        <v/>
      </c>
      <c r="AW321" t="inlineStr">
        <is>
          <t>1082397132:eng</t>
        </is>
      </c>
      <c r="AX321" t="inlineStr">
        <is>
          <t>159339</t>
        </is>
      </c>
      <c r="AY321" t="inlineStr">
        <is>
          <t>991000910059702656</t>
        </is>
      </c>
      <c r="AZ321" t="inlineStr">
        <is>
          <t>991000910059702656</t>
        </is>
      </c>
      <c r="BA321" t="inlineStr">
        <is>
          <t>2259142250002656</t>
        </is>
      </c>
      <c r="BB321" t="inlineStr">
        <is>
          <t>BOOK</t>
        </is>
      </c>
      <c r="BD321" t="inlineStr">
        <is>
          <t>9780842400213</t>
        </is>
      </c>
      <c r="BE321" t="inlineStr">
        <is>
          <t>32285002550084</t>
        </is>
      </c>
      <c r="BF321" t="inlineStr">
        <is>
          <t>893589855</t>
        </is>
      </c>
    </row>
    <row r="322">
      <c r="B322" t="inlineStr">
        <is>
          <t>CURAL</t>
        </is>
      </c>
      <c r="C322" t="inlineStr">
        <is>
          <t>SHELVES</t>
        </is>
      </c>
      <c r="D322" t="inlineStr">
        <is>
          <t>KF7620 .B57</t>
        </is>
      </c>
      <c r="E322" t="inlineStr">
        <is>
          <t>0                      KF 7620000B  57</t>
        </is>
      </c>
      <c r="F322" t="inlineStr">
        <is>
          <t>Justice under fire; a study of military law, by Joseph W. Bishop, Jr.</t>
        </is>
      </c>
      <c r="H322" t="inlineStr">
        <is>
          <t>No</t>
        </is>
      </c>
      <c r="I322" t="inlineStr">
        <is>
          <t>1</t>
        </is>
      </c>
      <c r="J322" t="inlineStr">
        <is>
          <t>Yes</t>
        </is>
      </c>
      <c r="K322" t="inlineStr">
        <is>
          <t>No</t>
        </is>
      </c>
      <c r="L322" t="inlineStr">
        <is>
          <t>0</t>
        </is>
      </c>
      <c r="M322" t="inlineStr">
        <is>
          <t>Bishop, Joseph Warren, Jr.</t>
        </is>
      </c>
      <c r="N322" t="inlineStr">
        <is>
          <t>New York, Charterhouse [1974]</t>
        </is>
      </c>
      <c r="O322" t="inlineStr">
        <is>
          <t>1974</t>
        </is>
      </c>
      <c r="Q322" t="inlineStr">
        <is>
          <t>eng</t>
        </is>
      </c>
      <c r="R322" t="inlineStr">
        <is>
          <t>nyu</t>
        </is>
      </c>
      <c r="T322" t="inlineStr">
        <is>
          <t xml:space="preserve">KF </t>
        </is>
      </c>
      <c r="U322" t="n">
        <v>0</v>
      </c>
      <c r="V322" t="n">
        <v>2</v>
      </c>
      <c r="W322" t="inlineStr">
        <is>
          <t>2004-03-15</t>
        </is>
      </c>
      <c r="X322" t="inlineStr">
        <is>
          <t>2009-04-08</t>
        </is>
      </c>
      <c r="Y322" t="inlineStr">
        <is>
          <t>1997-04-17</t>
        </is>
      </c>
      <c r="Z322" t="inlineStr">
        <is>
          <t>1997-04-17</t>
        </is>
      </c>
      <c r="AA322" t="n">
        <v>634</v>
      </c>
      <c r="AB322" t="n">
        <v>582</v>
      </c>
      <c r="AC322" t="n">
        <v>588</v>
      </c>
      <c r="AD322" t="n">
        <v>4</v>
      </c>
      <c r="AE322" t="n">
        <v>4</v>
      </c>
      <c r="AF322" t="n">
        <v>35</v>
      </c>
      <c r="AG322" t="n">
        <v>35</v>
      </c>
      <c r="AH322" t="n">
        <v>8</v>
      </c>
      <c r="AI322" t="n">
        <v>8</v>
      </c>
      <c r="AJ322" t="n">
        <v>4</v>
      </c>
      <c r="AK322" t="n">
        <v>4</v>
      </c>
      <c r="AL322" t="n">
        <v>10</v>
      </c>
      <c r="AM322" t="n">
        <v>10</v>
      </c>
      <c r="AN322" t="n">
        <v>1</v>
      </c>
      <c r="AO322" t="n">
        <v>1</v>
      </c>
      <c r="AP322" t="n">
        <v>17</v>
      </c>
      <c r="AQ322" t="n">
        <v>17</v>
      </c>
      <c r="AR322" t="inlineStr">
        <is>
          <t>No</t>
        </is>
      </c>
      <c r="AS322" t="inlineStr">
        <is>
          <t>Yes</t>
        </is>
      </c>
      <c r="AT322">
        <f>HYPERLINK("http://catalog.hathitrust.org/Record/001621464","HathiTrust Record")</f>
        <v/>
      </c>
      <c r="AU322">
        <f>HYPERLINK("https://creighton-primo.hosted.exlibrisgroup.com/primo-explore/search?tab=default_tab&amp;search_scope=EVERYTHING&amp;vid=01CRU&amp;lang=en_US&amp;offset=0&amp;query=any,contains,991001689329702656","Catalog Record")</f>
        <v/>
      </c>
      <c r="AV322">
        <f>HYPERLINK("http://www.worldcat.org/oclc/983806","WorldCat Record")</f>
        <v/>
      </c>
      <c r="AW322" t="inlineStr">
        <is>
          <t>198909867:eng</t>
        </is>
      </c>
      <c r="AX322" t="inlineStr">
        <is>
          <t>983806</t>
        </is>
      </c>
      <c r="AY322" t="inlineStr">
        <is>
          <t>991001689329702656</t>
        </is>
      </c>
      <c r="AZ322" t="inlineStr">
        <is>
          <t>991001689329702656</t>
        </is>
      </c>
      <c r="BA322" t="inlineStr">
        <is>
          <t>2272588410002656</t>
        </is>
      </c>
      <c r="BB322" t="inlineStr">
        <is>
          <t>BOOK</t>
        </is>
      </c>
      <c r="BD322" t="inlineStr">
        <is>
          <t>9780883270349</t>
        </is>
      </c>
      <c r="BE322" t="inlineStr">
        <is>
          <t>32285002552957</t>
        </is>
      </c>
      <c r="BF322" t="inlineStr">
        <is>
          <t>893226034</t>
        </is>
      </c>
    </row>
    <row r="323">
      <c r="B323" t="inlineStr">
        <is>
          <t>CURAL</t>
        </is>
      </c>
      <c r="C323" t="inlineStr">
        <is>
          <t>SHELVES</t>
        </is>
      </c>
      <c r="D323" t="inlineStr">
        <is>
          <t>KF7642.C8 F7</t>
        </is>
      </c>
      <c r="E323" t="inlineStr">
        <is>
          <t>0                      KF 7642000C  8                  F  7</t>
        </is>
      </c>
      <c r="F323" t="inlineStr">
        <is>
          <t>The court-martial of General George Armstrong Custer, by Lawrence A. Frost.</t>
        </is>
      </c>
      <c r="H323" t="inlineStr">
        <is>
          <t>No</t>
        </is>
      </c>
      <c r="I323" t="inlineStr">
        <is>
          <t>1</t>
        </is>
      </c>
      <c r="J323" t="inlineStr">
        <is>
          <t>No</t>
        </is>
      </c>
      <c r="K323" t="inlineStr">
        <is>
          <t>No</t>
        </is>
      </c>
      <c r="L323" t="inlineStr">
        <is>
          <t>0</t>
        </is>
      </c>
      <c r="M323" t="inlineStr">
        <is>
          <t>Frost, Lawrence A.</t>
        </is>
      </c>
      <c r="N323" t="inlineStr">
        <is>
          <t>Norman, University of Oklahoma Press [1968]</t>
        </is>
      </c>
      <c r="O323" t="inlineStr">
        <is>
          <t>1968</t>
        </is>
      </c>
      <c r="P323" t="inlineStr">
        <is>
          <t>[1st ed.]</t>
        </is>
      </c>
      <c r="Q323" t="inlineStr">
        <is>
          <t>eng</t>
        </is>
      </c>
      <c r="R323" t="inlineStr">
        <is>
          <t>oku</t>
        </is>
      </c>
      <c r="T323" t="inlineStr">
        <is>
          <t xml:space="preserve">KF </t>
        </is>
      </c>
      <c r="U323" t="n">
        <v>1</v>
      </c>
      <c r="V323" t="n">
        <v>1</v>
      </c>
      <c r="W323" t="inlineStr">
        <is>
          <t>1997-05-15</t>
        </is>
      </c>
      <c r="X323" t="inlineStr">
        <is>
          <t>1997-05-15</t>
        </is>
      </c>
      <c r="Y323" t="inlineStr">
        <is>
          <t>1997-04-17</t>
        </is>
      </c>
      <c r="Z323" t="inlineStr">
        <is>
          <t>1997-04-17</t>
        </is>
      </c>
      <c r="AA323" t="n">
        <v>769</v>
      </c>
      <c r="AB323" t="n">
        <v>739</v>
      </c>
      <c r="AC323" t="n">
        <v>741</v>
      </c>
      <c r="AD323" t="n">
        <v>8</v>
      </c>
      <c r="AE323" t="n">
        <v>8</v>
      </c>
      <c r="AF323" t="n">
        <v>25</v>
      </c>
      <c r="AG323" t="n">
        <v>25</v>
      </c>
      <c r="AH323" t="n">
        <v>4</v>
      </c>
      <c r="AI323" t="n">
        <v>4</v>
      </c>
      <c r="AJ323" t="n">
        <v>5</v>
      </c>
      <c r="AK323" t="n">
        <v>5</v>
      </c>
      <c r="AL323" t="n">
        <v>5</v>
      </c>
      <c r="AM323" t="n">
        <v>5</v>
      </c>
      <c r="AN323" t="n">
        <v>3</v>
      </c>
      <c r="AO323" t="n">
        <v>3</v>
      </c>
      <c r="AP323" t="n">
        <v>9</v>
      </c>
      <c r="AQ323" t="n">
        <v>9</v>
      </c>
      <c r="AR323" t="inlineStr">
        <is>
          <t>No</t>
        </is>
      </c>
      <c r="AS323" t="inlineStr">
        <is>
          <t>Yes</t>
        </is>
      </c>
      <c r="AT323">
        <f>HYPERLINK("http://catalog.hathitrust.org/Record/000563055","HathiTrust Record")</f>
        <v/>
      </c>
      <c r="AU323">
        <f>HYPERLINK("https://creighton-primo.hosted.exlibrisgroup.com/primo-explore/search?tab=default_tab&amp;search_scope=EVERYTHING&amp;vid=01CRU&amp;lang=en_US&amp;offset=0&amp;query=any,contains,991002733709702656","Catalog Record")</f>
        <v/>
      </c>
      <c r="AV323">
        <f>HYPERLINK("http://www.worldcat.org/oclc/418217","WorldCat Record")</f>
        <v/>
      </c>
      <c r="AW323" t="inlineStr">
        <is>
          <t>462156:eng</t>
        </is>
      </c>
      <c r="AX323" t="inlineStr">
        <is>
          <t>418217</t>
        </is>
      </c>
      <c r="AY323" t="inlineStr">
        <is>
          <t>991002733709702656</t>
        </is>
      </c>
      <c r="AZ323" t="inlineStr">
        <is>
          <t>991002733709702656</t>
        </is>
      </c>
      <c r="BA323" t="inlineStr">
        <is>
          <t>2261000210002656</t>
        </is>
      </c>
      <c r="BB323" t="inlineStr">
        <is>
          <t>BOOK</t>
        </is>
      </c>
      <c r="BE323" t="inlineStr">
        <is>
          <t>32285002552981</t>
        </is>
      </c>
      <c r="BF323" t="inlineStr">
        <is>
          <t>893523981</t>
        </is>
      </c>
    </row>
    <row r="324">
      <c r="B324" t="inlineStr">
        <is>
          <t>CURAL</t>
        </is>
      </c>
      <c r="C324" t="inlineStr">
        <is>
          <t>SHELVES</t>
        </is>
      </c>
      <c r="D324" t="inlineStr">
        <is>
          <t>KF8205 .A93 1978</t>
        </is>
      </c>
      <c r="E324" t="inlineStr">
        <is>
          <t>0                      KF 8205000A  93          1978</t>
        </is>
      </c>
      <c r="F324" t="inlineStr">
        <is>
          <t>Treaty making and treaty rejection by the Federal Government in California, 1850-1852 / by George E. Anderson, W.H. Ellison, Robert F. Heizer.</t>
        </is>
      </c>
      <c r="H324" t="inlineStr">
        <is>
          <t>No</t>
        </is>
      </c>
      <c r="I324" t="inlineStr">
        <is>
          <t>1</t>
        </is>
      </c>
      <c r="J324" t="inlineStr">
        <is>
          <t>No</t>
        </is>
      </c>
      <c r="K324" t="inlineStr">
        <is>
          <t>No</t>
        </is>
      </c>
      <c r="L324" t="inlineStr">
        <is>
          <t>0</t>
        </is>
      </c>
      <c r="M324" t="inlineStr">
        <is>
          <t>Anderson, George E.</t>
        </is>
      </c>
      <c r="N324" t="inlineStr">
        <is>
          <t>Socorro, N.M. : Ballena Press, c1978.</t>
        </is>
      </c>
      <c r="O324" t="inlineStr">
        <is>
          <t>1978</t>
        </is>
      </c>
      <c r="Q324" t="inlineStr">
        <is>
          <t>eng</t>
        </is>
      </c>
      <c r="R324" t="inlineStr">
        <is>
          <t>nmu</t>
        </is>
      </c>
      <c r="S324" t="inlineStr">
        <is>
          <t>Ballena Press publications in archaeology, ethnology, and history ; no. 9</t>
        </is>
      </c>
      <c r="T324" t="inlineStr">
        <is>
          <t xml:space="preserve">KF </t>
        </is>
      </c>
      <c r="U324" t="n">
        <v>1</v>
      </c>
      <c r="V324" t="n">
        <v>1</v>
      </c>
      <c r="W324" t="inlineStr">
        <is>
          <t>2003-05-20</t>
        </is>
      </c>
      <c r="X324" t="inlineStr">
        <is>
          <t>2003-05-20</t>
        </is>
      </c>
      <c r="Y324" t="inlineStr">
        <is>
          <t>2003-05-20</t>
        </is>
      </c>
      <c r="Z324" t="inlineStr">
        <is>
          <t>2003-05-20</t>
        </is>
      </c>
      <c r="AA324" t="n">
        <v>234</v>
      </c>
      <c r="AB324" t="n">
        <v>215</v>
      </c>
      <c r="AC324" t="n">
        <v>217</v>
      </c>
      <c r="AD324" t="n">
        <v>2</v>
      </c>
      <c r="AE324" t="n">
        <v>2</v>
      </c>
      <c r="AF324" t="n">
        <v>9</v>
      </c>
      <c r="AG324" t="n">
        <v>9</v>
      </c>
      <c r="AH324" t="n">
        <v>2</v>
      </c>
      <c r="AI324" t="n">
        <v>2</v>
      </c>
      <c r="AJ324" t="n">
        <v>0</v>
      </c>
      <c r="AK324" t="n">
        <v>0</v>
      </c>
      <c r="AL324" t="n">
        <v>3</v>
      </c>
      <c r="AM324" t="n">
        <v>3</v>
      </c>
      <c r="AN324" t="n">
        <v>1</v>
      </c>
      <c r="AO324" t="n">
        <v>1</v>
      </c>
      <c r="AP324" t="n">
        <v>4</v>
      </c>
      <c r="AQ324" t="n">
        <v>4</v>
      </c>
      <c r="AR324" t="inlineStr">
        <is>
          <t>No</t>
        </is>
      </c>
      <c r="AS324" t="inlineStr">
        <is>
          <t>Yes</t>
        </is>
      </c>
      <c r="AT324">
        <f>HYPERLINK("http://catalog.hathitrust.org/Record/000179678","HathiTrust Record")</f>
        <v/>
      </c>
      <c r="AU324">
        <f>HYPERLINK("https://creighton-primo.hosted.exlibrisgroup.com/primo-explore/search?tab=default_tab&amp;search_scope=EVERYTHING&amp;vid=01CRU&amp;lang=en_US&amp;offset=0&amp;query=any,contains,991004056149702656","Catalog Record")</f>
        <v/>
      </c>
      <c r="AV324">
        <f>HYPERLINK("http://www.worldcat.org/oclc/4114748","WorldCat Record")</f>
        <v/>
      </c>
      <c r="AW324" t="inlineStr">
        <is>
          <t>13121539:eng</t>
        </is>
      </c>
      <c r="AX324" t="inlineStr">
        <is>
          <t>4114748</t>
        </is>
      </c>
      <c r="AY324" t="inlineStr">
        <is>
          <t>991004056149702656</t>
        </is>
      </c>
      <c r="AZ324" t="inlineStr">
        <is>
          <t>991004056149702656</t>
        </is>
      </c>
      <c r="BA324" t="inlineStr">
        <is>
          <t>2270863100002656</t>
        </is>
      </c>
      <c r="BB324" t="inlineStr">
        <is>
          <t>BOOK</t>
        </is>
      </c>
      <c r="BD324" t="inlineStr">
        <is>
          <t>9780879190712</t>
        </is>
      </c>
      <c r="BE324" t="inlineStr">
        <is>
          <t>32285004747316</t>
        </is>
      </c>
      <c r="BF324" t="inlineStr">
        <is>
          <t>893618171</t>
        </is>
      </c>
    </row>
    <row r="325">
      <c r="B325" t="inlineStr">
        <is>
          <t>CURAL</t>
        </is>
      </c>
      <c r="C325" t="inlineStr">
        <is>
          <t>SHELVES</t>
        </is>
      </c>
      <c r="D325" t="inlineStr">
        <is>
          <t>KF8210.N37 B87 1991</t>
        </is>
      </c>
      <c r="E325" t="inlineStr">
        <is>
          <t>0                      KF 8210000N  37                 B  87          1991</t>
        </is>
      </c>
      <c r="F325" t="inlineStr">
        <is>
          <t>American Indian water rights and the limits of law / Lloyd Burton.</t>
        </is>
      </c>
      <c r="H325" t="inlineStr">
        <is>
          <t>No</t>
        </is>
      </c>
      <c r="I325" t="inlineStr">
        <is>
          <t>1</t>
        </is>
      </c>
      <c r="J325" t="inlineStr">
        <is>
          <t>Yes</t>
        </is>
      </c>
      <c r="K325" t="inlineStr">
        <is>
          <t>No</t>
        </is>
      </c>
      <c r="L325" t="inlineStr">
        <is>
          <t>0</t>
        </is>
      </c>
      <c r="M325" t="inlineStr">
        <is>
          <t>Burton, Lloyd.</t>
        </is>
      </c>
      <c r="N325" t="inlineStr">
        <is>
          <t>Lawrence, Kan. : University Press of Kansas, c1991.</t>
        </is>
      </c>
      <c r="O325" t="inlineStr">
        <is>
          <t>1991</t>
        </is>
      </c>
      <c r="Q325" t="inlineStr">
        <is>
          <t>eng</t>
        </is>
      </c>
      <c r="R325" t="inlineStr">
        <is>
          <t>ksu</t>
        </is>
      </c>
      <c r="S325" t="inlineStr">
        <is>
          <t>Development of western resources</t>
        </is>
      </c>
      <c r="T325" t="inlineStr">
        <is>
          <t xml:space="preserve">KF </t>
        </is>
      </c>
      <c r="U325" t="n">
        <v>2</v>
      </c>
      <c r="V325" t="n">
        <v>2</v>
      </c>
      <c r="W325" t="inlineStr">
        <is>
          <t>1998-11-03</t>
        </is>
      </c>
      <c r="X325" t="inlineStr">
        <is>
          <t>1998-11-03</t>
        </is>
      </c>
      <c r="Y325" t="inlineStr">
        <is>
          <t>1992-06-01</t>
        </is>
      </c>
      <c r="Z325" t="inlineStr">
        <is>
          <t>1992-06-01</t>
        </is>
      </c>
      <c r="AA325" t="n">
        <v>631</v>
      </c>
      <c r="AB325" t="n">
        <v>568</v>
      </c>
      <c r="AC325" t="n">
        <v>570</v>
      </c>
      <c r="AD325" t="n">
        <v>6</v>
      </c>
      <c r="AE325" t="n">
        <v>6</v>
      </c>
      <c r="AF325" t="n">
        <v>35</v>
      </c>
      <c r="AG325" t="n">
        <v>35</v>
      </c>
      <c r="AH325" t="n">
        <v>3</v>
      </c>
      <c r="AI325" t="n">
        <v>3</v>
      </c>
      <c r="AJ325" t="n">
        <v>5</v>
      </c>
      <c r="AK325" t="n">
        <v>5</v>
      </c>
      <c r="AL325" t="n">
        <v>9</v>
      </c>
      <c r="AM325" t="n">
        <v>9</v>
      </c>
      <c r="AN325" t="n">
        <v>3</v>
      </c>
      <c r="AO325" t="n">
        <v>3</v>
      </c>
      <c r="AP325" t="n">
        <v>19</v>
      </c>
      <c r="AQ325" t="n">
        <v>19</v>
      </c>
      <c r="AR325" t="inlineStr">
        <is>
          <t>No</t>
        </is>
      </c>
      <c r="AS325" t="inlineStr">
        <is>
          <t>Yes</t>
        </is>
      </c>
      <c r="AT325">
        <f>HYPERLINK("http://catalog.hathitrust.org/Record/002481877","HathiTrust Record")</f>
        <v/>
      </c>
      <c r="AU325">
        <f>HYPERLINK("https://creighton-primo.hosted.exlibrisgroup.com/primo-explore/search?tab=default_tab&amp;search_scope=EVERYTHING&amp;vid=01CRU&amp;lang=en_US&amp;offset=0&amp;query=any,contains,991001647299702656","Catalog Record")</f>
        <v/>
      </c>
      <c r="AV325">
        <f>HYPERLINK("http://www.worldcat.org/oclc/22733145","WorldCat Record")</f>
        <v/>
      </c>
      <c r="AW325" t="inlineStr">
        <is>
          <t>348033:eng</t>
        </is>
      </c>
      <c r="AX325" t="inlineStr">
        <is>
          <t>22733145</t>
        </is>
      </c>
      <c r="AY325" t="inlineStr">
        <is>
          <t>991001647299702656</t>
        </is>
      </c>
      <c r="AZ325" t="inlineStr">
        <is>
          <t>991001647299702656</t>
        </is>
      </c>
      <c r="BA325" t="inlineStr">
        <is>
          <t>2267038870002656</t>
        </is>
      </c>
      <c r="BB325" t="inlineStr">
        <is>
          <t>BOOK</t>
        </is>
      </c>
      <c r="BD325" t="inlineStr">
        <is>
          <t>9780700604814</t>
        </is>
      </c>
      <c r="BE325" t="inlineStr">
        <is>
          <t>32285001125110</t>
        </is>
      </c>
      <c r="BF325" t="inlineStr">
        <is>
          <t>893772752</t>
        </is>
      </c>
    </row>
    <row r="326">
      <c r="B326" t="inlineStr">
        <is>
          <t>CURAL</t>
        </is>
      </c>
      <c r="C326" t="inlineStr">
        <is>
          <t>SHELVES</t>
        </is>
      </c>
      <c r="D326" t="inlineStr">
        <is>
          <t>KF8228.C505 P3 1934</t>
        </is>
      </c>
      <c r="E326" t="inlineStr">
        <is>
          <t>0                      KF 8228000C  505                P  3           1934</t>
        </is>
      </c>
      <c r="F326" t="inlineStr">
        <is>
          <t>Indian justice : a Cherokee murder trial at Tahlequah in 1840, as reported by John Howard Payne / edited with introduction and footnotes by Grant Foreman.</t>
        </is>
      </c>
      <c r="H326" t="inlineStr">
        <is>
          <t>No</t>
        </is>
      </c>
      <c r="I326" t="inlineStr">
        <is>
          <t>1</t>
        </is>
      </c>
      <c r="J326" t="inlineStr">
        <is>
          <t>No</t>
        </is>
      </c>
      <c r="K326" t="inlineStr">
        <is>
          <t>Yes</t>
        </is>
      </c>
      <c r="L326" t="inlineStr">
        <is>
          <t>0</t>
        </is>
      </c>
      <c r="M326" t="inlineStr">
        <is>
          <t>Payne, John Howard, 1791-1852.</t>
        </is>
      </c>
      <c r="N326" t="inlineStr">
        <is>
          <t>Oklahoma City, Okla. : Harlow Pub. Co., 1934.</t>
        </is>
      </c>
      <c r="O326" t="inlineStr">
        <is>
          <t>1934</t>
        </is>
      </c>
      <c r="Q326" t="inlineStr">
        <is>
          <t>eng</t>
        </is>
      </c>
      <c r="R326" t="inlineStr">
        <is>
          <t>oku</t>
        </is>
      </c>
      <c r="T326" t="inlineStr">
        <is>
          <t xml:space="preserve">KF </t>
        </is>
      </c>
      <c r="U326" t="n">
        <v>1</v>
      </c>
      <c r="V326" t="n">
        <v>1</v>
      </c>
      <c r="W326" t="inlineStr">
        <is>
          <t>2003-06-04</t>
        </is>
      </c>
      <c r="X326" t="inlineStr">
        <is>
          <t>2003-06-04</t>
        </is>
      </c>
      <c r="Y326" t="inlineStr">
        <is>
          <t>2003-06-04</t>
        </is>
      </c>
      <c r="Z326" t="inlineStr">
        <is>
          <t>2003-06-04</t>
        </is>
      </c>
      <c r="AA326" t="n">
        <v>121</v>
      </c>
      <c r="AB326" t="n">
        <v>117</v>
      </c>
      <c r="AC326" t="n">
        <v>369</v>
      </c>
      <c r="AD326" t="n">
        <v>1</v>
      </c>
      <c r="AE326" t="n">
        <v>3</v>
      </c>
      <c r="AF326" t="n">
        <v>4</v>
      </c>
      <c r="AG326" t="n">
        <v>18</v>
      </c>
      <c r="AH326" t="n">
        <v>1</v>
      </c>
      <c r="AI326" t="n">
        <v>1</v>
      </c>
      <c r="AJ326" t="n">
        <v>0</v>
      </c>
      <c r="AK326" t="n">
        <v>3</v>
      </c>
      <c r="AL326" t="n">
        <v>0</v>
      </c>
      <c r="AM326" t="n">
        <v>1</v>
      </c>
      <c r="AN326" t="n">
        <v>0</v>
      </c>
      <c r="AO326" t="n">
        <v>0</v>
      </c>
      <c r="AP326" t="n">
        <v>3</v>
      </c>
      <c r="AQ326" t="n">
        <v>14</v>
      </c>
      <c r="AR326" t="inlineStr">
        <is>
          <t>No</t>
        </is>
      </c>
      <c r="AS326" t="inlineStr">
        <is>
          <t>No</t>
        </is>
      </c>
      <c r="AU326">
        <f>HYPERLINK("https://creighton-primo.hosted.exlibrisgroup.com/primo-explore/search?tab=default_tab&amp;search_scope=EVERYTHING&amp;vid=01CRU&amp;lang=en_US&amp;offset=0&amp;query=any,contains,991004070039702656","Catalog Record")</f>
        <v/>
      </c>
      <c r="AV326">
        <f>HYPERLINK("http://www.worldcat.org/oclc/2098047","WorldCat Record")</f>
        <v/>
      </c>
      <c r="AW326" t="inlineStr">
        <is>
          <t>1911817967:eng</t>
        </is>
      </c>
      <c r="AX326" t="inlineStr">
        <is>
          <t>2098047</t>
        </is>
      </c>
      <c r="AY326" t="inlineStr">
        <is>
          <t>991004070039702656</t>
        </is>
      </c>
      <c r="AZ326" t="inlineStr">
        <is>
          <t>991004070039702656</t>
        </is>
      </c>
      <c r="BA326" t="inlineStr">
        <is>
          <t>2265566400002656</t>
        </is>
      </c>
      <c r="BB326" t="inlineStr">
        <is>
          <t>BOOK</t>
        </is>
      </c>
      <c r="BE326" t="inlineStr">
        <is>
          <t>32285004750690</t>
        </is>
      </c>
      <c r="BF326" t="inlineStr">
        <is>
          <t>893900769</t>
        </is>
      </c>
    </row>
    <row r="327">
      <c r="B327" t="inlineStr">
        <is>
          <t>CURAL</t>
        </is>
      </c>
      <c r="C327" t="inlineStr">
        <is>
          <t>SHELVES</t>
        </is>
      </c>
      <c r="D327" t="inlineStr">
        <is>
          <t>KF8700 .O53 1985</t>
        </is>
      </c>
      <c r="E327" t="inlineStr">
        <is>
          <t>0                      KF 8700000O  53          1985</t>
        </is>
      </c>
      <c r="F327" t="inlineStr">
        <is>
          <t>Bakke &amp; the politics of equality : friends and foes in the classroom of litigation / Timothy J. O'Neill.</t>
        </is>
      </c>
      <c r="H327" t="inlineStr">
        <is>
          <t>No</t>
        </is>
      </c>
      <c r="I327" t="inlineStr">
        <is>
          <t>1</t>
        </is>
      </c>
      <c r="J327" t="inlineStr">
        <is>
          <t>No</t>
        </is>
      </c>
      <c r="K327" t="inlineStr">
        <is>
          <t>No</t>
        </is>
      </c>
      <c r="L327" t="inlineStr">
        <is>
          <t>0</t>
        </is>
      </c>
      <c r="M327" t="inlineStr">
        <is>
          <t>O'Neill, Timothy J.</t>
        </is>
      </c>
      <c r="N327" t="inlineStr">
        <is>
          <t>Middletown, Conn. : Wesleyan University Press ; Scranton, Pa. : Distributed by Harper &amp; Row, c1985.</t>
        </is>
      </c>
      <c r="O327" t="inlineStr">
        <is>
          <t>1984</t>
        </is>
      </c>
      <c r="P327" t="inlineStr">
        <is>
          <t>1st ed.</t>
        </is>
      </c>
      <c r="Q327" t="inlineStr">
        <is>
          <t>eng</t>
        </is>
      </c>
      <c r="R327" t="inlineStr">
        <is>
          <t>ctu</t>
        </is>
      </c>
      <c r="T327" t="inlineStr">
        <is>
          <t xml:space="preserve">KF </t>
        </is>
      </c>
      <c r="U327" t="n">
        <v>9</v>
      </c>
      <c r="V327" t="n">
        <v>9</v>
      </c>
      <c r="W327" t="inlineStr">
        <is>
          <t>2010-04-09</t>
        </is>
      </c>
      <c r="X327" t="inlineStr">
        <is>
          <t>2010-04-09</t>
        </is>
      </c>
      <c r="Y327" t="inlineStr">
        <is>
          <t>1990-04-10</t>
        </is>
      </c>
      <c r="Z327" t="inlineStr">
        <is>
          <t>1990-04-10</t>
        </is>
      </c>
      <c r="AA327" t="n">
        <v>732</v>
      </c>
      <c r="AB327" t="n">
        <v>691</v>
      </c>
      <c r="AC327" t="n">
        <v>722</v>
      </c>
      <c r="AD327" t="n">
        <v>7</v>
      </c>
      <c r="AE327" t="n">
        <v>7</v>
      </c>
      <c r="AF327" t="n">
        <v>47</v>
      </c>
      <c r="AG327" t="n">
        <v>48</v>
      </c>
      <c r="AH327" t="n">
        <v>12</v>
      </c>
      <c r="AI327" t="n">
        <v>12</v>
      </c>
      <c r="AJ327" t="n">
        <v>5</v>
      </c>
      <c r="AK327" t="n">
        <v>5</v>
      </c>
      <c r="AL327" t="n">
        <v>15</v>
      </c>
      <c r="AM327" t="n">
        <v>15</v>
      </c>
      <c r="AN327" t="n">
        <v>5</v>
      </c>
      <c r="AO327" t="n">
        <v>5</v>
      </c>
      <c r="AP327" t="n">
        <v>18</v>
      </c>
      <c r="AQ327" t="n">
        <v>19</v>
      </c>
      <c r="AR327" t="inlineStr">
        <is>
          <t>No</t>
        </is>
      </c>
      <c r="AS327" t="inlineStr">
        <is>
          <t>No</t>
        </is>
      </c>
      <c r="AU327">
        <f>HYPERLINK("https://creighton-primo.hosted.exlibrisgroup.com/primo-explore/search?tab=default_tab&amp;search_scope=EVERYTHING&amp;vid=01CRU&amp;lang=en_US&amp;offset=0&amp;query=any,contains,991000348299702656","Catalog Record")</f>
        <v/>
      </c>
      <c r="AV327">
        <f>HYPERLINK("http://www.worldcat.org/oclc/10299328","WorldCat Record")</f>
        <v/>
      </c>
      <c r="AW327" t="inlineStr">
        <is>
          <t>2796285:eng</t>
        </is>
      </c>
      <c r="AX327" t="inlineStr">
        <is>
          <t>10299328</t>
        </is>
      </c>
      <c r="AY327" t="inlineStr">
        <is>
          <t>991000348299702656</t>
        </is>
      </c>
      <c r="AZ327" t="inlineStr">
        <is>
          <t>991000348299702656</t>
        </is>
      </c>
      <c r="BA327" t="inlineStr">
        <is>
          <t>2255376120002656</t>
        </is>
      </c>
      <c r="BB327" t="inlineStr">
        <is>
          <t>BOOK</t>
        </is>
      </c>
      <c r="BD327" t="inlineStr">
        <is>
          <t>9780819551160</t>
        </is>
      </c>
      <c r="BE327" t="inlineStr">
        <is>
          <t>32285000103886</t>
        </is>
      </c>
      <c r="BF327" t="inlineStr">
        <is>
          <t>893231047</t>
        </is>
      </c>
    </row>
    <row r="328">
      <c r="B328" t="inlineStr">
        <is>
          <t>CURAL</t>
        </is>
      </c>
      <c r="C328" t="inlineStr">
        <is>
          <t>SHELVES</t>
        </is>
      </c>
      <c r="D328" t="inlineStr">
        <is>
          <t>KF8700.Z95 S78 1992</t>
        </is>
      </c>
      <c r="E328" t="inlineStr">
        <is>
          <t>0                      KF 8700000Z  95                 S  78          1992</t>
        </is>
      </c>
      <c r="F328" t="inlineStr">
        <is>
          <t>The politics of state courts / Harry P. Stumpf, John H. Culver.</t>
        </is>
      </c>
      <c r="H328" t="inlineStr">
        <is>
          <t>No</t>
        </is>
      </c>
      <c r="I328" t="inlineStr">
        <is>
          <t>1</t>
        </is>
      </c>
      <c r="J328" t="inlineStr">
        <is>
          <t>No</t>
        </is>
      </c>
      <c r="K328" t="inlineStr">
        <is>
          <t>No</t>
        </is>
      </c>
      <c r="L328" t="inlineStr">
        <is>
          <t>0</t>
        </is>
      </c>
      <c r="M328" t="inlineStr">
        <is>
          <t>Stumpf, Harry P.</t>
        </is>
      </c>
      <c r="N328" t="inlineStr">
        <is>
          <t>New York : Longman, c1992.</t>
        </is>
      </c>
      <c r="O328" t="inlineStr">
        <is>
          <t>1992</t>
        </is>
      </c>
      <c r="Q328" t="inlineStr">
        <is>
          <t>eng</t>
        </is>
      </c>
      <c r="R328" t="inlineStr">
        <is>
          <t>nyu</t>
        </is>
      </c>
      <c r="T328" t="inlineStr">
        <is>
          <t xml:space="preserve">KF </t>
        </is>
      </c>
      <c r="U328" t="n">
        <v>0</v>
      </c>
      <c r="V328" t="n">
        <v>0</v>
      </c>
      <c r="W328" t="inlineStr">
        <is>
          <t>2002-05-22</t>
        </is>
      </c>
      <c r="X328" t="inlineStr">
        <is>
          <t>2002-05-22</t>
        </is>
      </c>
      <c r="Y328" t="inlineStr">
        <is>
          <t>1995-05-25</t>
        </is>
      </c>
      <c r="Z328" t="inlineStr">
        <is>
          <t>1995-05-25</t>
        </is>
      </c>
      <c r="AA328" t="n">
        <v>326</v>
      </c>
      <c r="AB328" t="n">
        <v>315</v>
      </c>
      <c r="AC328" t="n">
        <v>319</v>
      </c>
      <c r="AD328" t="n">
        <v>2</v>
      </c>
      <c r="AE328" t="n">
        <v>2</v>
      </c>
      <c r="AF328" t="n">
        <v>24</v>
      </c>
      <c r="AG328" t="n">
        <v>25</v>
      </c>
      <c r="AH328" t="n">
        <v>5</v>
      </c>
      <c r="AI328" t="n">
        <v>6</v>
      </c>
      <c r="AJ328" t="n">
        <v>3</v>
      </c>
      <c r="AK328" t="n">
        <v>3</v>
      </c>
      <c r="AL328" t="n">
        <v>7</v>
      </c>
      <c r="AM328" t="n">
        <v>7</v>
      </c>
      <c r="AN328" t="n">
        <v>1</v>
      </c>
      <c r="AO328" t="n">
        <v>1</v>
      </c>
      <c r="AP328" t="n">
        <v>13</v>
      </c>
      <c r="AQ328" t="n">
        <v>13</v>
      </c>
      <c r="AR328" t="inlineStr">
        <is>
          <t>No</t>
        </is>
      </c>
      <c r="AS328" t="inlineStr">
        <is>
          <t>No</t>
        </is>
      </c>
      <c r="AU328">
        <f>HYPERLINK("https://creighton-primo.hosted.exlibrisgroup.com/primo-explore/search?tab=default_tab&amp;search_scope=EVERYTHING&amp;vid=01CRU&amp;lang=en_US&amp;offset=0&amp;query=any,contains,991001911529702656","Catalog Record")</f>
        <v/>
      </c>
      <c r="AV328">
        <f>HYPERLINK("http://www.worldcat.org/oclc/24142770","WorldCat Record")</f>
        <v/>
      </c>
      <c r="AW328" t="inlineStr">
        <is>
          <t>26106202:eng</t>
        </is>
      </c>
      <c r="AX328" t="inlineStr">
        <is>
          <t>24142770</t>
        </is>
      </c>
      <c r="AY328" t="inlineStr">
        <is>
          <t>991001911529702656</t>
        </is>
      </c>
      <c r="AZ328" t="inlineStr">
        <is>
          <t>991001911529702656</t>
        </is>
      </c>
      <c r="BA328" t="inlineStr">
        <is>
          <t>2265756620002656</t>
        </is>
      </c>
      <c r="BB328" t="inlineStr">
        <is>
          <t>BOOK</t>
        </is>
      </c>
      <c r="BD328" t="inlineStr">
        <is>
          <t>9780801300516</t>
        </is>
      </c>
      <c r="BE328" t="inlineStr">
        <is>
          <t>32285002047495</t>
        </is>
      </c>
      <c r="BF328" t="inlineStr">
        <is>
          <t>893250602</t>
        </is>
      </c>
    </row>
    <row r="329">
      <c r="B329" t="inlineStr">
        <is>
          <t>CURAL</t>
        </is>
      </c>
      <c r="C329" t="inlineStr">
        <is>
          <t>SHELVES</t>
        </is>
      </c>
      <c r="D329" t="inlineStr">
        <is>
          <t>KF8742 .B3</t>
        </is>
      </c>
      <c r="E329" t="inlineStr">
        <is>
          <t>0                      KF 8742000B  3</t>
        </is>
      </c>
      <c r="F329" t="inlineStr">
        <is>
          <t>Back to back, the duel between FDR and the Supreme Court.</t>
        </is>
      </c>
      <c r="H329" t="inlineStr">
        <is>
          <t>No</t>
        </is>
      </c>
      <c r="I329" t="inlineStr">
        <is>
          <t>1</t>
        </is>
      </c>
      <c r="J329" t="inlineStr">
        <is>
          <t>No</t>
        </is>
      </c>
      <c r="K329" t="inlineStr">
        <is>
          <t>No</t>
        </is>
      </c>
      <c r="L329" t="inlineStr">
        <is>
          <t>0</t>
        </is>
      </c>
      <c r="M329" t="inlineStr">
        <is>
          <t>Baker, Leonard.</t>
        </is>
      </c>
      <c r="N329" t="inlineStr">
        <is>
          <t>New York, Macmillan [1967]</t>
        </is>
      </c>
      <c r="O329" t="inlineStr">
        <is>
          <t>1967</t>
        </is>
      </c>
      <c r="Q329" t="inlineStr">
        <is>
          <t>eng</t>
        </is>
      </c>
      <c r="R329" t="inlineStr">
        <is>
          <t>nyu</t>
        </is>
      </c>
      <c r="T329" t="inlineStr">
        <is>
          <t xml:space="preserve">KF </t>
        </is>
      </c>
      <c r="U329" t="n">
        <v>1</v>
      </c>
      <c r="V329" t="n">
        <v>1</v>
      </c>
      <c r="W329" t="inlineStr">
        <is>
          <t>2010-04-18</t>
        </is>
      </c>
      <c r="X329" t="inlineStr">
        <is>
          <t>2010-04-18</t>
        </is>
      </c>
      <c r="Y329" t="inlineStr">
        <is>
          <t>1997-04-18</t>
        </is>
      </c>
      <c r="Z329" t="inlineStr">
        <is>
          <t>1997-04-18</t>
        </is>
      </c>
      <c r="AA329" t="n">
        <v>980</v>
      </c>
      <c r="AB329" t="n">
        <v>919</v>
      </c>
      <c r="AC329" t="n">
        <v>932</v>
      </c>
      <c r="AD329" t="n">
        <v>12</v>
      </c>
      <c r="AE329" t="n">
        <v>12</v>
      </c>
      <c r="AF329" t="n">
        <v>60</v>
      </c>
      <c r="AG329" t="n">
        <v>61</v>
      </c>
      <c r="AH329" t="n">
        <v>20</v>
      </c>
      <c r="AI329" t="n">
        <v>20</v>
      </c>
      <c r="AJ329" t="n">
        <v>6</v>
      </c>
      <c r="AK329" t="n">
        <v>7</v>
      </c>
      <c r="AL329" t="n">
        <v>20</v>
      </c>
      <c r="AM329" t="n">
        <v>20</v>
      </c>
      <c r="AN329" t="n">
        <v>8</v>
      </c>
      <c r="AO329" t="n">
        <v>8</v>
      </c>
      <c r="AP329" t="n">
        <v>17</v>
      </c>
      <c r="AQ329" t="n">
        <v>17</v>
      </c>
      <c r="AR329" t="inlineStr">
        <is>
          <t>No</t>
        </is>
      </c>
      <c r="AS329" t="inlineStr">
        <is>
          <t>Yes</t>
        </is>
      </c>
      <c r="AT329">
        <f>HYPERLINK("http://catalog.hathitrust.org/Record/001142679","HathiTrust Record")</f>
        <v/>
      </c>
      <c r="AU329">
        <f>HYPERLINK("https://creighton-primo.hosted.exlibrisgroup.com/primo-explore/search?tab=default_tab&amp;search_scope=EVERYTHING&amp;vid=01CRU&amp;lang=en_US&amp;offset=0&amp;query=any,contains,991002871639702656","Catalog Record")</f>
        <v/>
      </c>
      <c r="AV329">
        <f>HYPERLINK("http://www.worldcat.org/oclc/499568","WorldCat Record")</f>
        <v/>
      </c>
      <c r="AW329" t="inlineStr">
        <is>
          <t>1593113:eng</t>
        </is>
      </c>
      <c r="AX329" t="inlineStr">
        <is>
          <t>499568</t>
        </is>
      </c>
      <c r="AY329" t="inlineStr">
        <is>
          <t>991002871639702656</t>
        </is>
      </c>
      <c r="AZ329" t="inlineStr">
        <is>
          <t>991002871639702656</t>
        </is>
      </c>
      <c r="BA329" t="inlineStr">
        <is>
          <t>2271273530002656</t>
        </is>
      </c>
      <c r="BB329" t="inlineStr">
        <is>
          <t>BOOK</t>
        </is>
      </c>
      <c r="BE329" t="inlineStr">
        <is>
          <t>32285002553203</t>
        </is>
      </c>
      <c r="BF329" t="inlineStr">
        <is>
          <t>893335827</t>
        </is>
      </c>
    </row>
    <row r="330">
      <c r="B330" t="inlineStr">
        <is>
          <t>CURAL</t>
        </is>
      </c>
      <c r="C330" t="inlineStr">
        <is>
          <t>SHELVES</t>
        </is>
      </c>
      <c r="D330" t="inlineStr">
        <is>
          <t>KF8742 .B74 1989</t>
        </is>
      </c>
      <c r="E330" t="inlineStr">
        <is>
          <t>0                      KF 8742000B  74          1989</t>
        </is>
      </c>
      <c r="F330" t="inlineStr">
        <is>
          <t>Battle for justice : how the Bork nomination shook America / Ethan Bronner.</t>
        </is>
      </c>
      <c r="H330" t="inlineStr">
        <is>
          <t>No</t>
        </is>
      </c>
      <c r="I330" t="inlineStr">
        <is>
          <t>1</t>
        </is>
      </c>
      <c r="J330" t="inlineStr">
        <is>
          <t>Yes</t>
        </is>
      </c>
      <c r="K330" t="inlineStr">
        <is>
          <t>No</t>
        </is>
      </c>
      <c r="L330" t="inlineStr">
        <is>
          <t>0</t>
        </is>
      </c>
      <c r="M330" t="inlineStr">
        <is>
          <t>Bronner, Ethan.</t>
        </is>
      </c>
      <c r="N330" t="inlineStr">
        <is>
          <t>New York : W.W. Norton, c1989.</t>
        </is>
      </c>
      <c r="O330" t="inlineStr">
        <is>
          <t>1989</t>
        </is>
      </c>
      <c r="P330" t="inlineStr">
        <is>
          <t>1st ed.</t>
        </is>
      </c>
      <c r="Q330" t="inlineStr">
        <is>
          <t>eng</t>
        </is>
      </c>
      <c r="R330" t="inlineStr">
        <is>
          <t>nyu</t>
        </is>
      </c>
      <c r="T330" t="inlineStr">
        <is>
          <t xml:space="preserve">KF </t>
        </is>
      </c>
      <c r="U330" t="n">
        <v>8</v>
      </c>
      <c r="V330" t="n">
        <v>8</v>
      </c>
      <c r="W330" t="inlineStr">
        <is>
          <t>2009-04-02</t>
        </is>
      </c>
      <c r="X330" t="inlineStr">
        <is>
          <t>2009-04-02</t>
        </is>
      </c>
      <c r="Y330" t="inlineStr">
        <is>
          <t>1989-10-23</t>
        </is>
      </c>
      <c r="Z330" t="inlineStr">
        <is>
          <t>1992-06-03</t>
        </is>
      </c>
      <c r="AA330" t="n">
        <v>946</v>
      </c>
      <c r="AB330" t="n">
        <v>886</v>
      </c>
      <c r="AC330" t="n">
        <v>971</v>
      </c>
      <c r="AD330" t="n">
        <v>6</v>
      </c>
      <c r="AE330" t="n">
        <v>7</v>
      </c>
      <c r="AF330" t="n">
        <v>46</v>
      </c>
      <c r="AG330" t="n">
        <v>50</v>
      </c>
      <c r="AH330" t="n">
        <v>10</v>
      </c>
      <c r="AI330" t="n">
        <v>12</v>
      </c>
      <c r="AJ330" t="n">
        <v>6</v>
      </c>
      <c r="AK330" t="n">
        <v>6</v>
      </c>
      <c r="AL330" t="n">
        <v>13</v>
      </c>
      <c r="AM330" t="n">
        <v>13</v>
      </c>
      <c r="AN330" t="n">
        <v>2</v>
      </c>
      <c r="AO330" t="n">
        <v>3</v>
      </c>
      <c r="AP330" t="n">
        <v>21</v>
      </c>
      <c r="AQ330" t="n">
        <v>22</v>
      </c>
      <c r="AR330" t="inlineStr">
        <is>
          <t>No</t>
        </is>
      </c>
      <c r="AS330" t="inlineStr">
        <is>
          <t>Yes</t>
        </is>
      </c>
      <c r="AT330">
        <f>HYPERLINK("http://catalog.hathitrust.org/Record/001547413","HathiTrust Record")</f>
        <v/>
      </c>
      <c r="AU330">
        <f>HYPERLINK("https://creighton-primo.hosted.exlibrisgroup.com/primo-explore/search?tab=default_tab&amp;search_scope=EVERYTHING&amp;vid=01CRU&amp;lang=en_US&amp;offset=0&amp;query=any,contains,991001641069702656","Catalog Record")</f>
        <v/>
      </c>
      <c r="AV330">
        <f>HYPERLINK("http://www.worldcat.org/oclc/19456811","WorldCat Record")</f>
        <v/>
      </c>
      <c r="AW330" t="inlineStr">
        <is>
          <t>21201518:eng</t>
        </is>
      </c>
      <c r="AX330" t="inlineStr">
        <is>
          <t>19456811</t>
        </is>
      </c>
      <c r="AY330" t="inlineStr">
        <is>
          <t>991001641069702656</t>
        </is>
      </c>
      <c r="AZ330" t="inlineStr">
        <is>
          <t>991001641069702656</t>
        </is>
      </c>
      <c r="BA330" t="inlineStr">
        <is>
          <t>2267592840002656</t>
        </is>
      </c>
      <c r="BB330" t="inlineStr">
        <is>
          <t>BOOK</t>
        </is>
      </c>
      <c r="BD330" t="inlineStr">
        <is>
          <t>9780393026900</t>
        </is>
      </c>
      <c r="BE330" t="inlineStr">
        <is>
          <t>32285000004498</t>
        </is>
      </c>
      <c r="BF330" t="inlineStr">
        <is>
          <t>893439263</t>
        </is>
      </c>
    </row>
    <row r="331">
      <c r="B331" t="inlineStr">
        <is>
          <t>CURAL</t>
        </is>
      </c>
      <c r="C331" t="inlineStr">
        <is>
          <t>SHELVES</t>
        </is>
      </c>
      <c r="D331" t="inlineStr">
        <is>
          <t>KF8742 .D38 1994</t>
        </is>
      </c>
      <c r="E331" t="inlineStr">
        <is>
          <t>0                      KF 8742000D  38          1994</t>
        </is>
      </c>
      <c r="F331" t="inlineStr">
        <is>
          <t>Decisions and images : the Supreme Court and the press / Richard Davis.</t>
        </is>
      </c>
      <c r="H331" t="inlineStr">
        <is>
          <t>No</t>
        </is>
      </c>
      <c r="I331" t="inlineStr">
        <is>
          <t>1</t>
        </is>
      </c>
      <c r="J331" t="inlineStr">
        <is>
          <t>No</t>
        </is>
      </c>
      <c r="K331" t="inlineStr">
        <is>
          <t>No</t>
        </is>
      </c>
      <c r="L331" t="inlineStr">
        <is>
          <t>0</t>
        </is>
      </c>
      <c r="M331" t="inlineStr">
        <is>
          <t>Davis, Richard, 1955-</t>
        </is>
      </c>
      <c r="N331" t="inlineStr">
        <is>
          <t>Englewood Cliffs, N.J. : Prentice-Hall, 1994.</t>
        </is>
      </c>
      <c r="O331" t="inlineStr">
        <is>
          <t>1994</t>
        </is>
      </c>
      <c r="Q331" t="inlineStr">
        <is>
          <t>eng</t>
        </is>
      </c>
      <c r="R331" t="inlineStr">
        <is>
          <t>nju</t>
        </is>
      </c>
      <c r="T331" t="inlineStr">
        <is>
          <t xml:space="preserve">KF </t>
        </is>
      </c>
      <c r="U331" t="n">
        <v>5</v>
      </c>
      <c r="V331" t="n">
        <v>5</v>
      </c>
      <c r="W331" t="inlineStr">
        <is>
          <t>2002-12-09</t>
        </is>
      </c>
      <c r="X331" t="inlineStr">
        <is>
          <t>2002-12-09</t>
        </is>
      </c>
      <c r="Y331" t="inlineStr">
        <is>
          <t>1994-03-18</t>
        </is>
      </c>
      <c r="Z331" t="inlineStr">
        <is>
          <t>1994-03-18</t>
        </is>
      </c>
      <c r="AA331" t="n">
        <v>331</v>
      </c>
      <c r="AB331" t="n">
        <v>299</v>
      </c>
      <c r="AC331" t="n">
        <v>305</v>
      </c>
      <c r="AD331" t="n">
        <v>2</v>
      </c>
      <c r="AE331" t="n">
        <v>2</v>
      </c>
      <c r="AF331" t="n">
        <v>21</v>
      </c>
      <c r="AG331" t="n">
        <v>21</v>
      </c>
      <c r="AH331" t="n">
        <v>5</v>
      </c>
      <c r="AI331" t="n">
        <v>5</v>
      </c>
      <c r="AJ331" t="n">
        <v>5</v>
      </c>
      <c r="AK331" t="n">
        <v>5</v>
      </c>
      <c r="AL331" t="n">
        <v>5</v>
      </c>
      <c r="AM331" t="n">
        <v>5</v>
      </c>
      <c r="AN331" t="n">
        <v>1</v>
      </c>
      <c r="AO331" t="n">
        <v>1</v>
      </c>
      <c r="AP331" t="n">
        <v>9</v>
      </c>
      <c r="AQ331" t="n">
        <v>9</v>
      </c>
      <c r="AR331" t="inlineStr">
        <is>
          <t>No</t>
        </is>
      </c>
      <c r="AS331" t="inlineStr">
        <is>
          <t>Yes</t>
        </is>
      </c>
      <c r="AT331">
        <f>HYPERLINK("http://catalog.hathitrust.org/Record/002801721","HathiTrust Record")</f>
        <v/>
      </c>
      <c r="AU331">
        <f>HYPERLINK("https://creighton-primo.hosted.exlibrisgroup.com/primo-explore/search?tab=default_tab&amp;search_scope=EVERYTHING&amp;vid=01CRU&amp;lang=en_US&amp;offset=0&amp;query=any,contains,991002180319702656","Catalog Record")</f>
        <v/>
      </c>
      <c r="AV331">
        <f>HYPERLINK("http://www.worldcat.org/oclc/28066619","WorldCat Record")</f>
        <v/>
      </c>
      <c r="AW331" t="inlineStr">
        <is>
          <t>476555415:eng</t>
        </is>
      </c>
      <c r="AX331" t="inlineStr">
        <is>
          <t>28066619</t>
        </is>
      </c>
      <c r="AY331" t="inlineStr">
        <is>
          <t>991002180319702656</t>
        </is>
      </c>
      <c r="AZ331" t="inlineStr">
        <is>
          <t>991002180319702656</t>
        </is>
      </c>
      <c r="BA331" t="inlineStr">
        <is>
          <t>2259425180002656</t>
        </is>
      </c>
      <c r="BB331" t="inlineStr">
        <is>
          <t>BOOK</t>
        </is>
      </c>
      <c r="BD331" t="inlineStr">
        <is>
          <t>9780130345059</t>
        </is>
      </c>
      <c r="BE331" t="inlineStr">
        <is>
          <t>32285001856599</t>
        </is>
      </c>
      <c r="BF331" t="inlineStr">
        <is>
          <t>893798275</t>
        </is>
      </c>
    </row>
    <row r="332">
      <c r="B332" t="inlineStr">
        <is>
          <t>CURAL</t>
        </is>
      </c>
      <c r="C332" t="inlineStr">
        <is>
          <t>SHELVES</t>
        </is>
      </c>
      <c r="D332" t="inlineStr">
        <is>
          <t>KF8742 .K8</t>
        </is>
      </c>
      <c r="E332" t="inlineStr">
        <is>
          <t>0                      KF 8742000K  8</t>
        </is>
      </c>
      <c r="F332" t="inlineStr">
        <is>
          <t>Judicial power and Reconstruction politics [by] Stanley I. Kutler.</t>
        </is>
      </c>
      <c r="H332" t="inlineStr">
        <is>
          <t>No</t>
        </is>
      </c>
      <c r="I332" t="inlineStr">
        <is>
          <t>1</t>
        </is>
      </c>
      <c r="J332" t="inlineStr">
        <is>
          <t>Yes</t>
        </is>
      </c>
      <c r="K332" t="inlineStr">
        <is>
          <t>No</t>
        </is>
      </c>
      <c r="L332" t="inlineStr">
        <is>
          <t>0</t>
        </is>
      </c>
      <c r="M332" t="inlineStr">
        <is>
          <t>Kutler, Stanley I.</t>
        </is>
      </c>
      <c r="N332" t="inlineStr">
        <is>
          <t>Chicago, University of Chicago Press [1968]</t>
        </is>
      </c>
      <c r="O332" t="inlineStr">
        <is>
          <t>1968</t>
        </is>
      </c>
      <c r="Q332" t="inlineStr">
        <is>
          <t>eng</t>
        </is>
      </c>
      <c r="R332" t="inlineStr">
        <is>
          <t>ilu</t>
        </is>
      </c>
      <c r="T332" t="inlineStr">
        <is>
          <t xml:space="preserve">KF </t>
        </is>
      </c>
      <c r="U332" t="n">
        <v>1</v>
      </c>
      <c r="V332" t="n">
        <v>1</v>
      </c>
      <c r="W332" t="inlineStr">
        <is>
          <t>2009-09-05</t>
        </is>
      </c>
      <c r="X332" t="inlineStr">
        <is>
          <t>2009-09-05</t>
        </is>
      </c>
      <c r="Y332" t="inlineStr">
        <is>
          <t>1997-04-18</t>
        </is>
      </c>
      <c r="Z332" t="inlineStr">
        <is>
          <t>2004-06-28</t>
        </is>
      </c>
      <c r="AA332" t="n">
        <v>796</v>
      </c>
      <c r="AB332" t="n">
        <v>701</v>
      </c>
      <c r="AC332" t="n">
        <v>827</v>
      </c>
      <c r="AD332" t="n">
        <v>7</v>
      </c>
      <c r="AE332" t="n">
        <v>7</v>
      </c>
      <c r="AF332" t="n">
        <v>54</v>
      </c>
      <c r="AG332" t="n">
        <v>58</v>
      </c>
      <c r="AH332" t="n">
        <v>14</v>
      </c>
      <c r="AI332" t="n">
        <v>16</v>
      </c>
      <c r="AJ332" t="n">
        <v>8</v>
      </c>
      <c r="AK332" t="n">
        <v>10</v>
      </c>
      <c r="AL332" t="n">
        <v>18</v>
      </c>
      <c r="AM332" t="n">
        <v>20</v>
      </c>
      <c r="AN332" t="n">
        <v>4</v>
      </c>
      <c r="AO332" t="n">
        <v>4</v>
      </c>
      <c r="AP332" t="n">
        <v>18</v>
      </c>
      <c r="AQ332" t="n">
        <v>18</v>
      </c>
      <c r="AR332" t="inlineStr">
        <is>
          <t>No</t>
        </is>
      </c>
      <c r="AS332" t="inlineStr">
        <is>
          <t>No</t>
        </is>
      </c>
      <c r="AU332">
        <f>HYPERLINK("https://creighton-primo.hosted.exlibrisgroup.com/primo-explore/search?tab=default_tab&amp;search_scope=EVERYTHING&amp;vid=01CRU&amp;lang=en_US&amp;offset=0&amp;query=any,contains,991001778489702656","Catalog Record")</f>
        <v/>
      </c>
      <c r="AV332">
        <f>HYPERLINK("http://www.worldcat.org/oclc/169927","WorldCat Record")</f>
        <v/>
      </c>
      <c r="AW332" t="inlineStr">
        <is>
          <t>1293372:eng</t>
        </is>
      </c>
      <c r="AX332" t="inlineStr">
        <is>
          <t>169927</t>
        </is>
      </c>
      <c r="AY332" t="inlineStr">
        <is>
          <t>991001778489702656</t>
        </is>
      </c>
      <c r="AZ332" t="inlineStr">
        <is>
          <t>991001778489702656</t>
        </is>
      </c>
      <c r="BA332" t="inlineStr">
        <is>
          <t>2263977180002656</t>
        </is>
      </c>
      <c r="BB332" t="inlineStr">
        <is>
          <t>BOOK</t>
        </is>
      </c>
      <c r="BE332" t="inlineStr">
        <is>
          <t>32285002553237</t>
        </is>
      </c>
      <c r="BF332" t="inlineStr">
        <is>
          <t>893684634</t>
        </is>
      </c>
    </row>
    <row r="333">
      <c r="B333" t="inlineStr">
        <is>
          <t>CURAL</t>
        </is>
      </c>
      <c r="C333" t="inlineStr">
        <is>
          <t>SHELVES</t>
        </is>
      </c>
      <c r="D333" t="inlineStr">
        <is>
          <t>KF8742 .M54</t>
        </is>
      </c>
      <c r="E333" t="inlineStr">
        <is>
          <t>0                      KF 8742000M  54</t>
        </is>
      </c>
      <c r="F333" t="inlineStr">
        <is>
          <t>The Supreme Court : myth and reality / Arthur Selwyn Miller.</t>
        </is>
      </c>
      <c r="H333" t="inlineStr">
        <is>
          <t>No</t>
        </is>
      </c>
      <c r="I333" t="inlineStr">
        <is>
          <t>1</t>
        </is>
      </c>
      <c r="J333" t="inlineStr">
        <is>
          <t>Yes</t>
        </is>
      </c>
      <c r="K333" t="inlineStr">
        <is>
          <t>No</t>
        </is>
      </c>
      <c r="L333" t="inlineStr">
        <is>
          <t>0</t>
        </is>
      </c>
      <c r="M333" t="inlineStr">
        <is>
          <t>Miller, Arthur Selwyn, 1917-1988.</t>
        </is>
      </c>
      <c r="N333" t="inlineStr">
        <is>
          <t>Westport, Conn. : Greenwood Press, 1978.</t>
        </is>
      </c>
      <c r="O333" t="inlineStr">
        <is>
          <t>1978</t>
        </is>
      </c>
      <c r="Q333" t="inlineStr">
        <is>
          <t>eng</t>
        </is>
      </c>
      <c r="R333" t="inlineStr">
        <is>
          <t>ctu</t>
        </is>
      </c>
      <c r="S333" t="inlineStr">
        <is>
          <t>Contributions in American studies, 0084-9227 ; no. 38</t>
        </is>
      </c>
      <c r="T333" t="inlineStr">
        <is>
          <t xml:space="preserve">KF </t>
        </is>
      </c>
      <c r="U333" t="n">
        <v>4</v>
      </c>
      <c r="V333" t="n">
        <v>6</v>
      </c>
      <c r="W333" t="inlineStr">
        <is>
          <t>2008-02-24</t>
        </is>
      </c>
      <c r="X333" t="inlineStr">
        <is>
          <t>2008-02-24</t>
        </is>
      </c>
      <c r="Y333" t="inlineStr">
        <is>
          <t>1992-07-14</t>
        </is>
      </c>
      <c r="Z333" t="inlineStr">
        <is>
          <t>1992-07-14</t>
        </is>
      </c>
      <c r="AA333" t="n">
        <v>707</v>
      </c>
      <c r="AB333" t="n">
        <v>621</v>
      </c>
      <c r="AC333" t="n">
        <v>635</v>
      </c>
      <c r="AD333" t="n">
        <v>7</v>
      </c>
      <c r="AE333" t="n">
        <v>7</v>
      </c>
      <c r="AF333" t="n">
        <v>47</v>
      </c>
      <c r="AG333" t="n">
        <v>47</v>
      </c>
      <c r="AH333" t="n">
        <v>8</v>
      </c>
      <c r="AI333" t="n">
        <v>8</v>
      </c>
      <c r="AJ333" t="n">
        <v>8</v>
      </c>
      <c r="AK333" t="n">
        <v>8</v>
      </c>
      <c r="AL333" t="n">
        <v>10</v>
      </c>
      <c r="AM333" t="n">
        <v>10</v>
      </c>
      <c r="AN333" t="n">
        <v>5</v>
      </c>
      <c r="AO333" t="n">
        <v>5</v>
      </c>
      <c r="AP333" t="n">
        <v>22</v>
      </c>
      <c r="AQ333" t="n">
        <v>22</v>
      </c>
      <c r="AR333" t="inlineStr">
        <is>
          <t>No</t>
        </is>
      </c>
      <c r="AS333" t="inlineStr">
        <is>
          <t>Yes</t>
        </is>
      </c>
      <c r="AT333">
        <f>HYPERLINK("http://catalog.hathitrust.org/Record/000092458","HathiTrust Record")</f>
        <v/>
      </c>
      <c r="AU333">
        <f>HYPERLINK("https://creighton-primo.hosted.exlibrisgroup.com/primo-explore/search?tab=default_tab&amp;search_scope=EVERYTHING&amp;vid=01CRU&amp;lang=en_US&amp;offset=0&amp;query=any,contains,991001786139702656","Catalog Record")</f>
        <v/>
      </c>
      <c r="AV333">
        <f>HYPERLINK("http://www.worldcat.org/oclc/3631303","WorldCat Record")</f>
        <v/>
      </c>
      <c r="AW333" t="inlineStr">
        <is>
          <t>444859:eng</t>
        </is>
      </c>
      <c r="AX333" t="inlineStr">
        <is>
          <t>3631303</t>
        </is>
      </c>
      <c r="AY333" t="inlineStr">
        <is>
          <t>991001786139702656</t>
        </is>
      </c>
      <c r="AZ333" t="inlineStr">
        <is>
          <t>991001786139702656</t>
        </is>
      </c>
      <c r="BA333" t="inlineStr">
        <is>
          <t>2259406640002656</t>
        </is>
      </c>
      <c r="BB333" t="inlineStr">
        <is>
          <t>BOOK</t>
        </is>
      </c>
      <c r="BD333" t="inlineStr">
        <is>
          <t>9780313200465</t>
        </is>
      </c>
      <c r="BE333" t="inlineStr">
        <is>
          <t>32285001179612</t>
        </is>
      </c>
      <c r="BF333" t="inlineStr">
        <is>
          <t>893534676</t>
        </is>
      </c>
    </row>
    <row r="334">
      <c r="B334" t="inlineStr">
        <is>
          <t>CURAL</t>
        </is>
      </c>
      <c r="C334" t="inlineStr">
        <is>
          <t>SHELVES</t>
        </is>
      </c>
      <c r="D334" t="inlineStr">
        <is>
          <t>KF8742 .P3365 1991</t>
        </is>
      </c>
      <c r="E334" t="inlineStr">
        <is>
          <t>0                      KF 8742000P  3365        1991</t>
        </is>
      </c>
      <c r="F334" t="inlineStr">
        <is>
          <t>Deciding to decide : agenda setting in the United States Supreme Court / H.W. Perry, Jr.</t>
        </is>
      </c>
      <c r="H334" t="inlineStr">
        <is>
          <t>No</t>
        </is>
      </c>
      <c r="I334" t="inlineStr">
        <is>
          <t>1</t>
        </is>
      </c>
      <c r="J334" t="inlineStr">
        <is>
          <t>Yes</t>
        </is>
      </c>
      <c r="K334" t="inlineStr">
        <is>
          <t>No</t>
        </is>
      </c>
      <c r="L334" t="inlineStr">
        <is>
          <t>0</t>
        </is>
      </c>
      <c r="M334" t="inlineStr">
        <is>
          <t>Perry, H. W.</t>
        </is>
      </c>
      <c r="N334" t="inlineStr">
        <is>
          <t>Cambridge, Mass. : Harvard University Press, 1991.</t>
        </is>
      </c>
      <c r="O334" t="inlineStr">
        <is>
          <t>1991</t>
        </is>
      </c>
      <c r="Q334" t="inlineStr">
        <is>
          <t>eng</t>
        </is>
      </c>
      <c r="R334" t="inlineStr">
        <is>
          <t>mau</t>
        </is>
      </c>
      <c r="T334" t="inlineStr">
        <is>
          <t xml:space="preserve">KF </t>
        </is>
      </c>
      <c r="U334" t="n">
        <v>3</v>
      </c>
      <c r="V334" t="n">
        <v>5</v>
      </c>
      <c r="W334" t="inlineStr">
        <is>
          <t>2009-09-05</t>
        </is>
      </c>
      <c r="X334" t="inlineStr">
        <is>
          <t>2009-09-05</t>
        </is>
      </c>
      <c r="Y334" t="inlineStr">
        <is>
          <t>1993-08-12</t>
        </is>
      </c>
      <c r="Z334" t="inlineStr">
        <is>
          <t>1993-08-12</t>
        </is>
      </c>
      <c r="AA334" t="n">
        <v>697</v>
      </c>
      <c r="AB334" t="n">
        <v>633</v>
      </c>
      <c r="AC334" t="n">
        <v>681</v>
      </c>
      <c r="AD334" t="n">
        <v>5</v>
      </c>
      <c r="AE334" t="n">
        <v>5</v>
      </c>
      <c r="AF334" t="n">
        <v>49</v>
      </c>
      <c r="AG334" t="n">
        <v>50</v>
      </c>
      <c r="AH334" t="n">
        <v>15</v>
      </c>
      <c r="AI334" t="n">
        <v>15</v>
      </c>
      <c r="AJ334" t="n">
        <v>5</v>
      </c>
      <c r="AK334" t="n">
        <v>6</v>
      </c>
      <c r="AL334" t="n">
        <v>13</v>
      </c>
      <c r="AM334" t="n">
        <v>13</v>
      </c>
      <c r="AN334" t="n">
        <v>2</v>
      </c>
      <c r="AO334" t="n">
        <v>2</v>
      </c>
      <c r="AP334" t="n">
        <v>23</v>
      </c>
      <c r="AQ334" t="n">
        <v>23</v>
      </c>
      <c r="AR334" t="inlineStr">
        <is>
          <t>No</t>
        </is>
      </c>
      <c r="AS334" t="inlineStr">
        <is>
          <t>Yes</t>
        </is>
      </c>
      <c r="AT334">
        <f>HYPERLINK("http://catalog.hathitrust.org/Record/002508703","HathiTrust Record")</f>
        <v/>
      </c>
      <c r="AU334">
        <f>HYPERLINK("https://creighton-primo.hosted.exlibrisgroup.com/primo-explore/search?tab=default_tab&amp;search_scope=EVERYTHING&amp;vid=01CRU&amp;lang=en_US&amp;offset=0&amp;query=any,contains,991001648799702656","Catalog Record")</f>
        <v/>
      </c>
      <c r="AV334">
        <f>HYPERLINK("http://www.worldcat.org/oclc/23693311","WorldCat Record")</f>
        <v/>
      </c>
      <c r="AW334" t="inlineStr">
        <is>
          <t>2679240:eng</t>
        </is>
      </c>
      <c r="AX334" t="inlineStr">
        <is>
          <t>23693311</t>
        </is>
      </c>
      <c r="AY334" t="inlineStr">
        <is>
          <t>991001648799702656</t>
        </is>
      </c>
      <c r="AZ334" t="inlineStr">
        <is>
          <t>991001648799702656</t>
        </is>
      </c>
      <c r="BA334" t="inlineStr">
        <is>
          <t>2260372050002656</t>
        </is>
      </c>
      <c r="BB334" t="inlineStr">
        <is>
          <t>BOOK</t>
        </is>
      </c>
      <c r="BD334" t="inlineStr">
        <is>
          <t>9780674194427</t>
        </is>
      </c>
      <c r="BE334" t="inlineStr">
        <is>
          <t>32285001726040</t>
        </is>
      </c>
      <c r="BF334" t="inlineStr">
        <is>
          <t>893334440</t>
        </is>
      </c>
    </row>
    <row r="335">
      <c r="B335" t="inlineStr">
        <is>
          <t>CURAL</t>
        </is>
      </c>
      <c r="C335" t="inlineStr">
        <is>
          <t>SHELVES</t>
        </is>
      </c>
      <c r="D335" t="inlineStr">
        <is>
          <t>KF8742 .P76</t>
        </is>
      </c>
      <c r="E335" t="inlineStr">
        <is>
          <t>0                      KF 8742000P  76</t>
        </is>
      </c>
      <c r="F335" t="inlineStr">
        <is>
          <t>Case selection in the United States Supreme Court / Doris Marie Provine.</t>
        </is>
      </c>
      <c r="H335" t="inlineStr">
        <is>
          <t>No</t>
        </is>
      </c>
      <c r="I335" t="inlineStr">
        <is>
          <t>1</t>
        </is>
      </c>
      <c r="J335" t="inlineStr">
        <is>
          <t>Yes</t>
        </is>
      </c>
      <c r="K335" t="inlineStr">
        <is>
          <t>No</t>
        </is>
      </c>
      <c r="L335" t="inlineStr">
        <is>
          <t>0</t>
        </is>
      </c>
      <c r="M335" t="inlineStr">
        <is>
          <t>Provine, Doris Marie.</t>
        </is>
      </c>
      <c r="N335" t="inlineStr">
        <is>
          <t>Chicago : University of Chicago Press, c1980.</t>
        </is>
      </c>
      <c r="O335" t="inlineStr">
        <is>
          <t>1980</t>
        </is>
      </c>
      <c r="Q335" t="inlineStr">
        <is>
          <t>eng</t>
        </is>
      </c>
      <c r="R335" t="inlineStr">
        <is>
          <t>ilu</t>
        </is>
      </c>
      <c r="T335" t="inlineStr">
        <is>
          <t xml:space="preserve">KF </t>
        </is>
      </c>
      <c r="U335" t="n">
        <v>4</v>
      </c>
      <c r="V335" t="n">
        <v>6</v>
      </c>
      <c r="W335" t="inlineStr">
        <is>
          <t>2009-09-08</t>
        </is>
      </c>
      <c r="X335" t="inlineStr">
        <is>
          <t>2009-10-29</t>
        </is>
      </c>
      <c r="Y335" t="inlineStr">
        <is>
          <t>1992-07-14</t>
        </is>
      </c>
      <c r="Z335" t="inlineStr">
        <is>
          <t>1992-07-14</t>
        </is>
      </c>
      <c r="AA335" t="n">
        <v>615</v>
      </c>
      <c r="AB335" t="n">
        <v>565</v>
      </c>
      <c r="AC335" t="n">
        <v>581</v>
      </c>
      <c r="AD335" t="n">
        <v>4</v>
      </c>
      <c r="AE335" t="n">
        <v>4</v>
      </c>
      <c r="AF335" t="n">
        <v>40</v>
      </c>
      <c r="AG335" t="n">
        <v>41</v>
      </c>
      <c r="AH335" t="n">
        <v>6</v>
      </c>
      <c r="AI335" t="n">
        <v>6</v>
      </c>
      <c r="AJ335" t="n">
        <v>6</v>
      </c>
      <c r="AK335" t="n">
        <v>6</v>
      </c>
      <c r="AL335" t="n">
        <v>11</v>
      </c>
      <c r="AM335" t="n">
        <v>11</v>
      </c>
      <c r="AN335" t="n">
        <v>2</v>
      </c>
      <c r="AO335" t="n">
        <v>2</v>
      </c>
      <c r="AP335" t="n">
        <v>21</v>
      </c>
      <c r="AQ335" t="n">
        <v>22</v>
      </c>
      <c r="AR335" t="inlineStr">
        <is>
          <t>No</t>
        </is>
      </c>
      <c r="AS335" t="inlineStr">
        <is>
          <t>No</t>
        </is>
      </c>
      <c r="AU335">
        <f>HYPERLINK("https://creighton-primo.hosted.exlibrisgroup.com/primo-explore/search?tab=default_tab&amp;search_scope=EVERYTHING&amp;vid=01CRU&amp;lang=en_US&amp;offset=0&amp;query=any,contains,991001812249702656","Catalog Record")</f>
        <v/>
      </c>
      <c r="AV335">
        <f>HYPERLINK("http://www.worldcat.org/oclc/5751474","WorldCat Record")</f>
        <v/>
      </c>
      <c r="AW335" t="inlineStr">
        <is>
          <t>419113:eng</t>
        </is>
      </c>
      <c r="AX335" t="inlineStr">
        <is>
          <t>5751474</t>
        </is>
      </c>
      <c r="AY335" t="inlineStr">
        <is>
          <t>991001812249702656</t>
        </is>
      </c>
      <c r="AZ335" t="inlineStr">
        <is>
          <t>991001812249702656</t>
        </is>
      </c>
      <c r="BA335" t="inlineStr">
        <is>
          <t>2270212470002656</t>
        </is>
      </c>
      <c r="BB335" t="inlineStr">
        <is>
          <t>BOOK</t>
        </is>
      </c>
      <c r="BD335" t="inlineStr">
        <is>
          <t>9780226684680</t>
        </is>
      </c>
      <c r="BE335" t="inlineStr">
        <is>
          <t>32285001179620</t>
        </is>
      </c>
      <c r="BF335" t="inlineStr">
        <is>
          <t>893534686</t>
        </is>
      </c>
    </row>
    <row r="336">
      <c r="B336" t="inlineStr">
        <is>
          <t>CURAL</t>
        </is>
      </c>
      <c r="C336" t="inlineStr">
        <is>
          <t>SHELVES</t>
        </is>
      </c>
      <c r="D336" t="inlineStr">
        <is>
          <t>KF8742 .T75 1985</t>
        </is>
      </c>
      <c r="E336" t="inlineStr">
        <is>
          <t>0                      KF 8742000T  75          1985</t>
        </is>
      </c>
      <c r="F336" t="inlineStr">
        <is>
          <t>God save this honorable court : how the choice of Supreme Court justices shapes our history / Laurence H. Tribe.</t>
        </is>
      </c>
      <c r="H336" t="inlineStr">
        <is>
          <t>No</t>
        </is>
      </c>
      <c r="I336" t="inlineStr">
        <is>
          <t>1</t>
        </is>
      </c>
      <c r="J336" t="inlineStr">
        <is>
          <t>Yes</t>
        </is>
      </c>
      <c r="K336" t="inlineStr">
        <is>
          <t>No</t>
        </is>
      </c>
      <c r="L336" t="inlineStr">
        <is>
          <t>0</t>
        </is>
      </c>
      <c r="M336" t="inlineStr">
        <is>
          <t>Tribe, Laurence H.</t>
        </is>
      </c>
      <c r="N336" t="inlineStr">
        <is>
          <t>New York : Random House, c1985.</t>
        </is>
      </c>
      <c r="O336" t="inlineStr">
        <is>
          <t>1985</t>
        </is>
      </c>
      <c r="P336" t="inlineStr">
        <is>
          <t>1st ed.</t>
        </is>
      </c>
      <c r="Q336" t="inlineStr">
        <is>
          <t>eng</t>
        </is>
      </c>
      <c r="R336" t="inlineStr">
        <is>
          <t>nyu</t>
        </is>
      </c>
      <c r="T336" t="inlineStr">
        <is>
          <t xml:space="preserve">KF </t>
        </is>
      </c>
      <c r="U336" t="n">
        <v>5</v>
      </c>
      <c r="V336" t="n">
        <v>9</v>
      </c>
      <c r="W336" t="inlineStr">
        <is>
          <t>1993-07-03</t>
        </is>
      </c>
      <c r="X336" t="inlineStr">
        <is>
          <t>1993-07-03</t>
        </is>
      </c>
      <c r="Y336" t="inlineStr">
        <is>
          <t>1992-11-23</t>
        </is>
      </c>
      <c r="Z336" t="inlineStr">
        <is>
          <t>1992-11-23</t>
        </is>
      </c>
      <c r="AA336" t="n">
        <v>1118</v>
      </c>
      <c r="AB336" t="n">
        <v>1054</v>
      </c>
      <c r="AC336" t="n">
        <v>1132</v>
      </c>
      <c r="AD336" t="n">
        <v>8</v>
      </c>
      <c r="AE336" t="n">
        <v>8</v>
      </c>
      <c r="AF336" t="n">
        <v>49</v>
      </c>
      <c r="AG336" t="n">
        <v>49</v>
      </c>
      <c r="AH336" t="n">
        <v>10</v>
      </c>
      <c r="AI336" t="n">
        <v>10</v>
      </c>
      <c r="AJ336" t="n">
        <v>5</v>
      </c>
      <c r="AK336" t="n">
        <v>5</v>
      </c>
      <c r="AL336" t="n">
        <v>14</v>
      </c>
      <c r="AM336" t="n">
        <v>14</v>
      </c>
      <c r="AN336" t="n">
        <v>3</v>
      </c>
      <c r="AO336" t="n">
        <v>3</v>
      </c>
      <c r="AP336" t="n">
        <v>23</v>
      </c>
      <c r="AQ336" t="n">
        <v>23</v>
      </c>
      <c r="AR336" t="inlineStr">
        <is>
          <t>No</t>
        </is>
      </c>
      <c r="AS336" t="inlineStr">
        <is>
          <t>Yes</t>
        </is>
      </c>
      <c r="AT336">
        <f>HYPERLINK("http://catalog.hathitrust.org/Record/000652141","HathiTrust Record")</f>
        <v/>
      </c>
      <c r="AU336">
        <f>HYPERLINK("https://creighton-primo.hosted.exlibrisgroup.com/primo-explore/search?tab=default_tab&amp;search_scope=EVERYTHING&amp;vid=01CRU&amp;lang=en_US&amp;offset=0&amp;query=any,contains,991001629979702656","Catalog Record")</f>
        <v/>
      </c>
      <c r="AV336">
        <f>HYPERLINK("http://www.worldcat.org/oclc/11842466","WorldCat Record")</f>
        <v/>
      </c>
      <c r="AW336" t="inlineStr">
        <is>
          <t>4723648:eng</t>
        </is>
      </c>
      <c r="AX336" t="inlineStr">
        <is>
          <t>11842466</t>
        </is>
      </c>
      <c r="AY336" t="inlineStr">
        <is>
          <t>991001629979702656</t>
        </is>
      </c>
      <c r="AZ336" t="inlineStr">
        <is>
          <t>991001629979702656</t>
        </is>
      </c>
      <c r="BA336" t="inlineStr">
        <is>
          <t>2265148820002656</t>
        </is>
      </c>
      <c r="BB336" t="inlineStr">
        <is>
          <t>BOOK</t>
        </is>
      </c>
      <c r="BD336" t="inlineStr">
        <is>
          <t>9780394548425</t>
        </is>
      </c>
      <c r="BE336" t="inlineStr">
        <is>
          <t>32285001408136</t>
        </is>
      </c>
      <c r="BF336" t="inlineStr">
        <is>
          <t>893256359</t>
        </is>
      </c>
    </row>
    <row r="337">
      <c r="B337" t="inlineStr">
        <is>
          <t>CURAL</t>
        </is>
      </c>
      <c r="C337" t="inlineStr">
        <is>
          <t>SHELVES</t>
        </is>
      </c>
      <c r="D337" t="inlineStr">
        <is>
          <t>KF8742 .W38</t>
        </is>
      </c>
      <c r="E337" t="inlineStr">
        <is>
          <t>0                      KF 8742000W  38</t>
        </is>
      </c>
      <c r="F337" t="inlineStr">
        <is>
          <t>The Supreme Court in the Federal judicial system / Stephen L. Wasby.</t>
        </is>
      </c>
      <c r="H337" t="inlineStr">
        <is>
          <t>No</t>
        </is>
      </c>
      <c r="I337" t="inlineStr">
        <is>
          <t>1</t>
        </is>
      </c>
      <c r="J337" t="inlineStr">
        <is>
          <t>No</t>
        </is>
      </c>
      <c r="K337" t="inlineStr">
        <is>
          <t>Yes</t>
        </is>
      </c>
      <c r="L337" t="inlineStr">
        <is>
          <t>0</t>
        </is>
      </c>
      <c r="M337" t="inlineStr">
        <is>
          <t>Wasby, Stephen L., 1937-</t>
        </is>
      </c>
      <c r="N337" t="inlineStr">
        <is>
          <t>New York : Holt, Rinehart and Winston, c1978.</t>
        </is>
      </c>
      <c r="O337" t="inlineStr">
        <is>
          <t>1978</t>
        </is>
      </c>
      <c r="Q337" t="inlineStr">
        <is>
          <t>eng</t>
        </is>
      </c>
      <c r="R337" t="inlineStr">
        <is>
          <t>nyu</t>
        </is>
      </c>
      <c r="T337" t="inlineStr">
        <is>
          <t xml:space="preserve">KF </t>
        </is>
      </c>
      <c r="U337" t="n">
        <v>2</v>
      </c>
      <c r="V337" t="n">
        <v>2</v>
      </c>
      <c r="W337" t="inlineStr">
        <is>
          <t>1994-04-17</t>
        </is>
      </c>
      <c r="X337" t="inlineStr">
        <is>
          <t>1994-04-17</t>
        </is>
      </c>
      <c r="Y337" t="inlineStr">
        <is>
          <t>1990-03-29</t>
        </is>
      </c>
      <c r="Z337" t="inlineStr">
        <is>
          <t>1990-03-29</t>
        </is>
      </c>
      <c r="AA337" t="n">
        <v>497</v>
      </c>
      <c r="AB337" t="n">
        <v>463</v>
      </c>
      <c r="AC337" t="n">
        <v>779</v>
      </c>
      <c r="AD337" t="n">
        <v>5</v>
      </c>
      <c r="AE337" t="n">
        <v>10</v>
      </c>
      <c r="AF337" t="n">
        <v>31</v>
      </c>
      <c r="AG337" t="n">
        <v>49</v>
      </c>
      <c r="AH337" t="n">
        <v>4</v>
      </c>
      <c r="AI337" t="n">
        <v>8</v>
      </c>
      <c r="AJ337" t="n">
        <v>2</v>
      </c>
      <c r="AK337" t="n">
        <v>3</v>
      </c>
      <c r="AL337" t="n">
        <v>9</v>
      </c>
      <c r="AM337" t="n">
        <v>13</v>
      </c>
      <c r="AN337" t="n">
        <v>4</v>
      </c>
      <c r="AO337" t="n">
        <v>7</v>
      </c>
      <c r="AP337" t="n">
        <v>13</v>
      </c>
      <c r="AQ337" t="n">
        <v>21</v>
      </c>
      <c r="AR337" t="inlineStr">
        <is>
          <t>No</t>
        </is>
      </c>
      <c r="AS337" t="inlineStr">
        <is>
          <t>No</t>
        </is>
      </c>
      <c r="AU337">
        <f>HYPERLINK("https://creighton-primo.hosted.exlibrisgroup.com/primo-explore/search?tab=default_tab&amp;search_scope=EVERYTHING&amp;vid=01CRU&amp;lang=en_US&amp;offset=0&amp;query=any,contains,991004412059702656","Catalog Record")</f>
        <v/>
      </c>
      <c r="AV337">
        <f>HYPERLINK("http://www.worldcat.org/oclc/3345960","WorldCat Record")</f>
        <v/>
      </c>
      <c r="AW337" t="inlineStr">
        <is>
          <t>10180831:eng</t>
        </is>
      </c>
      <c r="AX337" t="inlineStr">
        <is>
          <t>3345960</t>
        </is>
      </c>
      <c r="AY337" t="inlineStr">
        <is>
          <t>991004412059702656</t>
        </is>
      </c>
      <c r="AZ337" t="inlineStr">
        <is>
          <t>991004412059702656</t>
        </is>
      </c>
      <c r="BA337" t="inlineStr">
        <is>
          <t>2255550650002656</t>
        </is>
      </c>
      <c r="BB337" t="inlineStr">
        <is>
          <t>BOOK</t>
        </is>
      </c>
      <c r="BD337" t="inlineStr">
        <is>
          <t>9780030304262</t>
        </is>
      </c>
      <c r="BE337" t="inlineStr">
        <is>
          <t>32285000107267</t>
        </is>
      </c>
      <c r="BF337" t="inlineStr">
        <is>
          <t>893513204</t>
        </is>
      </c>
    </row>
    <row r="338">
      <c r="B338" t="inlineStr">
        <is>
          <t>CURAL</t>
        </is>
      </c>
      <c r="C338" t="inlineStr">
        <is>
          <t>SHELVES</t>
        </is>
      </c>
      <c r="D338" t="inlineStr">
        <is>
          <t>KF8742 .W52 1988</t>
        </is>
      </c>
      <c r="E338" t="inlineStr">
        <is>
          <t>0                      KF 8742000W  52          1988</t>
        </is>
      </c>
      <c r="F338" t="inlineStr">
        <is>
          <t>Liberty under law : the Supreme Court in American life / William M. Wiecek.</t>
        </is>
      </c>
      <c r="H338" t="inlineStr">
        <is>
          <t>No</t>
        </is>
      </c>
      <c r="I338" t="inlineStr">
        <is>
          <t>1</t>
        </is>
      </c>
      <c r="J338" t="inlineStr">
        <is>
          <t>No</t>
        </is>
      </c>
      <c r="K338" t="inlineStr">
        <is>
          <t>No</t>
        </is>
      </c>
      <c r="L338" t="inlineStr">
        <is>
          <t>0</t>
        </is>
      </c>
      <c r="M338" t="inlineStr">
        <is>
          <t>Wiecek, William M., 1938-</t>
        </is>
      </c>
      <c r="N338" t="inlineStr">
        <is>
          <t>Baltimore : Johns Hopkins University Press, c1988.</t>
        </is>
      </c>
      <c r="O338" t="inlineStr">
        <is>
          <t>1988</t>
        </is>
      </c>
      <c r="Q338" t="inlineStr">
        <is>
          <t>eng</t>
        </is>
      </c>
      <c r="R338" t="inlineStr">
        <is>
          <t>mdu</t>
        </is>
      </c>
      <c r="S338" t="inlineStr">
        <is>
          <t>The American moment</t>
        </is>
      </c>
      <c r="T338" t="inlineStr">
        <is>
          <t xml:space="preserve">KF </t>
        </is>
      </c>
      <c r="U338" t="n">
        <v>4</v>
      </c>
      <c r="V338" t="n">
        <v>4</v>
      </c>
      <c r="W338" t="inlineStr">
        <is>
          <t>1993-11-07</t>
        </is>
      </c>
      <c r="X338" t="inlineStr">
        <is>
          <t>1993-11-07</t>
        </is>
      </c>
      <c r="Y338" t="inlineStr">
        <is>
          <t>1992-07-14</t>
        </is>
      </c>
      <c r="Z338" t="inlineStr">
        <is>
          <t>1992-07-14</t>
        </is>
      </c>
      <c r="AA338" t="n">
        <v>956</v>
      </c>
      <c r="AB338" t="n">
        <v>864</v>
      </c>
      <c r="AC338" t="n">
        <v>874</v>
      </c>
      <c r="AD338" t="n">
        <v>4</v>
      </c>
      <c r="AE338" t="n">
        <v>4</v>
      </c>
      <c r="AF338" t="n">
        <v>48</v>
      </c>
      <c r="AG338" t="n">
        <v>48</v>
      </c>
      <c r="AH338" t="n">
        <v>17</v>
      </c>
      <c r="AI338" t="n">
        <v>17</v>
      </c>
      <c r="AJ338" t="n">
        <v>6</v>
      </c>
      <c r="AK338" t="n">
        <v>6</v>
      </c>
      <c r="AL338" t="n">
        <v>15</v>
      </c>
      <c r="AM338" t="n">
        <v>15</v>
      </c>
      <c r="AN338" t="n">
        <v>3</v>
      </c>
      <c r="AO338" t="n">
        <v>3</v>
      </c>
      <c r="AP338" t="n">
        <v>16</v>
      </c>
      <c r="AQ338" t="n">
        <v>16</v>
      </c>
      <c r="AR338" t="inlineStr">
        <is>
          <t>No</t>
        </is>
      </c>
      <c r="AS338" t="inlineStr">
        <is>
          <t>Yes</t>
        </is>
      </c>
      <c r="AT338">
        <f>HYPERLINK("http://catalog.hathitrust.org/Record/000905988","HathiTrust Record")</f>
        <v/>
      </c>
      <c r="AU338">
        <f>HYPERLINK("https://creighton-primo.hosted.exlibrisgroup.com/primo-explore/search?tab=default_tab&amp;search_scope=EVERYTHING&amp;vid=01CRU&amp;lang=en_US&amp;offset=0&amp;query=any,contains,991001173019702656","Catalog Record")</f>
        <v/>
      </c>
      <c r="AV338">
        <f>HYPERLINK("http://www.worldcat.org/oclc/16982371","WorldCat Record")</f>
        <v/>
      </c>
      <c r="AW338" t="inlineStr">
        <is>
          <t>827795003:eng</t>
        </is>
      </c>
      <c r="AX338" t="inlineStr">
        <is>
          <t>16982371</t>
        </is>
      </c>
      <c r="AY338" t="inlineStr">
        <is>
          <t>991001173019702656</t>
        </is>
      </c>
      <c r="AZ338" t="inlineStr">
        <is>
          <t>991001173019702656</t>
        </is>
      </c>
      <c r="BA338" t="inlineStr">
        <is>
          <t>2255961820002656</t>
        </is>
      </c>
      <c r="BB338" t="inlineStr">
        <is>
          <t>BOOK</t>
        </is>
      </c>
      <c r="BD338" t="inlineStr">
        <is>
          <t>9780801835964</t>
        </is>
      </c>
      <c r="BE338" t="inlineStr">
        <is>
          <t>32285001179653</t>
        </is>
      </c>
      <c r="BF338" t="inlineStr">
        <is>
          <t>893614845</t>
        </is>
      </c>
    </row>
    <row r="339">
      <c r="B339" t="inlineStr">
        <is>
          <t>CURAL</t>
        </is>
      </c>
      <c r="C339" t="inlineStr">
        <is>
          <t>SHELVES</t>
        </is>
      </c>
      <c r="D339" t="inlineStr">
        <is>
          <t>KF8742 .Y35 1999</t>
        </is>
      </c>
      <c r="E339" t="inlineStr">
        <is>
          <t>0                      KF 8742000Y  35          1999</t>
        </is>
      </c>
      <c r="F339" t="inlineStr">
        <is>
          <t>Pursuit of justices : presidential politics and the selection of Supreme Court nominees / David Alistair Yalof.</t>
        </is>
      </c>
      <c r="H339" t="inlineStr">
        <is>
          <t>No</t>
        </is>
      </c>
      <c r="I339" t="inlineStr">
        <is>
          <t>1</t>
        </is>
      </c>
      <c r="J339" t="inlineStr">
        <is>
          <t>Yes</t>
        </is>
      </c>
      <c r="K339" t="inlineStr">
        <is>
          <t>No</t>
        </is>
      </c>
      <c r="L339" t="inlineStr">
        <is>
          <t>0</t>
        </is>
      </c>
      <c r="M339" t="inlineStr">
        <is>
          <t>Yalof, David Alistair.</t>
        </is>
      </c>
      <c r="N339" t="inlineStr">
        <is>
          <t>Chicago : University of Chicago Press, c1999.</t>
        </is>
      </c>
      <c r="O339" t="inlineStr">
        <is>
          <t>1999</t>
        </is>
      </c>
      <c r="Q339" t="inlineStr">
        <is>
          <t>eng</t>
        </is>
      </c>
      <c r="R339" t="inlineStr">
        <is>
          <t>ilu</t>
        </is>
      </c>
      <c r="T339" t="inlineStr">
        <is>
          <t xml:space="preserve">KF </t>
        </is>
      </c>
      <c r="U339" t="n">
        <v>2</v>
      </c>
      <c r="V339" t="n">
        <v>3</v>
      </c>
      <c r="X339" t="inlineStr">
        <is>
          <t>2010-04-17</t>
        </is>
      </c>
      <c r="Y339" t="inlineStr">
        <is>
          <t>2000-12-05</t>
        </is>
      </c>
      <c r="Z339" t="inlineStr">
        <is>
          <t>2000-12-05</t>
        </is>
      </c>
      <c r="AA339" t="n">
        <v>821</v>
      </c>
      <c r="AB339" t="n">
        <v>778</v>
      </c>
      <c r="AC339" t="n">
        <v>790</v>
      </c>
      <c r="AD339" t="n">
        <v>5</v>
      </c>
      <c r="AE339" t="n">
        <v>5</v>
      </c>
      <c r="AF339" t="n">
        <v>48</v>
      </c>
      <c r="AG339" t="n">
        <v>48</v>
      </c>
      <c r="AH339" t="n">
        <v>17</v>
      </c>
      <c r="AI339" t="n">
        <v>17</v>
      </c>
      <c r="AJ339" t="n">
        <v>6</v>
      </c>
      <c r="AK339" t="n">
        <v>6</v>
      </c>
      <c r="AL339" t="n">
        <v>16</v>
      </c>
      <c r="AM339" t="n">
        <v>16</v>
      </c>
      <c r="AN339" t="n">
        <v>3</v>
      </c>
      <c r="AO339" t="n">
        <v>3</v>
      </c>
      <c r="AP339" t="n">
        <v>16</v>
      </c>
      <c r="AQ339" t="n">
        <v>16</v>
      </c>
      <c r="AR339" t="inlineStr">
        <is>
          <t>No</t>
        </is>
      </c>
      <c r="AS339" t="inlineStr">
        <is>
          <t>No</t>
        </is>
      </c>
      <c r="AU339">
        <f>HYPERLINK("https://creighton-primo.hosted.exlibrisgroup.com/primo-explore/search?tab=default_tab&amp;search_scope=EVERYTHING&amp;vid=01CRU&amp;lang=en_US&amp;offset=0&amp;query=any,contains,991001679719702656","Catalog Record")</f>
        <v/>
      </c>
      <c r="AV339">
        <f>HYPERLINK("http://www.worldcat.org/oclc/41090868","WorldCat Record")</f>
        <v/>
      </c>
      <c r="AW339" t="inlineStr">
        <is>
          <t>198469221:eng</t>
        </is>
      </c>
      <c r="AX339" t="inlineStr">
        <is>
          <t>41090868</t>
        </is>
      </c>
      <c r="AY339" t="inlineStr">
        <is>
          <t>991001679719702656</t>
        </is>
      </c>
      <c r="AZ339" t="inlineStr">
        <is>
          <t>991001679719702656</t>
        </is>
      </c>
      <c r="BA339" t="inlineStr">
        <is>
          <t>2265827700002656</t>
        </is>
      </c>
      <c r="BB339" t="inlineStr">
        <is>
          <t>BOOK</t>
        </is>
      </c>
      <c r="BD339" t="inlineStr">
        <is>
          <t>9780226945453</t>
        </is>
      </c>
      <c r="BE339" t="inlineStr">
        <is>
          <t>32285004275250</t>
        </is>
      </c>
      <c r="BF339" t="inlineStr">
        <is>
          <t>893602801</t>
        </is>
      </c>
    </row>
    <row r="340">
      <c r="B340" t="inlineStr">
        <is>
          <t>CURAL</t>
        </is>
      </c>
      <c r="C340" t="inlineStr">
        <is>
          <t>SHELVES</t>
        </is>
      </c>
      <c r="D340" t="inlineStr">
        <is>
          <t>KF8742.A5 W37 1993</t>
        </is>
      </c>
      <c r="E340" t="inlineStr">
        <is>
          <t>0                      KF 8742000A  5                  W  37          1993</t>
        </is>
      </c>
      <c r="F340" t="inlineStr">
        <is>
          <t>The Warren court in historical and political perspective / edited by Mark Tushnet.</t>
        </is>
      </c>
      <c r="H340" t="inlineStr">
        <is>
          <t>No</t>
        </is>
      </c>
      <c r="I340" t="inlineStr">
        <is>
          <t>1</t>
        </is>
      </c>
      <c r="J340" t="inlineStr">
        <is>
          <t>Yes</t>
        </is>
      </c>
      <c r="K340" t="inlineStr">
        <is>
          <t>No</t>
        </is>
      </c>
      <c r="L340" t="inlineStr">
        <is>
          <t>0</t>
        </is>
      </c>
      <c r="N340" t="inlineStr">
        <is>
          <t>Charlottesville : University Press of Virginia, 1993.</t>
        </is>
      </c>
      <c r="O340" t="inlineStr">
        <is>
          <t>1993</t>
        </is>
      </c>
      <c r="Q340" t="inlineStr">
        <is>
          <t>eng</t>
        </is>
      </c>
      <c r="R340" t="inlineStr">
        <is>
          <t>vau</t>
        </is>
      </c>
      <c r="S340" t="inlineStr">
        <is>
          <t>Constitutionalism and democracy</t>
        </is>
      </c>
      <c r="T340" t="inlineStr">
        <is>
          <t xml:space="preserve">KF </t>
        </is>
      </c>
      <c r="U340" t="n">
        <v>6</v>
      </c>
      <c r="V340" t="n">
        <v>7</v>
      </c>
      <c r="W340" t="inlineStr">
        <is>
          <t>1998-12-07</t>
        </is>
      </c>
      <c r="X340" t="inlineStr">
        <is>
          <t>1998-12-08</t>
        </is>
      </c>
      <c r="Y340" t="inlineStr">
        <is>
          <t>1994-07-12</t>
        </is>
      </c>
      <c r="Z340" t="inlineStr">
        <is>
          <t>1994-08-09</t>
        </is>
      </c>
      <c r="AA340" t="n">
        <v>689</v>
      </c>
      <c r="AB340" t="n">
        <v>638</v>
      </c>
      <c r="AC340" t="n">
        <v>659</v>
      </c>
      <c r="AD340" t="n">
        <v>7</v>
      </c>
      <c r="AE340" t="n">
        <v>7</v>
      </c>
      <c r="AF340" t="n">
        <v>54</v>
      </c>
      <c r="AG340" t="n">
        <v>54</v>
      </c>
      <c r="AH340" t="n">
        <v>17</v>
      </c>
      <c r="AI340" t="n">
        <v>17</v>
      </c>
      <c r="AJ340" t="n">
        <v>7</v>
      </c>
      <c r="AK340" t="n">
        <v>7</v>
      </c>
      <c r="AL340" t="n">
        <v>12</v>
      </c>
      <c r="AM340" t="n">
        <v>12</v>
      </c>
      <c r="AN340" t="n">
        <v>5</v>
      </c>
      <c r="AO340" t="n">
        <v>5</v>
      </c>
      <c r="AP340" t="n">
        <v>21</v>
      </c>
      <c r="AQ340" t="n">
        <v>21</v>
      </c>
      <c r="AR340" t="inlineStr">
        <is>
          <t>No</t>
        </is>
      </c>
      <c r="AS340" t="inlineStr">
        <is>
          <t>No</t>
        </is>
      </c>
      <c r="AU340">
        <f>HYPERLINK("https://creighton-primo.hosted.exlibrisgroup.com/primo-explore/search?tab=default_tab&amp;search_scope=EVERYTHING&amp;vid=01CRU&amp;lang=en_US&amp;offset=0&amp;query=any,contains,991001657529702656","Catalog Record")</f>
        <v/>
      </c>
      <c r="AV340">
        <f>HYPERLINK("http://www.worldcat.org/oclc/27726414","WorldCat Record")</f>
        <v/>
      </c>
      <c r="AW340" t="inlineStr">
        <is>
          <t>55684262:eng</t>
        </is>
      </c>
      <c r="AX340" t="inlineStr">
        <is>
          <t>27726414</t>
        </is>
      </c>
      <c r="AY340" t="inlineStr">
        <is>
          <t>991001657529702656</t>
        </is>
      </c>
      <c r="AZ340" t="inlineStr">
        <is>
          <t>991001657529702656</t>
        </is>
      </c>
      <c r="BA340" t="inlineStr">
        <is>
          <t>2264945720002656</t>
        </is>
      </c>
      <c r="BB340" t="inlineStr">
        <is>
          <t>BOOK</t>
        </is>
      </c>
      <c r="BD340" t="inlineStr">
        <is>
          <t>9780813914596</t>
        </is>
      </c>
      <c r="BE340" t="inlineStr">
        <is>
          <t>32285001931210</t>
        </is>
      </c>
      <c r="BF340" t="inlineStr">
        <is>
          <t>893809130</t>
        </is>
      </c>
    </row>
    <row r="341">
      <c r="B341" t="inlineStr">
        <is>
          <t>CURAL</t>
        </is>
      </c>
      <c r="C341" t="inlineStr">
        <is>
          <t>SHELVES</t>
        </is>
      </c>
      <c r="D341" t="inlineStr">
        <is>
          <t>KF8744 .B27 1984</t>
        </is>
      </c>
      <c r="E341" t="inlineStr">
        <is>
          <t>0                      KF 8744000B  27          1984</t>
        </is>
      </c>
      <c r="F341" t="inlineStr">
        <is>
          <t>Brandeis and Frankfurter : a dual biography / Leonard Baker.</t>
        </is>
      </c>
      <c r="H341" t="inlineStr">
        <is>
          <t>No</t>
        </is>
      </c>
      <c r="I341" t="inlineStr">
        <is>
          <t>1</t>
        </is>
      </c>
      <c r="J341" t="inlineStr">
        <is>
          <t>No</t>
        </is>
      </c>
      <c r="K341" t="inlineStr">
        <is>
          <t>No</t>
        </is>
      </c>
      <c r="L341" t="inlineStr">
        <is>
          <t>0</t>
        </is>
      </c>
      <c r="M341" t="inlineStr">
        <is>
          <t>Baker, Leonard.</t>
        </is>
      </c>
      <c r="N341" t="inlineStr">
        <is>
          <t>New York : Harper &amp; Row, c1984.</t>
        </is>
      </c>
      <c r="O341" t="inlineStr">
        <is>
          <t>1984</t>
        </is>
      </c>
      <c r="P341" t="inlineStr">
        <is>
          <t>1st ed.</t>
        </is>
      </c>
      <c r="Q341" t="inlineStr">
        <is>
          <t>eng</t>
        </is>
      </c>
      <c r="R341" t="inlineStr">
        <is>
          <t>nyu</t>
        </is>
      </c>
      <c r="T341" t="inlineStr">
        <is>
          <t xml:space="preserve">KF </t>
        </is>
      </c>
      <c r="U341" t="n">
        <v>1</v>
      </c>
      <c r="V341" t="n">
        <v>1</v>
      </c>
      <c r="W341" t="inlineStr">
        <is>
          <t>1998-12-07</t>
        </is>
      </c>
      <c r="X341" t="inlineStr">
        <is>
          <t>1998-12-07</t>
        </is>
      </c>
      <c r="Y341" t="inlineStr">
        <is>
          <t>1992-07-14</t>
        </is>
      </c>
      <c r="Z341" t="inlineStr">
        <is>
          <t>1992-07-14</t>
        </is>
      </c>
      <c r="AA341" t="n">
        <v>907</v>
      </c>
      <c r="AB341" t="n">
        <v>837</v>
      </c>
      <c r="AC341" t="n">
        <v>905</v>
      </c>
      <c r="AD341" t="n">
        <v>7</v>
      </c>
      <c r="AE341" t="n">
        <v>7</v>
      </c>
      <c r="AF341" t="n">
        <v>50</v>
      </c>
      <c r="AG341" t="n">
        <v>55</v>
      </c>
      <c r="AH341" t="n">
        <v>14</v>
      </c>
      <c r="AI341" t="n">
        <v>15</v>
      </c>
      <c r="AJ341" t="n">
        <v>7</v>
      </c>
      <c r="AK341" t="n">
        <v>7</v>
      </c>
      <c r="AL341" t="n">
        <v>15</v>
      </c>
      <c r="AM341" t="n">
        <v>16</v>
      </c>
      <c r="AN341" t="n">
        <v>4</v>
      </c>
      <c r="AO341" t="n">
        <v>4</v>
      </c>
      <c r="AP341" t="n">
        <v>18</v>
      </c>
      <c r="AQ341" t="n">
        <v>22</v>
      </c>
      <c r="AR341" t="inlineStr">
        <is>
          <t>No</t>
        </is>
      </c>
      <c r="AS341" t="inlineStr">
        <is>
          <t>Yes</t>
        </is>
      </c>
      <c r="AT341">
        <f>HYPERLINK("http://catalog.hathitrust.org/Record/000284306","HathiTrust Record")</f>
        <v/>
      </c>
      <c r="AU341">
        <f>HYPERLINK("https://creighton-primo.hosted.exlibrisgroup.com/primo-explore/search?tab=default_tab&amp;search_scope=EVERYTHING&amp;vid=01CRU&amp;lang=en_US&amp;offset=0&amp;query=any,contains,991000265849702656","Catalog Record")</f>
        <v/>
      </c>
      <c r="AV341">
        <f>HYPERLINK("http://www.worldcat.org/oclc/9829642","WorldCat Record")</f>
        <v/>
      </c>
      <c r="AW341" t="inlineStr">
        <is>
          <t>5849003:eng</t>
        </is>
      </c>
      <c r="AX341" t="inlineStr">
        <is>
          <t>9829642</t>
        </is>
      </c>
      <c r="AY341" t="inlineStr">
        <is>
          <t>991000265849702656</t>
        </is>
      </c>
      <c r="AZ341" t="inlineStr">
        <is>
          <t>991000265849702656</t>
        </is>
      </c>
      <c r="BA341" t="inlineStr">
        <is>
          <t>2271658220002656</t>
        </is>
      </c>
      <c r="BB341" t="inlineStr">
        <is>
          <t>BOOK</t>
        </is>
      </c>
      <c r="BD341" t="inlineStr">
        <is>
          <t>9780060152451</t>
        </is>
      </c>
      <c r="BE341" t="inlineStr">
        <is>
          <t>32285001179661</t>
        </is>
      </c>
      <c r="BF341" t="inlineStr">
        <is>
          <t>893771511</t>
        </is>
      </c>
    </row>
    <row r="342">
      <c r="B342" t="inlineStr">
        <is>
          <t>CURAL</t>
        </is>
      </c>
      <c r="C342" t="inlineStr">
        <is>
          <t>SHELVES</t>
        </is>
      </c>
      <c r="D342" t="inlineStr">
        <is>
          <t>KF8744 .B87 1988</t>
        </is>
      </c>
      <c r="E342" t="inlineStr">
        <is>
          <t>0                      KF 8744000B  87          1988</t>
        </is>
      </c>
      <c r="F342" t="inlineStr">
        <is>
          <t>Two Jewish justices : outcasts in the promised land / Robert A. Burt.</t>
        </is>
      </c>
      <c r="H342" t="inlineStr">
        <is>
          <t>No</t>
        </is>
      </c>
      <c r="I342" t="inlineStr">
        <is>
          <t>1</t>
        </is>
      </c>
      <c r="J342" t="inlineStr">
        <is>
          <t>Yes</t>
        </is>
      </c>
      <c r="K342" t="inlineStr">
        <is>
          <t>No</t>
        </is>
      </c>
      <c r="L342" t="inlineStr">
        <is>
          <t>0</t>
        </is>
      </c>
      <c r="M342" t="inlineStr">
        <is>
          <t>Burt, Robert A., 1939-2015.</t>
        </is>
      </c>
      <c r="N342" t="inlineStr">
        <is>
          <t>Berkeley : University of California Press, c1988.</t>
        </is>
      </c>
      <c r="O342" t="inlineStr">
        <is>
          <t>1988</t>
        </is>
      </c>
      <c r="Q342" t="inlineStr">
        <is>
          <t>eng</t>
        </is>
      </c>
      <c r="R342" t="inlineStr">
        <is>
          <t>cau</t>
        </is>
      </c>
      <c r="T342" t="inlineStr">
        <is>
          <t xml:space="preserve">KF </t>
        </is>
      </c>
      <c r="U342" t="n">
        <v>4</v>
      </c>
      <c r="V342" t="n">
        <v>8</v>
      </c>
      <c r="W342" t="inlineStr">
        <is>
          <t>1998-12-10</t>
        </is>
      </c>
      <c r="X342" t="inlineStr">
        <is>
          <t>1999-04-09</t>
        </is>
      </c>
      <c r="Y342" t="inlineStr">
        <is>
          <t>1992-07-14</t>
        </is>
      </c>
      <c r="Z342" t="inlineStr">
        <is>
          <t>1992-07-14</t>
        </is>
      </c>
      <c r="AA342" t="n">
        <v>535</v>
      </c>
      <c r="AB342" t="n">
        <v>474</v>
      </c>
      <c r="AC342" t="n">
        <v>474</v>
      </c>
      <c r="AD342" t="n">
        <v>2</v>
      </c>
      <c r="AE342" t="n">
        <v>2</v>
      </c>
      <c r="AF342" t="n">
        <v>37</v>
      </c>
      <c r="AG342" t="n">
        <v>37</v>
      </c>
      <c r="AH342" t="n">
        <v>7</v>
      </c>
      <c r="AI342" t="n">
        <v>7</v>
      </c>
      <c r="AJ342" t="n">
        <v>5</v>
      </c>
      <c r="AK342" t="n">
        <v>5</v>
      </c>
      <c r="AL342" t="n">
        <v>8</v>
      </c>
      <c r="AM342" t="n">
        <v>8</v>
      </c>
      <c r="AN342" t="n">
        <v>0</v>
      </c>
      <c r="AO342" t="n">
        <v>0</v>
      </c>
      <c r="AP342" t="n">
        <v>21</v>
      </c>
      <c r="AQ342" t="n">
        <v>21</v>
      </c>
      <c r="AR342" t="inlineStr">
        <is>
          <t>No</t>
        </is>
      </c>
      <c r="AS342" t="inlineStr">
        <is>
          <t>No</t>
        </is>
      </c>
      <c r="AU342">
        <f>HYPERLINK("https://creighton-primo.hosted.exlibrisgroup.com/primo-explore/search?tab=default_tab&amp;search_scope=EVERYTHING&amp;vid=01CRU&amp;lang=en_US&amp;offset=0&amp;query=any,contains,991001636819702656","Catalog Record")</f>
        <v/>
      </c>
      <c r="AV342">
        <f>HYPERLINK("http://www.worldcat.org/oclc/16404028","WorldCat Record")</f>
        <v/>
      </c>
      <c r="AW342" t="inlineStr">
        <is>
          <t>232293657:eng</t>
        </is>
      </c>
      <c r="AX342" t="inlineStr">
        <is>
          <t>16404028</t>
        </is>
      </c>
      <c r="AY342" t="inlineStr">
        <is>
          <t>991001636819702656</t>
        </is>
      </c>
      <c r="AZ342" t="inlineStr">
        <is>
          <t>991001636819702656</t>
        </is>
      </c>
      <c r="BA342" t="inlineStr">
        <is>
          <t>2262245890002656</t>
        </is>
      </c>
      <c r="BB342" t="inlineStr">
        <is>
          <t>BOOK</t>
        </is>
      </c>
      <c r="BD342" t="inlineStr">
        <is>
          <t>9780520061101</t>
        </is>
      </c>
      <c r="BE342" t="inlineStr">
        <is>
          <t>32285001179679</t>
        </is>
      </c>
      <c r="BF342" t="inlineStr">
        <is>
          <t>893250348</t>
        </is>
      </c>
    </row>
    <row r="343">
      <c r="B343" t="inlineStr">
        <is>
          <t>CURAL</t>
        </is>
      </c>
      <c r="C343" t="inlineStr">
        <is>
          <t>SHELVES</t>
        </is>
      </c>
      <c r="D343" t="inlineStr">
        <is>
          <t>KF8744 .F75</t>
        </is>
      </c>
      <c r="E343" t="inlineStr">
        <is>
          <t>0                      KF 8744000F  75</t>
        </is>
      </c>
      <c r="F343" t="inlineStr">
        <is>
          <t>The justices of the United States Supreme Court : their lives and major opinions / Leon Friedman &amp; Fred L. Israel, editors; with an introd. by Louis H. Pollak.</t>
        </is>
      </c>
      <c r="H343" t="inlineStr">
        <is>
          <t>Yes</t>
        </is>
      </c>
      <c r="I343" t="inlineStr">
        <is>
          <t>1</t>
        </is>
      </c>
      <c r="J343" t="inlineStr">
        <is>
          <t>Yes</t>
        </is>
      </c>
      <c r="K343" t="inlineStr">
        <is>
          <t>Yes</t>
        </is>
      </c>
      <c r="L343" t="inlineStr">
        <is>
          <t>0</t>
        </is>
      </c>
      <c r="M343" t="inlineStr">
        <is>
          <t>Friedman, Leon compiler.</t>
        </is>
      </c>
      <c r="N343" t="inlineStr">
        <is>
          <t>New York : Chelsea House in association with Bowker, 1969-</t>
        </is>
      </c>
      <c r="O343" t="inlineStr">
        <is>
          <t>1969</t>
        </is>
      </c>
      <c r="Q343" t="inlineStr">
        <is>
          <t>eng</t>
        </is>
      </c>
      <c r="R343" t="inlineStr">
        <is>
          <t>nyu</t>
        </is>
      </c>
      <c r="T343" t="inlineStr">
        <is>
          <t xml:space="preserve">KF </t>
        </is>
      </c>
      <c r="U343" t="n">
        <v>0</v>
      </c>
      <c r="V343" t="n">
        <v>13</v>
      </c>
      <c r="X343" t="inlineStr">
        <is>
          <t>2000-12-01</t>
        </is>
      </c>
      <c r="Y343" t="inlineStr">
        <is>
          <t>1994-08-18</t>
        </is>
      </c>
      <c r="Z343" t="inlineStr">
        <is>
          <t>1994-08-18</t>
        </is>
      </c>
      <c r="AA343" t="n">
        <v>1480</v>
      </c>
      <c r="AB343" t="n">
        <v>1422</v>
      </c>
      <c r="AC343" t="n">
        <v>1723</v>
      </c>
      <c r="AD343" t="n">
        <v>14</v>
      </c>
      <c r="AE343" t="n">
        <v>16</v>
      </c>
      <c r="AF343" t="n">
        <v>63</v>
      </c>
      <c r="AG343" t="n">
        <v>70</v>
      </c>
      <c r="AH343" t="n">
        <v>14</v>
      </c>
      <c r="AI343" t="n">
        <v>18</v>
      </c>
      <c r="AJ343" t="n">
        <v>10</v>
      </c>
      <c r="AK343" t="n">
        <v>10</v>
      </c>
      <c r="AL343" t="n">
        <v>16</v>
      </c>
      <c r="AM343" t="n">
        <v>19</v>
      </c>
      <c r="AN343" t="n">
        <v>9</v>
      </c>
      <c r="AO343" t="n">
        <v>10</v>
      </c>
      <c r="AP343" t="n">
        <v>22</v>
      </c>
      <c r="AQ343" t="n">
        <v>23</v>
      </c>
      <c r="AR343" t="inlineStr">
        <is>
          <t>No</t>
        </is>
      </c>
      <c r="AS343" t="inlineStr">
        <is>
          <t>No</t>
        </is>
      </c>
      <c r="AU343">
        <f>HYPERLINK("https://creighton-primo.hosted.exlibrisgroup.com/primo-explore/search?tab=default_tab&amp;search_scope=EVERYTHING&amp;vid=01CRU&amp;lang=en_US&amp;offset=0&amp;query=any,contains,991000110049702656","Catalog Record")</f>
        <v/>
      </c>
      <c r="AV343">
        <f>HYPERLINK("http://www.worldcat.org/oclc/47888","WorldCat Record")</f>
        <v/>
      </c>
      <c r="AW343" t="inlineStr">
        <is>
          <t>4575345196:eng</t>
        </is>
      </c>
      <c r="AX343" t="inlineStr">
        <is>
          <t>47888</t>
        </is>
      </c>
      <c r="AY343" t="inlineStr">
        <is>
          <t>991000110049702656</t>
        </is>
      </c>
      <c r="AZ343" t="inlineStr">
        <is>
          <t>991000110049702656</t>
        </is>
      </c>
      <c r="BA343" t="inlineStr">
        <is>
          <t>2262448570002656</t>
        </is>
      </c>
      <c r="BB343" t="inlineStr">
        <is>
          <t>BOOK</t>
        </is>
      </c>
      <c r="BD343" t="inlineStr">
        <is>
          <t>9780835202176</t>
        </is>
      </c>
      <c r="BE343" t="inlineStr">
        <is>
          <t>32285001938264</t>
        </is>
      </c>
      <c r="BF343" t="inlineStr">
        <is>
          <t>893777690</t>
        </is>
      </c>
    </row>
    <row r="344">
      <c r="B344" t="inlineStr">
        <is>
          <t>CURAL</t>
        </is>
      </c>
      <c r="C344" t="inlineStr">
        <is>
          <t>SHELVES</t>
        </is>
      </c>
      <c r="D344" t="inlineStr">
        <is>
          <t>KF8744 .F75 V.2</t>
        </is>
      </c>
      <c r="E344" t="inlineStr">
        <is>
          <t>0                      KF 8744000F  75                                                      V.2</t>
        </is>
      </c>
      <c r="F344" t="inlineStr">
        <is>
          <t>The justices of the United States Supreme Court : their lives and major opinions / Leon Friedman &amp; Fred L. Israel, editors; with an introd. by Louis H. Pollak.</t>
        </is>
      </c>
      <c r="G344" t="inlineStr">
        <is>
          <t>V.2*</t>
        </is>
      </c>
      <c r="H344" t="inlineStr">
        <is>
          <t>Yes</t>
        </is>
      </c>
      <c r="I344" t="inlineStr">
        <is>
          <t>1</t>
        </is>
      </c>
      <c r="J344" t="inlineStr">
        <is>
          <t>No</t>
        </is>
      </c>
      <c r="K344" t="inlineStr">
        <is>
          <t>Yes</t>
        </is>
      </c>
      <c r="L344" t="inlineStr">
        <is>
          <t>0</t>
        </is>
      </c>
      <c r="M344" t="inlineStr">
        <is>
          <t>Friedman, Leon compiler.</t>
        </is>
      </c>
      <c r="N344" t="inlineStr">
        <is>
          <t>New York : Chelsea House in association with Bowker, 1969-</t>
        </is>
      </c>
      <c r="O344" t="inlineStr">
        <is>
          <t>1969</t>
        </is>
      </c>
      <c r="Q344" t="inlineStr">
        <is>
          <t>eng</t>
        </is>
      </c>
      <c r="R344" t="inlineStr">
        <is>
          <t>nyu</t>
        </is>
      </c>
      <c r="T344" t="inlineStr">
        <is>
          <t xml:space="preserve">KF </t>
        </is>
      </c>
      <c r="U344" t="n">
        <v>0</v>
      </c>
      <c r="V344" t="n">
        <v>13</v>
      </c>
      <c r="X344" t="inlineStr">
        <is>
          <t>2000-12-01</t>
        </is>
      </c>
      <c r="Y344" t="inlineStr">
        <is>
          <t>1992-12-22</t>
        </is>
      </c>
      <c r="Z344" t="inlineStr">
        <is>
          <t>1994-08-18</t>
        </is>
      </c>
      <c r="AA344" t="n">
        <v>1480</v>
      </c>
      <c r="AB344" t="n">
        <v>1422</v>
      </c>
      <c r="AC344" t="n">
        <v>1723</v>
      </c>
      <c r="AD344" t="n">
        <v>14</v>
      </c>
      <c r="AE344" t="n">
        <v>16</v>
      </c>
      <c r="AF344" t="n">
        <v>63</v>
      </c>
      <c r="AG344" t="n">
        <v>70</v>
      </c>
      <c r="AH344" t="n">
        <v>14</v>
      </c>
      <c r="AI344" t="n">
        <v>18</v>
      </c>
      <c r="AJ344" t="n">
        <v>10</v>
      </c>
      <c r="AK344" t="n">
        <v>10</v>
      </c>
      <c r="AL344" t="n">
        <v>16</v>
      </c>
      <c r="AM344" t="n">
        <v>19</v>
      </c>
      <c r="AN344" t="n">
        <v>9</v>
      </c>
      <c r="AO344" t="n">
        <v>10</v>
      </c>
      <c r="AP344" t="n">
        <v>22</v>
      </c>
      <c r="AQ344" t="n">
        <v>23</v>
      </c>
      <c r="AR344" t="inlineStr">
        <is>
          <t>No</t>
        </is>
      </c>
      <c r="AS344" t="inlineStr">
        <is>
          <t>No</t>
        </is>
      </c>
      <c r="AU344">
        <f>HYPERLINK("https://creighton-primo.hosted.exlibrisgroup.com/primo-explore/search?tab=default_tab&amp;search_scope=EVERYTHING&amp;vid=01CRU&amp;lang=en_US&amp;offset=0&amp;query=any,contains,991000110049702656","Catalog Record")</f>
        <v/>
      </c>
      <c r="AV344">
        <f>HYPERLINK("http://www.worldcat.org/oclc/47888","WorldCat Record")</f>
        <v/>
      </c>
      <c r="AW344" t="inlineStr">
        <is>
          <t>4575345196:eng</t>
        </is>
      </c>
      <c r="AX344" t="inlineStr">
        <is>
          <t>47888</t>
        </is>
      </c>
      <c r="AY344" t="inlineStr">
        <is>
          <t>991000110049702656</t>
        </is>
      </c>
      <c r="AZ344" t="inlineStr">
        <is>
          <t>991000110049702656</t>
        </is>
      </c>
      <c r="BA344" t="inlineStr">
        <is>
          <t>2262448570002656</t>
        </is>
      </c>
      <c r="BB344" t="inlineStr">
        <is>
          <t>BOOK</t>
        </is>
      </c>
      <c r="BD344" t="inlineStr">
        <is>
          <t>9780835202176</t>
        </is>
      </c>
      <c r="BE344" t="inlineStr">
        <is>
          <t>32285001470540</t>
        </is>
      </c>
      <c r="BF344" t="inlineStr">
        <is>
          <t>893783971</t>
        </is>
      </c>
    </row>
    <row r="345">
      <c r="B345" t="inlineStr">
        <is>
          <t>CURAL</t>
        </is>
      </c>
      <c r="C345" t="inlineStr">
        <is>
          <t>SHELVES</t>
        </is>
      </c>
      <c r="D345" t="inlineStr">
        <is>
          <t>KF8744 .F75 V.3</t>
        </is>
      </c>
      <c r="E345" t="inlineStr">
        <is>
          <t>0                      KF 8744000F  75                                                      V.3</t>
        </is>
      </c>
      <c r="F345" t="inlineStr">
        <is>
          <t>The justices of the United States Supreme Court : their lives and major opinions / Leon Friedman &amp; Fred L. Israel, editors; with an introd. by Louis H. Pollak.</t>
        </is>
      </c>
      <c r="G345" t="inlineStr">
        <is>
          <t>V.3*</t>
        </is>
      </c>
      <c r="H345" t="inlineStr">
        <is>
          <t>Yes</t>
        </is>
      </c>
      <c r="I345" t="inlineStr">
        <is>
          <t>1</t>
        </is>
      </c>
      <c r="J345" t="inlineStr">
        <is>
          <t>No</t>
        </is>
      </c>
      <c r="K345" t="inlineStr">
        <is>
          <t>Yes</t>
        </is>
      </c>
      <c r="L345" t="inlineStr">
        <is>
          <t>0</t>
        </is>
      </c>
      <c r="M345" t="inlineStr">
        <is>
          <t>Friedman, Leon compiler.</t>
        </is>
      </c>
      <c r="N345" t="inlineStr">
        <is>
          <t>New York : Chelsea House in association with Bowker, 1969-</t>
        </is>
      </c>
      <c r="O345" t="inlineStr">
        <is>
          <t>1969</t>
        </is>
      </c>
      <c r="Q345" t="inlineStr">
        <is>
          <t>eng</t>
        </is>
      </c>
      <c r="R345" t="inlineStr">
        <is>
          <t>nyu</t>
        </is>
      </c>
      <c r="T345" t="inlineStr">
        <is>
          <t xml:space="preserve">KF </t>
        </is>
      </c>
      <c r="U345" t="n">
        <v>2</v>
      </c>
      <c r="V345" t="n">
        <v>13</v>
      </c>
      <c r="W345" t="inlineStr">
        <is>
          <t>1998-12-13</t>
        </is>
      </c>
      <c r="X345" t="inlineStr">
        <is>
          <t>2000-12-01</t>
        </is>
      </c>
      <c r="Y345" t="inlineStr">
        <is>
          <t>1994-08-18</t>
        </is>
      </c>
      <c r="Z345" t="inlineStr">
        <is>
          <t>1994-08-18</t>
        </is>
      </c>
      <c r="AA345" t="n">
        <v>1480</v>
      </c>
      <c r="AB345" t="n">
        <v>1422</v>
      </c>
      <c r="AC345" t="n">
        <v>1723</v>
      </c>
      <c r="AD345" t="n">
        <v>14</v>
      </c>
      <c r="AE345" t="n">
        <v>16</v>
      </c>
      <c r="AF345" t="n">
        <v>63</v>
      </c>
      <c r="AG345" t="n">
        <v>70</v>
      </c>
      <c r="AH345" t="n">
        <v>14</v>
      </c>
      <c r="AI345" t="n">
        <v>18</v>
      </c>
      <c r="AJ345" t="n">
        <v>10</v>
      </c>
      <c r="AK345" t="n">
        <v>10</v>
      </c>
      <c r="AL345" t="n">
        <v>16</v>
      </c>
      <c r="AM345" t="n">
        <v>19</v>
      </c>
      <c r="AN345" t="n">
        <v>9</v>
      </c>
      <c r="AO345" t="n">
        <v>10</v>
      </c>
      <c r="AP345" t="n">
        <v>22</v>
      </c>
      <c r="AQ345" t="n">
        <v>23</v>
      </c>
      <c r="AR345" t="inlineStr">
        <is>
          <t>No</t>
        </is>
      </c>
      <c r="AS345" t="inlineStr">
        <is>
          <t>No</t>
        </is>
      </c>
      <c r="AU345">
        <f>HYPERLINK("https://creighton-primo.hosted.exlibrisgroup.com/primo-explore/search?tab=default_tab&amp;search_scope=EVERYTHING&amp;vid=01CRU&amp;lang=en_US&amp;offset=0&amp;query=any,contains,991000110049702656","Catalog Record")</f>
        <v/>
      </c>
      <c r="AV345">
        <f>HYPERLINK("http://www.worldcat.org/oclc/47888","WorldCat Record")</f>
        <v/>
      </c>
      <c r="AW345" t="inlineStr">
        <is>
          <t>4575345196:eng</t>
        </is>
      </c>
      <c r="AX345" t="inlineStr">
        <is>
          <t>47888</t>
        </is>
      </c>
      <c r="AY345" t="inlineStr">
        <is>
          <t>991000110049702656</t>
        </is>
      </c>
      <c r="AZ345" t="inlineStr">
        <is>
          <t>991000110049702656</t>
        </is>
      </c>
      <c r="BA345" t="inlineStr">
        <is>
          <t>2262448570002656</t>
        </is>
      </c>
      <c r="BB345" t="inlineStr">
        <is>
          <t>BOOK</t>
        </is>
      </c>
      <c r="BD345" t="inlineStr">
        <is>
          <t>9780835202176</t>
        </is>
      </c>
      <c r="BE345" t="inlineStr">
        <is>
          <t>32285001938272</t>
        </is>
      </c>
      <c r="BF345" t="inlineStr">
        <is>
          <t>893796423</t>
        </is>
      </c>
    </row>
    <row r="346">
      <c r="B346" t="inlineStr">
        <is>
          <t>CURAL</t>
        </is>
      </c>
      <c r="C346" t="inlineStr">
        <is>
          <t>SHELVES</t>
        </is>
      </c>
      <c r="D346" t="inlineStr">
        <is>
          <t>KF8744 .F75 V.4</t>
        </is>
      </c>
      <c r="E346" t="inlineStr">
        <is>
          <t>0                      KF 8744000F  75                                                      V.4</t>
        </is>
      </c>
      <c r="F346" t="inlineStr">
        <is>
          <t>The justices of the United States Supreme Court : their lives and major opinions / Leon Friedman &amp; Fred L. Israel, editors; with an introd. by Louis H. Pollak.</t>
        </is>
      </c>
      <c r="G346" t="inlineStr">
        <is>
          <t>V.4*</t>
        </is>
      </c>
      <c r="H346" t="inlineStr">
        <is>
          <t>Yes</t>
        </is>
      </c>
      <c r="I346" t="inlineStr">
        <is>
          <t>1</t>
        </is>
      </c>
      <c r="J346" t="inlineStr">
        <is>
          <t>No</t>
        </is>
      </c>
      <c r="K346" t="inlineStr">
        <is>
          <t>Yes</t>
        </is>
      </c>
      <c r="L346" t="inlineStr">
        <is>
          <t>0</t>
        </is>
      </c>
      <c r="M346" t="inlineStr">
        <is>
          <t>Friedman, Leon compiler.</t>
        </is>
      </c>
      <c r="N346" t="inlineStr">
        <is>
          <t>New York : Chelsea House in association with Bowker, 1969-</t>
        </is>
      </c>
      <c r="O346" t="inlineStr">
        <is>
          <t>1969</t>
        </is>
      </c>
      <c r="Q346" t="inlineStr">
        <is>
          <t>eng</t>
        </is>
      </c>
      <c r="R346" t="inlineStr">
        <is>
          <t>nyu</t>
        </is>
      </c>
      <c r="T346" t="inlineStr">
        <is>
          <t xml:space="preserve">KF </t>
        </is>
      </c>
      <c r="U346" t="n">
        <v>7</v>
      </c>
      <c r="V346" t="n">
        <v>13</v>
      </c>
      <c r="W346" t="inlineStr">
        <is>
          <t>2000-12-01</t>
        </is>
      </c>
      <c r="X346" t="inlineStr">
        <is>
          <t>2000-12-01</t>
        </is>
      </c>
      <c r="Y346" t="inlineStr">
        <is>
          <t>1992-04-27</t>
        </is>
      </c>
      <c r="Z346" t="inlineStr">
        <is>
          <t>1994-08-18</t>
        </is>
      </c>
      <c r="AA346" t="n">
        <v>1480</v>
      </c>
      <c r="AB346" t="n">
        <v>1422</v>
      </c>
      <c r="AC346" t="n">
        <v>1723</v>
      </c>
      <c r="AD346" t="n">
        <v>14</v>
      </c>
      <c r="AE346" t="n">
        <v>16</v>
      </c>
      <c r="AF346" t="n">
        <v>63</v>
      </c>
      <c r="AG346" t="n">
        <v>70</v>
      </c>
      <c r="AH346" t="n">
        <v>14</v>
      </c>
      <c r="AI346" t="n">
        <v>18</v>
      </c>
      <c r="AJ346" t="n">
        <v>10</v>
      </c>
      <c r="AK346" t="n">
        <v>10</v>
      </c>
      <c r="AL346" t="n">
        <v>16</v>
      </c>
      <c r="AM346" t="n">
        <v>19</v>
      </c>
      <c r="AN346" t="n">
        <v>9</v>
      </c>
      <c r="AO346" t="n">
        <v>10</v>
      </c>
      <c r="AP346" t="n">
        <v>22</v>
      </c>
      <c r="AQ346" t="n">
        <v>23</v>
      </c>
      <c r="AR346" t="inlineStr">
        <is>
          <t>No</t>
        </is>
      </c>
      <c r="AS346" t="inlineStr">
        <is>
          <t>No</t>
        </is>
      </c>
      <c r="AU346">
        <f>HYPERLINK("https://creighton-primo.hosted.exlibrisgroup.com/primo-explore/search?tab=default_tab&amp;search_scope=EVERYTHING&amp;vid=01CRU&amp;lang=en_US&amp;offset=0&amp;query=any,contains,991000110049702656","Catalog Record")</f>
        <v/>
      </c>
      <c r="AV346">
        <f>HYPERLINK("http://www.worldcat.org/oclc/47888","WorldCat Record")</f>
        <v/>
      </c>
      <c r="AW346" t="inlineStr">
        <is>
          <t>4575345196:eng</t>
        </is>
      </c>
      <c r="AX346" t="inlineStr">
        <is>
          <t>47888</t>
        </is>
      </c>
      <c r="AY346" t="inlineStr">
        <is>
          <t>991000110049702656</t>
        </is>
      </c>
      <c r="AZ346" t="inlineStr">
        <is>
          <t>991000110049702656</t>
        </is>
      </c>
      <c r="BA346" t="inlineStr">
        <is>
          <t>2262448570002656</t>
        </is>
      </c>
      <c r="BB346" t="inlineStr">
        <is>
          <t>BOOK</t>
        </is>
      </c>
      <c r="BD346" t="inlineStr">
        <is>
          <t>9780835202176</t>
        </is>
      </c>
      <c r="BE346" t="inlineStr">
        <is>
          <t>32285001095537</t>
        </is>
      </c>
      <c r="BF346" t="inlineStr">
        <is>
          <t>893796422</t>
        </is>
      </c>
    </row>
    <row r="347">
      <c r="B347" t="inlineStr">
        <is>
          <t>CURAL</t>
        </is>
      </c>
      <c r="C347" t="inlineStr">
        <is>
          <t>SHELVES</t>
        </is>
      </c>
      <c r="D347" t="inlineStr">
        <is>
          <t>KF8744 .F75 V.5</t>
        </is>
      </c>
      <c r="E347" t="inlineStr">
        <is>
          <t>0                      KF 8744000F  75                                                      V.5</t>
        </is>
      </c>
      <c r="F347" t="inlineStr">
        <is>
          <t>The justices of the United States Supreme Court : their lives and major opinions / Leon Friedman &amp; Fred L. Israel, editors; with an introd. by Louis H. Pollak.</t>
        </is>
      </c>
      <c r="G347" t="inlineStr">
        <is>
          <t>V.5*</t>
        </is>
      </c>
      <c r="H347" t="inlineStr">
        <is>
          <t>Yes</t>
        </is>
      </c>
      <c r="I347" t="inlineStr">
        <is>
          <t>1</t>
        </is>
      </c>
      <c r="J347" t="inlineStr">
        <is>
          <t>No</t>
        </is>
      </c>
      <c r="K347" t="inlineStr">
        <is>
          <t>Yes</t>
        </is>
      </c>
      <c r="L347" t="inlineStr">
        <is>
          <t>0</t>
        </is>
      </c>
      <c r="M347" t="inlineStr">
        <is>
          <t>Friedman, Leon compiler.</t>
        </is>
      </c>
      <c r="N347" t="inlineStr">
        <is>
          <t>New York : Chelsea House in association with Bowker, 1969-</t>
        </is>
      </c>
      <c r="O347" t="inlineStr">
        <is>
          <t>1969</t>
        </is>
      </c>
      <c r="Q347" t="inlineStr">
        <is>
          <t>eng</t>
        </is>
      </c>
      <c r="R347" t="inlineStr">
        <is>
          <t>nyu</t>
        </is>
      </c>
      <c r="T347" t="inlineStr">
        <is>
          <t xml:space="preserve">KF </t>
        </is>
      </c>
      <c r="U347" t="n">
        <v>4</v>
      </c>
      <c r="V347" t="n">
        <v>13</v>
      </c>
      <c r="W347" t="inlineStr">
        <is>
          <t>2000-11-22</t>
        </is>
      </c>
      <c r="X347" t="inlineStr">
        <is>
          <t>2000-12-01</t>
        </is>
      </c>
      <c r="Y347" t="inlineStr">
        <is>
          <t>1992-04-30</t>
        </is>
      </c>
      <c r="Z347" t="inlineStr">
        <is>
          <t>1994-08-18</t>
        </is>
      </c>
      <c r="AA347" t="n">
        <v>1480</v>
      </c>
      <c r="AB347" t="n">
        <v>1422</v>
      </c>
      <c r="AC347" t="n">
        <v>1723</v>
      </c>
      <c r="AD347" t="n">
        <v>14</v>
      </c>
      <c r="AE347" t="n">
        <v>16</v>
      </c>
      <c r="AF347" t="n">
        <v>63</v>
      </c>
      <c r="AG347" t="n">
        <v>70</v>
      </c>
      <c r="AH347" t="n">
        <v>14</v>
      </c>
      <c r="AI347" t="n">
        <v>18</v>
      </c>
      <c r="AJ347" t="n">
        <v>10</v>
      </c>
      <c r="AK347" t="n">
        <v>10</v>
      </c>
      <c r="AL347" t="n">
        <v>16</v>
      </c>
      <c r="AM347" t="n">
        <v>19</v>
      </c>
      <c r="AN347" t="n">
        <v>9</v>
      </c>
      <c r="AO347" t="n">
        <v>10</v>
      </c>
      <c r="AP347" t="n">
        <v>22</v>
      </c>
      <c r="AQ347" t="n">
        <v>23</v>
      </c>
      <c r="AR347" t="inlineStr">
        <is>
          <t>No</t>
        </is>
      </c>
      <c r="AS347" t="inlineStr">
        <is>
          <t>No</t>
        </is>
      </c>
      <c r="AU347">
        <f>HYPERLINK("https://creighton-primo.hosted.exlibrisgroup.com/primo-explore/search?tab=default_tab&amp;search_scope=EVERYTHING&amp;vid=01CRU&amp;lang=en_US&amp;offset=0&amp;query=any,contains,991000110049702656","Catalog Record")</f>
        <v/>
      </c>
      <c r="AV347">
        <f>HYPERLINK("http://www.worldcat.org/oclc/47888","WorldCat Record")</f>
        <v/>
      </c>
      <c r="AW347" t="inlineStr">
        <is>
          <t>4575345196:eng</t>
        </is>
      </c>
      <c r="AX347" t="inlineStr">
        <is>
          <t>47888</t>
        </is>
      </c>
      <c r="AY347" t="inlineStr">
        <is>
          <t>991000110049702656</t>
        </is>
      </c>
      <c r="AZ347" t="inlineStr">
        <is>
          <t>991000110049702656</t>
        </is>
      </c>
      <c r="BA347" t="inlineStr">
        <is>
          <t>2262448570002656</t>
        </is>
      </c>
      <c r="BB347" t="inlineStr">
        <is>
          <t>BOOK</t>
        </is>
      </c>
      <c r="BD347" t="inlineStr">
        <is>
          <t>9780835202176</t>
        </is>
      </c>
      <c r="BE347" t="inlineStr">
        <is>
          <t>32285001096162</t>
        </is>
      </c>
      <c r="BF347" t="inlineStr">
        <is>
          <t>893796421</t>
        </is>
      </c>
    </row>
    <row r="348">
      <c r="B348" t="inlineStr">
        <is>
          <t>CURAL</t>
        </is>
      </c>
      <c r="C348" t="inlineStr">
        <is>
          <t>SHELVES</t>
        </is>
      </c>
      <c r="D348" t="inlineStr">
        <is>
          <t>KF8744 .S86 1993</t>
        </is>
      </c>
      <c r="E348" t="inlineStr">
        <is>
          <t>0                      KF 8744000S  86          1993</t>
        </is>
      </c>
      <c r="F348" t="inlineStr">
        <is>
          <t>The Supreme Court justices : illustrated biographies, 1789-1993 / edited by Clare Cushman (the Supreme Court Historical Society) ; foreword by William H. Rehnquist.</t>
        </is>
      </c>
      <c r="H348" t="inlineStr">
        <is>
          <t>No</t>
        </is>
      </c>
      <c r="I348" t="inlineStr">
        <is>
          <t>1</t>
        </is>
      </c>
      <c r="J348" t="inlineStr">
        <is>
          <t>Yes</t>
        </is>
      </c>
      <c r="K348" t="inlineStr">
        <is>
          <t>Yes</t>
        </is>
      </c>
      <c r="L348" t="inlineStr">
        <is>
          <t>0</t>
        </is>
      </c>
      <c r="N348" t="inlineStr">
        <is>
          <t>Washington, D.C. : Congressional Quarterly, c1993.</t>
        </is>
      </c>
      <c r="O348" t="inlineStr">
        <is>
          <t>1993</t>
        </is>
      </c>
      <c r="Q348" t="inlineStr">
        <is>
          <t>eng</t>
        </is>
      </c>
      <c r="R348" t="inlineStr">
        <is>
          <t>dcu</t>
        </is>
      </c>
      <c r="T348" t="inlineStr">
        <is>
          <t xml:space="preserve">KF </t>
        </is>
      </c>
      <c r="U348" t="n">
        <v>2</v>
      </c>
      <c r="V348" t="n">
        <v>8</v>
      </c>
      <c r="W348" t="inlineStr">
        <is>
          <t>2000-11-22</t>
        </is>
      </c>
      <c r="X348" t="inlineStr">
        <is>
          <t>2005-08-16</t>
        </is>
      </c>
      <c r="Y348" t="inlineStr">
        <is>
          <t>1994-03-22</t>
        </is>
      </c>
      <c r="Z348" t="inlineStr">
        <is>
          <t>1994-03-22</t>
        </is>
      </c>
      <c r="AA348" t="n">
        <v>1177</v>
      </c>
      <c r="AB348" t="n">
        <v>1153</v>
      </c>
      <c r="AC348" t="n">
        <v>1513</v>
      </c>
      <c r="AD348" t="n">
        <v>10</v>
      </c>
      <c r="AE348" t="n">
        <v>12</v>
      </c>
      <c r="AF348" t="n">
        <v>51</v>
      </c>
      <c r="AG348" t="n">
        <v>61</v>
      </c>
      <c r="AH348" t="n">
        <v>10</v>
      </c>
      <c r="AI348" t="n">
        <v>15</v>
      </c>
      <c r="AJ348" t="n">
        <v>6</v>
      </c>
      <c r="AK348" t="n">
        <v>7</v>
      </c>
      <c r="AL348" t="n">
        <v>13</v>
      </c>
      <c r="AM348" t="n">
        <v>17</v>
      </c>
      <c r="AN348" t="n">
        <v>7</v>
      </c>
      <c r="AO348" t="n">
        <v>8</v>
      </c>
      <c r="AP348" t="n">
        <v>22</v>
      </c>
      <c r="AQ348" t="n">
        <v>24</v>
      </c>
      <c r="AR348" t="inlineStr">
        <is>
          <t>No</t>
        </is>
      </c>
      <c r="AS348" t="inlineStr">
        <is>
          <t>Yes</t>
        </is>
      </c>
      <c r="AT348">
        <f>HYPERLINK("http://catalog.hathitrust.org/Record/002655090","HathiTrust Record")</f>
        <v/>
      </c>
      <c r="AU348">
        <f>HYPERLINK("https://creighton-primo.hosted.exlibrisgroup.com/primo-explore/search?tab=default_tab&amp;search_scope=EVERYTHING&amp;vid=01CRU&amp;lang=en_US&amp;offset=0&amp;query=any,contains,991001658059702656","Catalog Record")</f>
        <v/>
      </c>
      <c r="AV348">
        <f>HYPERLINK("http://www.worldcat.org/oclc/27974780","WorldCat Record")</f>
        <v/>
      </c>
      <c r="AW348" t="inlineStr">
        <is>
          <t>918863791:eng</t>
        </is>
      </c>
      <c r="AX348" t="inlineStr">
        <is>
          <t>27974780</t>
        </is>
      </c>
      <c r="AY348" t="inlineStr">
        <is>
          <t>991001658059702656</t>
        </is>
      </c>
      <c r="AZ348" t="inlineStr">
        <is>
          <t>991001658059702656</t>
        </is>
      </c>
      <c r="BA348" t="inlineStr">
        <is>
          <t>2261982230002656</t>
        </is>
      </c>
      <c r="BB348" t="inlineStr">
        <is>
          <t>BOOK</t>
        </is>
      </c>
      <c r="BD348" t="inlineStr">
        <is>
          <t>9780871877239</t>
        </is>
      </c>
      <c r="BE348" t="inlineStr">
        <is>
          <t>32285001857159</t>
        </is>
      </c>
      <c r="BF348" t="inlineStr">
        <is>
          <t>893696896</t>
        </is>
      </c>
    </row>
    <row r="349">
      <c r="B349" t="inlineStr">
        <is>
          <t>CURAL</t>
        </is>
      </c>
      <c r="C349" t="inlineStr">
        <is>
          <t>SHELVES</t>
        </is>
      </c>
      <c r="D349" t="inlineStr">
        <is>
          <t>KF8745.B67 M34 1946</t>
        </is>
      </c>
      <c r="E349" t="inlineStr">
        <is>
          <t>0                      KF 8745000B  67                 M  34          1946</t>
        </is>
      </c>
      <c r="F349" t="inlineStr">
        <is>
          <t>Brandeis : a free man's life / by Alpheus Thomas Mason.</t>
        </is>
      </c>
      <c r="H349" t="inlineStr">
        <is>
          <t>No</t>
        </is>
      </c>
      <c r="I349" t="inlineStr">
        <is>
          <t>1</t>
        </is>
      </c>
      <c r="J349" t="inlineStr">
        <is>
          <t>Yes</t>
        </is>
      </c>
      <c r="K349" t="inlineStr">
        <is>
          <t>No</t>
        </is>
      </c>
      <c r="L349" t="inlineStr">
        <is>
          <t>0</t>
        </is>
      </c>
      <c r="M349" t="inlineStr">
        <is>
          <t>Mason, Alpheus Thomas, 1899-1989.</t>
        </is>
      </c>
      <c r="N349" t="inlineStr">
        <is>
          <t>New York : Viking Press, 1946.</t>
        </is>
      </c>
      <c r="O349" t="inlineStr">
        <is>
          <t>1946</t>
        </is>
      </c>
      <c r="Q349" t="inlineStr">
        <is>
          <t>eng</t>
        </is>
      </c>
      <c r="R349" t="inlineStr">
        <is>
          <t>nyu</t>
        </is>
      </c>
      <c r="T349" t="inlineStr">
        <is>
          <t xml:space="preserve">KF </t>
        </is>
      </c>
      <c r="U349" t="n">
        <v>2</v>
      </c>
      <c r="V349" t="n">
        <v>2</v>
      </c>
      <c r="W349" t="inlineStr">
        <is>
          <t>1998-10-02</t>
        </is>
      </c>
      <c r="X349" t="inlineStr">
        <is>
          <t>1998-10-02</t>
        </is>
      </c>
      <c r="Y349" t="inlineStr">
        <is>
          <t>1997-09-15</t>
        </is>
      </c>
      <c r="Z349" t="inlineStr">
        <is>
          <t>2004-11-22</t>
        </is>
      </c>
      <c r="AA349" t="n">
        <v>1411</v>
      </c>
      <c r="AB349" t="n">
        <v>1296</v>
      </c>
      <c r="AC349" t="n">
        <v>1522</v>
      </c>
      <c r="AD349" t="n">
        <v>10</v>
      </c>
      <c r="AE349" t="n">
        <v>10</v>
      </c>
      <c r="AF349" t="n">
        <v>62</v>
      </c>
      <c r="AG349" t="n">
        <v>73</v>
      </c>
      <c r="AH349" t="n">
        <v>18</v>
      </c>
      <c r="AI349" t="n">
        <v>22</v>
      </c>
      <c r="AJ349" t="n">
        <v>9</v>
      </c>
      <c r="AK349" t="n">
        <v>10</v>
      </c>
      <c r="AL349" t="n">
        <v>17</v>
      </c>
      <c r="AM349" t="n">
        <v>22</v>
      </c>
      <c r="AN349" t="n">
        <v>6</v>
      </c>
      <c r="AO349" t="n">
        <v>6</v>
      </c>
      <c r="AP349" t="n">
        <v>20</v>
      </c>
      <c r="AQ349" t="n">
        <v>24</v>
      </c>
      <c r="AR349" t="inlineStr">
        <is>
          <t>No</t>
        </is>
      </c>
      <c r="AS349" t="inlineStr">
        <is>
          <t>Yes</t>
        </is>
      </c>
      <c r="AT349">
        <f>HYPERLINK("http://catalog.hathitrust.org/Record/001142548","HathiTrust Record")</f>
        <v/>
      </c>
      <c r="AU349">
        <f>HYPERLINK("https://creighton-primo.hosted.exlibrisgroup.com/primo-explore/search?tab=default_tab&amp;search_scope=EVERYTHING&amp;vid=01CRU&amp;lang=en_US&amp;offset=0&amp;query=any,contains,991001630209702656","Catalog Record")</f>
        <v/>
      </c>
      <c r="AV349">
        <f>HYPERLINK("http://www.worldcat.org/oclc/345907","WorldCat Record")</f>
        <v/>
      </c>
      <c r="AW349" t="inlineStr">
        <is>
          <t>198917159:eng</t>
        </is>
      </c>
      <c r="AX349" t="inlineStr">
        <is>
          <t>345907</t>
        </is>
      </c>
      <c r="AY349" t="inlineStr">
        <is>
          <t>991001630209702656</t>
        </is>
      </c>
      <c r="AZ349" t="inlineStr">
        <is>
          <t>991001630209702656</t>
        </is>
      </c>
      <c r="BA349" t="inlineStr">
        <is>
          <t>2272068430002656</t>
        </is>
      </c>
      <c r="BB349" t="inlineStr">
        <is>
          <t>BOOK</t>
        </is>
      </c>
      <c r="BE349" t="inlineStr">
        <is>
          <t>32285003233532</t>
        </is>
      </c>
      <c r="BF349" t="inlineStr">
        <is>
          <t>893328242</t>
        </is>
      </c>
    </row>
    <row r="350">
      <c r="B350" t="inlineStr">
        <is>
          <t>CURAL</t>
        </is>
      </c>
      <c r="C350" t="inlineStr">
        <is>
          <t>SHELVES</t>
        </is>
      </c>
      <c r="D350" t="inlineStr">
        <is>
          <t>KF8745.D6 A28</t>
        </is>
      </c>
      <c r="E350" t="inlineStr">
        <is>
          <t>0                      KF 8745000D  6                  A  28</t>
        </is>
      </c>
      <c r="F350" t="inlineStr">
        <is>
          <t>The Court years, 1939-1975 : the autobiography of William O. Douglas.</t>
        </is>
      </c>
      <c r="H350" t="inlineStr">
        <is>
          <t>No</t>
        </is>
      </c>
      <c r="I350" t="inlineStr">
        <is>
          <t>1</t>
        </is>
      </c>
      <c r="J350" t="inlineStr">
        <is>
          <t>Yes</t>
        </is>
      </c>
      <c r="K350" t="inlineStr">
        <is>
          <t>No</t>
        </is>
      </c>
      <c r="L350" t="inlineStr">
        <is>
          <t>0</t>
        </is>
      </c>
      <c r="M350" t="inlineStr">
        <is>
          <t>Douglas, William O. (William Orville), 1898-1980.</t>
        </is>
      </c>
      <c r="N350" t="inlineStr">
        <is>
          <t>New York : Random House, c1980.</t>
        </is>
      </c>
      <c r="O350" t="inlineStr">
        <is>
          <t>1980</t>
        </is>
      </c>
      <c r="P350" t="inlineStr">
        <is>
          <t>1st ed.</t>
        </is>
      </c>
      <c r="Q350" t="inlineStr">
        <is>
          <t>eng</t>
        </is>
      </c>
      <c r="R350" t="inlineStr">
        <is>
          <t>nyu</t>
        </is>
      </c>
      <c r="T350" t="inlineStr">
        <is>
          <t xml:space="preserve">KF </t>
        </is>
      </c>
      <c r="U350" t="n">
        <v>12</v>
      </c>
      <c r="V350" t="n">
        <v>13</v>
      </c>
      <c r="W350" t="inlineStr">
        <is>
          <t>1999-10-07</t>
        </is>
      </c>
      <c r="X350" t="inlineStr">
        <is>
          <t>1999-10-07</t>
        </is>
      </c>
      <c r="Y350" t="inlineStr">
        <is>
          <t>1992-07-17</t>
        </is>
      </c>
      <c r="Z350" t="inlineStr">
        <is>
          <t>1995-02-20</t>
        </is>
      </c>
      <c r="AA350" t="n">
        <v>1903</v>
      </c>
      <c r="AB350" t="n">
        <v>1814</v>
      </c>
      <c r="AC350" t="n">
        <v>1873</v>
      </c>
      <c r="AD350" t="n">
        <v>12</v>
      </c>
      <c r="AE350" t="n">
        <v>14</v>
      </c>
      <c r="AF350" t="n">
        <v>63</v>
      </c>
      <c r="AG350" t="n">
        <v>66</v>
      </c>
      <c r="AH350" t="n">
        <v>16</v>
      </c>
      <c r="AI350" t="n">
        <v>17</v>
      </c>
      <c r="AJ350" t="n">
        <v>10</v>
      </c>
      <c r="AK350" t="n">
        <v>10</v>
      </c>
      <c r="AL350" t="n">
        <v>20</v>
      </c>
      <c r="AM350" t="n">
        <v>20</v>
      </c>
      <c r="AN350" t="n">
        <v>6</v>
      </c>
      <c r="AO350" t="n">
        <v>8</v>
      </c>
      <c r="AP350" t="n">
        <v>23</v>
      </c>
      <c r="AQ350" t="n">
        <v>23</v>
      </c>
      <c r="AR350" t="inlineStr">
        <is>
          <t>No</t>
        </is>
      </c>
      <c r="AS350" t="inlineStr">
        <is>
          <t>Yes</t>
        </is>
      </c>
      <c r="AT350">
        <f>HYPERLINK("http://catalog.hathitrust.org/Record/000742137","HathiTrust Record")</f>
        <v/>
      </c>
      <c r="AU350">
        <f>HYPERLINK("https://creighton-primo.hosted.exlibrisgroup.com/primo-explore/search?tab=default_tab&amp;search_scope=EVERYTHING&amp;vid=01CRU&amp;lang=en_US&amp;offset=0&amp;query=any,contains,991001616189702656","Catalog Record")</f>
        <v/>
      </c>
      <c r="AV350">
        <f>HYPERLINK("http://www.worldcat.org/oclc/6280574","WorldCat Record")</f>
        <v/>
      </c>
      <c r="AW350" t="inlineStr">
        <is>
          <t>48210555:eng</t>
        </is>
      </c>
      <c r="AX350" t="inlineStr">
        <is>
          <t>6280574</t>
        </is>
      </c>
      <c r="AY350" t="inlineStr">
        <is>
          <t>991001616189702656</t>
        </is>
      </c>
      <c r="AZ350" t="inlineStr">
        <is>
          <t>991001616189702656</t>
        </is>
      </c>
      <c r="BA350" t="inlineStr">
        <is>
          <t>2255943090002656</t>
        </is>
      </c>
      <c r="BB350" t="inlineStr">
        <is>
          <t>BOOK</t>
        </is>
      </c>
      <c r="BD350" t="inlineStr">
        <is>
          <t>9780394492407</t>
        </is>
      </c>
      <c r="BE350" t="inlineStr">
        <is>
          <t>32285001179711</t>
        </is>
      </c>
      <c r="BF350" t="inlineStr">
        <is>
          <t>893690708</t>
        </is>
      </c>
    </row>
    <row r="351">
      <c r="B351" t="inlineStr">
        <is>
          <t>CURAL</t>
        </is>
      </c>
      <c r="C351" t="inlineStr">
        <is>
          <t>SHELVES</t>
        </is>
      </c>
      <c r="D351" t="inlineStr">
        <is>
          <t>KF8745.W3 S37 1983</t>
        </is>
      </c>
      <c r="E351" t="inlineStr">
        <is>
          <t>0                      KF 8745000W  3                  S  37          1983</t>
        </is>
      </c>
      <c r="F351" t="inlineStr">
        <is>
          <t>Super chief, Earl Warren and his Supreme Court : a judicial biography / by Bernard Schwartz.</t>
        </is>
      </c>
      <c r="H351" t="inlineStr">
        <is>
          <t>No</t>
        </is>
      </c>
      <c r="I351" t="inlineStr">
        <is>
          <t>1</t>
        </is>
      </c>
      <c r="J351" t="inlineStr">
        <is>
          <t>Yes</t>
        </is>
      </c>
      <c r="K351" t="inlineStr">
        <is>
          <t>No</t>
        </is>
      </c>
      <c r="L351" t="inlineStr">
        <is>
          <t>0</t>
        </is>
      </c>
      <c r="M351" t="inlineStr">
        <is>
          <t>Schwartz, Bernard, 1923-1997.</t>
        </is>
      </c>
      <c r="N351" t="inlineStr">
        <is>
          <t>New York : New York University Press, 1983.</t>
        </is>
      </c>
      <c r="O351" t="inlineStr">
        <is>
          <t>1983</t>
        </is>
      </c>
      <c r="P351" t="inlineStr">
        <is>
          <t>Unabridged ed.</t>
        </is>
      </c>
      <c r="Q351" t="inlineStr">
        <is>
          <t>eng</t>
        </is>
      </c>
      <c r="R351" t="inlineStr">
        <is>
          <t>nyu</t>
        </is>
      </c>
      <c r="T351" t="inlineStr">
        <is>
          <t xml:space="preserve">KF </t>
        </is>
      </c>
      <c r="U351" t="n">
        <v>5</v>
      </c>
      <c r="V351" t="n">
        <v>5</v>
      </c>
      <c r="W351" t="inlineStr">
        <is>
          <t>2008-10-27</t>
        </is>
      </c>
      <c r="X351" t="inlineStr">
        <is>
          <t>2008-10-27</t>
        </is>
      </c>
      <c r="Y351" t="inlineStr">
        <is>
          <t>1992-07-17</t>
        </is>
      </c>
      <c r="Z351" t="inlineStr">
        <is>
          <t>1992-07-17</t>
        </is>
      </c>
      <c r="AA351" t="n">
        <v>1474</v>
      </c>
      <c r="AB351" t="n">
        <v>1364</v>
      </c>
      <c r="AC351" t="n">
        <v>1368</v>
      </c>
      <c r="AD351" t="n">
        <v>14</v>
      </c>
      <c r="AE351" t="n">
        <v>14</v>
      </c>
      <c r="AF351" t="n">
        <v>65</v>
      </c>
      <c r="AG351" t="n">
        <v>65</v>
      </c>
      <c r="AH351" t="n">
        <v>18</v>
      </c>
      <c r="AI351" t="n">
        <v>18</v>
      </c>
      <c r="AJ351" t="n">
        <v>6</v>
      </c>
      <c r="AK351" t="n">
        <v>6</v>
      </c>
      <c r="AL351" t="n">
        <v>16</v>
      </c>
      <c r="AM351" t="n">
        <v>16</v>
      </c>
      <c r="AN351" t="n">
        <v>10</v>
      </c>
      <c r="AO351" t="n">
        <v>10</v>
      </c>
      <c r="AP351" t="n">
        <v>23</v>
      </c>
      <c r="AQ351" t="n">
        <v>23</v>
      </c>
      <c r="AR351" t="inlineStr">
        <is>
          <t>No</t>
        </is>
      </c>
      <c r="AS351" t="inlineStr">
        <is>
          <t>No</t>
        </is>
      </c>
      <c r="AU351">
        <f>HYPERLINK("https://creighton-primo.hosted.exlibrisgroup.com/primo-explore/search?tab=default_tab&amp;search_scope=EVERYTHING&amp;vid=01CRU&amp;lang=en_US&amp;offset=0&amp;query=any,contains,991001623379702656","Catalog Record")</f>
        <v/>
      </c>
      <c r="AV351">
        <f>HYPERLINK("http://www.worldcat.org/oclc/8866493","WorldCat Record")</f>
        <v/>
      </c>
      <c r="AW351" t="inlineStr">
        <is>
          <t>42756662:eng</t>
        </is>
      </c>
      <c r="AX351" t="inlineStr">
        <is>
          <t>8866493</t>
        </is>
      </c>
      <c r="AY351" t="inlineStr">
        <is>
          <t>991001623379702656</t>
        </is>
      </c>
      <c r="AZ351" t="inlineStr">
        <is>
          <t>991001623379702656</t>
        </is>
      </c>
      <c r="BA351" t="inlineStr">
        <is>
          <t>2262499010002656</t>
        </is>
      </c>
      <c r="BB351" t="inlineStr">
        <is>
          <t>BOOK</t>
        </is>
      </c>
      <c r="BD351" t="inlineStr">
        <is>
          <t>9780814778258</t>
        </is>
      </c>
      <c r="BE351" t="inlineStr">
        <is>
          <t>32285001179810</t>
        </is>
      </c>
      <c r="BF351" t="inlineStr">
        <is>
          <t>893709400</t>
        </is>
      </c>
    </row>
    <row r="352">
      <c r="B352" t="inlineStr">
        <is>
          <t>CURAL</t>
        </is>
      </c>
      <c r="C352" t="inlineStr">
        <is>
          <t>SHELVES</t>
        </is>
      </c>
      <c r="D352" t="inlineStr">
        <is>
          <t>KF8745.W6 O2</t>
        </is>
      </c>
      <c r="E352" t="inlineStr">
        <is>
          <t>0                      KF 8745000W  6                  O  2</t>
        </is>
      </c>
      <c r="F352" t="inlineStr">
        <is>
          <t>The philosophy of law of James Wilson, associate justice of the United States Supreme court, 1789-1798; a study in comparative jurisprudence, by William F. Obering.</t>
        </is>
      </c>
      <c r="H352" t="inlineStr">
        <is>
          <t>No</t>
        </is>
      </c>
      <c r="I352" t="inlineStr">
        <is>
          <t>1</t>
        </is>
      </c>
      <c r="J352" t="inlineStr">
        <is>
          <t>Yes</t>
        </is>
      </c>
      <c r="K352" t="inlineStr">
        <is>
          <t>No</t>
        </is>
      </c>
      <c r="L352" t="inlineStr">
        <is>
          <t>0</t>
        </is>
      </c>
      <c r="M352" t="inlineStr">
        <is>
          <t>Obering, William Frederick, 1886-</t>
        </is>
      </c>
      <c r="N352" t="inlineStr">
        <is>
          <t>Washington, D. C., Issued by the Office of the secretary of the American Catholic Philosophical Association, Catholic University of America [1938]</t>
        </is>
      </c>
      <c r="O352" t="inlineStr">
        <is>
          <t>1938</t>
        </is>
      </c>
      <c r="Q352" t="inlineStr">
        <is>
          <t>eng</t>
        </is>
      </c>
      <c r="R352" t="inlineStr">
        <is>
          <t>dcu</t>
        </is>
      </c>
      <c r="S352" t="inlineStr">
        <is>
          <t>Philosophical studies of the American Catholic Philosophical Association ; v. 1</t>
        </is>
      </c>
      <c r="T352" t="inlineStr">
        <is>
          <t xml:space="preserve">KF </t>
        </is>
      </c>
      <c r="U352" t="n">
        <v>1</v>
      </c>
      <c r="V352" t="n">
        <v>1</v>
      </c>
      <c r="W352" t="inlineStr">
        <is>
          <t>2009-09-10</t>
        </is>
      </c>
      <c r="X352" t="inlineStr">
        <is>
          <t>2009-09-10</t>
        </is>
      </c>
      <c r="Y352" t="inlineStr">
        <is>
          <t>1995-09-29</t>
        </is>
      </c>
      <c r="Z352" t="inlineStr">
        <is>
          <t>1995-09-29</t>
        </is>
      </c>
      <c r="AA352" t="n">
        <v>127</v>
      </c>
      <c r="AB352" t="n">
        <v>117</v>
      </c>
      <c r="AC352" t="n">
        <v>130</v>
      </c>
      <c r="AD352" t="n">
        <v>2</v>
      </c>
      <c r="AE352" t="n">
        <v>2</v>
      </c>
      <c r="AF352" t="n">
        <v>25</v>
      </c>
      <c r="AG352" t="n">
        <v>28</v>
      </c>
      <c r="AH352" t="n">
        <v>4</v>
      </c>
      <c r="AI352" t="n">
        <v>4</v>
      </c>
      <c r="AJ352" t="n">
        <v>6</v>
      </c>
      <c r="AK352" t="n">
        <v>7</v>
      </c>
      <c r="AL352" t="n">
        <v>16</v>
      </c>
      <c r="AM352" t="n">
        <v>16</v>
      </c>
      <c r="AN352" t="n">
        <v>0</v>
      </c>
      <c r="AO352" t="n">
        <v>0</v>
      </c>
      <c r="AP352" t="n">
        <v>6</v>
      </c>
      <c r="AQ352" t="n">
        <v>8</v>
      </c>
      <c r="AR352" t="inlineStr">
        <is>
          <t>No</t>
        </is>
      </c>
      <c r="AS352" t="inlineStr">
        <is>
          <t>No</t>
        </is>
      </c>
      <c r="AU352">
        <f>HYPERLINK("https://creighton-primo.hosted.exlibrisgroup.com/primo-explore/search?tab=default_tab&amp;search_scope=EVERYTHING&amp;vid=01CRU&amp;lang=en_US&amp;offset=0&amp;query=any,contains,991001777379702656","Catalog Record")</f>
        <v/>
      </c>
      <c r="AV352">
        <f>HYPERLINK("http://www.worldcat.org/oclc/2958759","WorldCat Record")</f>
        <v/>
      </c>
      <c r="AW352" t="inlineStr">
        <is>
          <t>1010877295:eng</t>
        </is>
      </c>
      <c r="AX352" t="inlineStr">
        <is>
          <t>2958759</t>
        </is>
      </c>
      <c r="AY352" t="inlineStr">
        <is>
          <t>991001777379702656</t>
        </is>
      </c>
      <c r="AZ352" t="inlineStr">
        <is>
          <t>991001777379702656</t>
        </is>
      </c>
      <c r="BA352" t="inlineStr">
        <is>
          <t>2265392880002656</t>
        </is>
      </c>
      <c r="BB352" t="inlineStr">
        <is>
          <t>BOOK</t>
        </is>
      </c>
      <c r="BE352" t="inlineStr">
        <is>
          <t>32285002067014</t>
        </is>
      </c>
      <c r="BF352" t="inlineStr">
        <is>
          <t>893232250</t>
        </is>
      </c>
    </row>
    <row r="353">
      <c r="B353" t="inlineStr">
        <is>
          <t>CURAL</t>
        </is>
      </c>
      <c r="C353" t="inlineStr">
        <is>
          <t>SHELVES</t>
        </is>
      </c>
      <c r="D353" t="inlineStr">
        <is>
          <t>KF8748 .M287 1989</t>
        </is>
      </c>
      <c r="E353" t="inlineStr">
        <is>
          <t>0                      KF 8748000M  287         1989</t>
        </is>
      </c>
      <c r="F353" t="inlineStr">
        <is>
          <t>Public opinion and the Supreme Court / Thomas R. Marshall.</t>
        </is>
      </c>
      <c r="H353" t="inlineStr">
        <is>
          <t>No</t>
        </is>
      </c>
      <c r="I353" t="inlineStr">
        <is>
          <t>1</t>
        </is>
      </c>
      <c r="J353" t="inlineStr">
        <is>
          <t>No</t>
        </is>
      </c>
      <c r="K353" t="inlineStr">
        <is>
          <t>No</t>
        </is>
      </c>
      <c r="L353" t="inlineStr">
        <is>
          <t>0</t>
        </is>
      </c>
      <c r="M353" t="inlineStr">
        <is>
          <t>Marshall, Thomas R., 1949-</t>
        </is>
      </c>
      <c r="N353" t="inlineStr">
        <is>
          <t>Boston : Allen &amp; Unwin, c1989.</t>
        </is>
      </c>
      <c r="O353" t="inlineStr">
        <is>
          <t>1989</t>
        </is>
      </c>
      <c r="Q353" t="inlineStr">
        <is>
          <t>eng</t>
        </is>
      </c>
      <c r="R353" t="inlineStr">
        <is>
          <t>mau</t>
        </is>
      </c>
      <c r="T353" t="inlineStr">
        <is>
          <t xml:space="preserve">KF </t>
        </is>
      </c>
      <c r="U353" t="n">
        <v>2</v>
      </c>
      <c r="V353" t="n">
        <v>2</v>
      </c>
      <c r="W353" t="inlineStr">
        <is>
          <t>2007-04-12</t>
        </is>
      </c>
      <c r="X353" t="inlineStr">
        <is>
          <t>2007-04-12</t>
        </is>
      </c>
      <c r="Y353" t="inlineStr">
        <is>
          <t>1992-03-19</t>
        </is>
      </c>
      <c r="Z353" t="inlineStr">
        <is>
          <t>1992-03-19</t>
        </is>
      </c>
      <c r="AA353" t="n">
        <v>533</v>
      </c>
      <c r="AB353" t="n">
        <v>472</v>
      </c>
      <c r="AC353" t="n">
        <v>488</v>
      </c>
      <c r="AD353" t="n">
        <v>2</v>
      </c>
      <c r="AE353" t="n">
        <v>2</v>
      </c>
      <c r="AF353" t="n">
        <v>33</v>
      </c>
      <c r="AG353" t="n">
        <v>34</v>
      </c>
      <c r="AH353" t="n">
        <v>10</v>
      </c>
      <c r="AI353" t="n">
        <v>11</v>
      </c>
      <c r="AJ353" t="n">
        <v>5</v>
      </c>
      <c r="AK353" t="n">
        <v>5</v>
      </c>
      <c r="AL353" t="n">
        <v>11</v>
      </c>
      <c r="AM353" t="n">
        <v>12</v>
      </c>
      <c r="AN353" t="n">
        <v>1</v>
      </c>
      <c r="AO353" t="n">
        <v>1</v>
      </c>
      <c r="AP353" t="n">
        <v>12</v>
      </c>
      <c r="AQ353" t="n">
        <v>12</v>
      </c>
      <c r="AR353" t="inlineStr">
        <is>
          <t>No</t>
        </is>
      </c>
      <c r="AS353" t="inlineStr">
        <is>
          <t>No</t>
        </is>
      </c>
      <c r="AU353">
        <f>HYPERLINK("https://creighton-primo.hosted.exlibrisgroup.com/primo-explore/search?tab=default_tab&amp;search_scope=EVERYTHING&amp;vid=01CRU&amp;lang=en_US&amp;offset=0&amp;query=any,contains,991001262699702656","Catalog Record")</f>
        <v/>
      </c>
      <c r="AV353">
        <f>HYPERLINK("http://www.worldcat.org/oclc/17774813","WorldCat Record")</f>
        <v/>
      </c>
      <c r="AW353" t="inlineStr">
        <is>
          <t>16668960:eng</t>
        </is>
      </c>
      <c r="AX353" t="inlineStr">
        <is>
          <t>17774813</t>
        </is>
      </c>
      <c r="AY353" t="inlineStr">
        <is>
          <t>991001262699702656</t>
        </is>
      </c>
      <c r="AZ353" t="inlineStr">
        <is>
          <t>991001262699702656</t>
        </is>
      </c>
      <c r="BA353" t="inlineStr">
        <is>
          <t>2271574690002656</t>
        </is>
      </c>
      <c r="BB353" t="inlineStr">
        <is>
          <t>BOOK</t>
        </is>
      </c>
      <c r="BD353" t="inlineStr">
        <is>
          <t>9780044970477</t>
        </is>
      </c>
      <c r="BE353" t="inlineStr">
        <is>
          <t>32285001024370</t>
        </is>
      </c>
      <c r="BF353" t="inlineStr">
        <is>
          <t>893414112</t>
        </is>
      </c>
    </row>
    <row r="354">
      <c r="B354" t="inlineStr">
        <is>
          <t>CURAL</t>
        </is>
      </c>
      <c r="C354" t="inlineStr">
        <is>
          <t>SHELVES</t>
        </is>
      </c>
      <c r="D354" t="inlineStr">
        <is>
          <t>KF8748 .M3 1979</t>
        </is>
      </c>
      <c r="E354" t="inlineStr">
        <is>
          <t>0                      KF 8748000M  3           1979</t>
        </is>
      </c>
      <c r="F354" t="inlineStr">
        <is>
          <t>The Supreme Court from Taft to Burger = originally published as The Supreme Court from Taft to Warren / Alpheus Thomas Mason.</t>
        </is>
      </c>
      <c r="H354" t="inlineStr">
        <is>
          <t>No</t>
        </is>
      </c>
      <c r="I354" t="inlineStr">
        <is>
          <t>1</t>
        </is>
      </c>
      <c r="J354" t="inlineStr">
        <is>
          <t>Yes</t>
        </is>
      </c>
      <c r="K354" t="inlineStr">
        <is>
          <t>No</t>
        </is>
      </c>
      <c r="L354" t="inlineStr">
        <is>
          <t>0</t>
        </is>
      </c>
      <c r="M354" t="inlineStr">
        <is>
          <t>Mason, Alpheus Thomas, 1899-1989.</t>
        </is>
      </c>
      <c r="N354" t="inlineStr">
        <is>
          <t>Baton Rouge : Louisiana State University Press, c1979, 1980 printing.</t>
        </is>
      </c>
      <c r="O354" t="inlineStr">
        <is>
          <t>1979</t>
        </is>
      </c>
      <c r="P354" t="inlineStr">
        <is>
          <t>3d ed., rev. and enl.</t>
        </is>
      </c>
      <c r="Q354" t="inlineStr">
        <is>
          <t>eng</t>
        </is>
      </c>
      <c r="R354" t="inlineStr">
        <is>
          <t>lau</t>
        </is>
      </c>
      <c r="T354" t="inlineStr">
        <is>
          <t xml:space="preserve">KF </t>
        </is>
      </c>
      <c r="U354" t="n">
        <v>3</v>
      </c>
      <c r="V354" t="n">
        <v>4</v>
      </c>
      <c r="W354" t="inlineStr">
        <is>
          <t>2000-12-08</t>
        </is>
      </c>
      <c r="X354" t="inlineStr">
        <is>
          <t>2000-12-08</t>
        </is>
      </c>
      <c r="Y354" t="inlineStr">
        <is>
          <t>1992-04-27</t>
        </is>
      </c>
      <c r="Z354" t="inlineStr">
        <is>
          <t>1992-04-27</t>
        </is>
      </c>
      <c r="AA354" t="n">
        <v>548</v>
      </c>
      <c r="AB354" t="n">
        <v>510</v>
      </c>
      <c r="AC354" t="n">
        <v>517</v>
      </c>
      <c r="AD354" t="n">
        <v>5</v>
      </c>
      <c r="AE354" t="n">
        <v>5</v>
      </c>
      <c r="AF354" t="n">
        <v>36</v>
      </c>
      <c r="AG354" t="n">
        <v>36</v>
      </c>
      <c r="AH354" t="n">
        <v>9</v>
      </c>
      <c r="AI354" t="n">
        <v>9</v>
      </c>
      <c r="AJ354" t="n">
        <v>2</v>
      </c>
      <c r="AK354" t="n">
        <v>2</v>
      </c>
      <c r="AL354" t="n">
        <v>8</v>
      </c>
      <c r="AM354" t="n">
        <v>8</v>
      </c>
      <c r="AN354" t="n">
        <v>3</v>
      </c>
      <c r="AO354" t="n">
        <v>3</v>
      </c>
      <c r="AP354" t="n">
        <v>17</v>
      </c>
      <c r="AQ354" t="n">
        <v>17</v>
      </c>
      <c r="AR354" t="inlineStr">
        <is>
          <t>No</t>
        </is>
      </c>
      <c r="AS354" t="inlineStr">
        <is>
          <t>Yes</t>
        </is>
      </c>
      <c r="AT354">
        <f>HYPERLINK("http://catalog.hathitrust.org/Record/006176388","HathiTrust Record")</f>
        <v/>
      </c>
      <c r="AU354">
        <f>HYPERLINK("https://creighton-primo.hosted.exlibrisgroup.com/primo-explore/search?tab=default_tab&amp;search_scope=EVERYTHING&amp;vid=01CRU&amp;lang=en_US&amp;offset=0&amp;query=any,contains,991001790309702656","Catalog Record")</f>
        <v/>
      </c>
      <c r="AV354">
        <f>HYPERLINK("http://www.worldcat.org/oclc/4004528","WorldCat Record")</f>
        <v/>
      </c>
      <c r="AW354" t="inlineStr">
        <is>
          <t>4495025291:eng</t>
        </is>
      </c>
      <c r="AX354" t="inlineStr">
        <is>
          <t>4004528</t>
        </is>
      </c>
      <c r="AY354" t="inlineStr">
        <is>
          <t>991001790309702656</t>
        </is>
      </c>
      <c r="AZ354" t="inlineStr">
        <is>
          <t>991001790309702656</t>
        </is>
      </c>
      <c r="BA354" t="inlineStr">
        <is>
          <t>2264898310002656</t>
        </is>
      </c>
      <c r="BB354" t="inlineStr">
        <is>
          <t>BOOK</t>
        </is>
      </c>
      <c r="BD354" t="inlineStr">
        <is>
          <t>9780807104682</t>
        </is>
      </c>
      <c r="BE354" t="inlineStr">
        <is>
          <t>32285001089084</t>
        </is>
      </c>
      <c r="BF354" t="inlineStr">
        <is>
          <t>893891842</t>
        </is>
      </c>
    </row>
    <row r="355">
      <c r="B355" t="inlineStr">
        <is>
          <t>CURAL</t>
        </is>
      </c>
      <c r="C355" t="inlineStr">
        <is>
          <t>SHELVES</t>
        </is>
      </c>
      <c r="D355" t="inlineStr">
        <is>
          <t>KF8750 .C625 1994</t>
        </is>
      </c>
      <c r="E355" t="inlineStr">
        <is>
          <t>0                      KF 8750000C  625         1994</t>
        </is>
      </c>
      <c r="F355" t="inlineStr">
        <is>
          <t>On appeal : courts, lawyering, and judging / Frank M. Coffin ; illustrations by Douglas M. Coffin.</t>
        </is>
      </c>
      <c r="H355" t="inlineStr">
        <is>
          <t>No</t>
        </is>
      </c>
      <c r="I355" t="inlineStr">
        <is>
          <t>1</t>
        </is>
      </c>
      <c r="J355" t="inlineStr">
        <is>
          <t>Yes</t>
        </is>
      </c>
      <c r="K355" t="inlineStr">
        <is>
          <t>No</t>
        </is>
      </c>
      <c r="L355" t="inlineStr">
        <is>
          <t>0</t>
        </is>
      </c>
      <c r="M355" t="inlineStr">
        <is>
          <t>Coffin, Frank M. (Frank Morey), 1919-2009.</t>
        </is>
      </c>
      <c r="N355" t="inlineStr">
        <is>
          <t>New York : W.W. Norton, c1994.</t>
        </is>
      </c>
      <c r="O355" t="inlineStr">
        <is>
          <t>1994</t>
        </is>
      </c>
      <c r="P355" t="inlineStr">
        <is>
          <t>1st ed.</t>
        </is>
      </c>
      <c r="Q355" t="inlineStr">
        <is>
          <t>eng</t>
        </is>
      </c>
      <c r="R355" t="inlineStr">
        <is>
          <t>nyu</t>
        </is>
      </c>
      <c r="T355" t="inlineStr">
        <is>
          <t xml:space="preserve">KF </t>
        </is>
      </c>
      <c r="U355" t="n">
        <v>3</v>
      </c>
      <c r="V355" t="n">
        <v>5</v>
      </c>
      <c r="W355" t="inlineStr">
        <is>
          <t>2002-09-11</t>
        </is>
      </c>
      <c r="X355" t="inlineStr">
        <is>
          <t>2002-09-11</t>
        </is>
      </c>
      <c r="Y355" t="inlineStr">
        <is>
          <t>1995-02-03</t>
        </is>
      </c>
      <c r="Z355" t="inlineStr">
        <is>
          <t>1995-02-03</t>
        </is>
      </c>
      <c r="AA355" t="n">
        <v>580</v>
      </c>
      <c r="AB355" t="n">
        <v>559</v>
      </c>
      <c r="AC355" t="n">
        <v>561</v>
      </c>
      <c r="AD355" t="n">
        <v>4</v>
      </c>
      <c r="AE355" t="n">
        <v>4</v>
      </c>
      <c r="AF355" t="n">
        <v>35</v>
      </c>
      <c r="AG355" t="n">
        <v>35</v>
      </c>
      <c r="AH355" t="n">
        <v>6</v>
      </c>
      <c r="AI355" t="n">
        <v>6</v>
      </c>
      <c r="AJ355" t="n">
        <v>6</v>
      </c>
      <c r="AK355" t="n">
        <v>6</v>
      </c>
      <c r="AL355" t="n">
        <v>4</v>
      </c>
      <c r="AM355" t="n">
        <v>4</v>
      </c>
      <c r="AN355" t="n">
        <v>1</v>
      </c>
      <c r="AO355" t="n">
        <v>1</v>
      </c>
      <c r="AP355" t="n">
        <v>22</v>
      </c>
      <c r="AQ355" t="n">
        <v>22</v>
      </c>
      <c r="AR355" t="inlineStr">
        <is>
          <t>No</t>
        </is>
      </c>
      <c r="AS355" t="inlineStr">
        <is>
          <t>No</t>
        </is>
      </c>
      <c r="AU355">
        <f>HYPERLINK("https://creighton-primo.hosted.exlibrisgroup.com/primo-explore/search?tab=default_tab&amp;search_scope=EVERYTHING&amp;vid=01CRU&amp;lang=en_US&amp;offset=0&amp;query=any,contains,991001659229702656","Catalog Record")</f>
        <v/>
      </c>
      <c r="AV355">
        <f>HYPERLINK("http://www.worldcat.org/oclc/28378505","WorldCat Record")</f>
        <v/>
      </c>
      <c r="AW355" t="inlineStr">
        <is>
          <t>356326892:eng</t>
        </is>
      </c>
      <c r="AX355" t="inlineStr">
        <is>
          <t>28378505</t>
        </is>
      </c>
      <c r="AY355" t="inlineStr">
        <is>
          <t>991001659229702656</t>
        </is>
      </c>
      <c r="AZ355" t="inlineStr">
        <is>
          <t>991001659229702656</t>
        </is>
      </c>
      <c r="BA355" t="inlineStr">
        <is>
          <t>2263167750002656</t>
        </is>
      </c>
      <c r="BB355" t="inlineStr">
        <is>
          <t>BOOK</t>
        </is>
      </c>
      <c r="BD355" t="inlineStr">
        <is>
          <t>9780393035827</t>
        </is>
      </c>
      <c r="BE355" t="inlineStr">
        <is>
          <t>32285001997013</t>
        </is>
      </c>
      <c r="BF355" t="inlineStr">
        <is>
          <t>893803786</t>
        </is>
      </c>
    </row>
    <row r="356">
      <c r="B356" t="inlineStr">
        <is>
          <t>CURAL</t>
        </is>
      </c>
      <c r="C356" t="inlineStr">
        <is>
          <t>SHELVES</t>
        </is>
      </c>
      <c r="D356" t="inlineStr">
        <is>
          <t>KF8752 5th .B27 1988</t>
        </is>
      </c>
      <c r="E356" t="inlineStr">
        <is>
          <t>0                      KF 8752000                                                           5th .B27 1988</t>
        </is>
      </c>
      <c r="F356" t="inlineStr">
        <is>
          <t>A court divided : the Fifth Circuit Court of Appeals and the politics of judicial reform / Deborah J. Barrow, Thomas G. Walker.</t>
        </is>
      </c>
      <c r="H356" t="inlineStr">
        <is>
          <t>No</t>
        </is>
      </c>
      <c r="I356" t="inlineStr">
        <is>
          <t>1</t>
        </is>
      </c>
      <c r="J356" t="inlineStr">
        <is>
          <t>Yes</t>
        </is>
      </c>
      <c r="K356" t="inlineStr">
        <is>
          <t>No</t>
        </is>
      </c>
      <c r="L356" t="inlineStr">
        <is>
          <t>0</t>
        </is>
      </c>
      <c r="M356" t="inlineStr">
        <is>
          <t>Barrow, Deborah J., 1952-</t>
        </is>
      </c>
      <c r="N356" t="inlineStr">
        <is>
          <t>New Haven : Yale University Press, c1988.</t>
        </is>
      </c>
      <c r="O356" t="inlineStr">
        <is>
          <t>1988</t>
        </is>
      </c>
      <c r="Q356" t="inlineStr">
        <is>
          <t>eng</t>
        </is>
      </c>
      <c r="R356" t="inlineStr">
        <is>
          <t>ctu</t>
        </is>
      </c>
      <c r="T356" t="inlineStr">
        <is>
          <t xml:space="preserve">KF </t>
        </is>
      </c>
      <c r="U356" t="n">
        <v>1</v>
      </c>
      <c r="V356" t="n">
        <v>1</v>
      </c>
      <c r="W356" t="inlineStr">
        <is>
          <t>2010-01-20</t>
        </is>
      </c>
      <c r="X356" t="inlineStr">
        <is>
          <t>2010-01-20</t>
        </is>
      </c>
      <c r="Y356" t="inlineStr">
        <is>
          <t>1992-07-17</t>
        </is>
      </c>
      <c r="Z356" t="inlineStr">
        <is>
          <t>2000-07-26</t>
        </is>
      </c>
      <c r="AA356" t="n">
        <v>564</v>
      </c>
      <c r="AB356" t="n">
        <v>524</v>
      </c>
      <c r="AC356" t="n">
        <v>696</v>
      </c>
      <c r="AD356" t="n">
        <v>5</v>
      </c>
      <c r="AE356" t="n">
        <v>5</v>
      </c>
      <c r="AF356" t="n">
        <v>36</v>
      </c>
      <c r="AG356" t="n">
        <v>46</v>
      </c>
      <c r="AH356" t="n">
        <v>5</v>
      </c>
      <c r="AI356" t="n">
        <v>11</v>
      </c>
      <c r="AJ356" t="n">
        <v>3</v>
      </c>
      <c r="AK356" t="n">
        <v>6</v>
      </c>
      <c r="AL356" t="n">
        <v>6</v>
      </c>
      <c r="AM356" t="n">
        <v>10</v>
      </c>
      <c r="AN356" t="n">
        <v>2</v>
      </c>
      <c r="AO356" t="n">
        <v>2</v>
      </c>
      <c r="AP356" t="n">
        <v>23</v>
      </c>
      <c r="AQ356" t="n">
        <v>23</v>
      </c>
      <c r="AR356" t="inlineStr">
        <is>
          <t>No</t>
        </is>
      </c>
      <c r="AS356" t="inlineStr">
        <is>
          <t>No</t>
        </is>
      </c>
      <c r="AU356">
        <f>HYPERLINK("https://creighton-primo.hosted.exlibrisgroup.com/primo-explore/search?tab=default_tab&amp;search_scope=EVERYTHING&amp;vid=01CRU&amp;lang=en_US&amp;offset=0&amp;query=any,contains,991001685839702656","Catalog Record")</f>
        <v/>
      </c>
      <c r="AV356">
        <f>HYPERLINK("http://www.worldcat.org/oclc/17508990","WorldCat Record")</f>
        <v/>
      </c>
      <c r="AW356" t="inlineStr">
        <is>
          <t>836783881:eng</t>
        </is>
      </c>
      <c r="AX356" t="inlineStr">
        <is>
          <t>17508990</t>
        </is>
      </c>
      <c r="AY356" t="inlineStr">
        <is>
          <t>991001685839702656</t>
        </is>
      </c>
      <c r="AZ356" t="inlineStr">
        <is>
          <t>991001685839702656</t>
        </is>
      </c>
      <c r="BA356" t="inlineStr">
        <is>
          <t>2265709600002656</t>
        </is>
      </c>
      <c r="BB356" t="inlineStr">
        <is>
          <t>BOOK</t>
        </is>
      </c>
      <c r="BD356" t="inlineStr">
        <is>
          <t>9780300041651</t>
        </is>
      </c>
      <c r="BE356" t="inlineStr">
        <is>
          <t>32285001179877</t>
        </is>
      </c>
      <c r="BF356" t="inlineStr">
        <is>
          <t>893778984</t>
        </is>
      </c>
    </row>
    <row r="357">
      <c r="B357" t="inlineStr">
        <is>
          <t>CURAL</t>
        </is>
      </c>
      <c r="C357" t="inlineStr">
        <is>
          <t>SHELVES</t>
        </is>
      </c>
      <c r="D357" t="inlineStr">
        <is>
          <t>KF8757 .U23</t>
        </is>
      </c>
      <c r="E357" t="inlineStr">
        <is>
          <t>0                      KF 8757000U  23</t>
        </is>
      </c>
      <c r="F357" t="inlineStr">
        <is>
          <t>The Vice-Admiralty Courts and the American Revolution.</t>
        </is>
      </c>
      <c r="H357" t="inlineStr">
        <is>
          <t>No</t>
        </is>
      </c>
      <c r="I357" t="inlineStr">
        <is>
          <t>1</t>
        </is>
      </c>
      <c r="J357" t="inlineStr">
        <is>
          <t>No</t>
        </is>
      </c>
      <c r="K357" t="inlineStr">
        <is>
          <t>No</t>
        </is>
      </c>
      <c r="L357" t="inlineStr">
        <is>
          <t>0</t>
        </is>
      </c>
      <c r="M357" t="inlineStr">
        <is>
          <t>Ubbelohde, Carl.</t>
        </is>
      </c>
      <c r="N357" t="inlineStr">
        <is>
          <t>Chapel Hill, Published for the Institute of Early American History and Culture, Williamsburg, Va., by the University of North Carolina Press, 1960.</t>
        </is>
      </c>
      <c r="O357" t="inlineStr">
        <is>
          <t>1960</t>
        </is>
      </c>
      <c r="Q357" t="inlineStr">
        <is>
          <t>eng</t>
        </is>
      </c>
      <c r="R357" t="inlineStr">
        <is>
          <t>ncu</t>
        </is>
      </c>
      <c r="T357" t="inlineStr">
        <is>
          <t xml:space="preserve">KF </t>
        </is>
      </c>
      <c r="U357" t="n">
        <v>6</v>
      </c>
      <c r="V357" t="n">
        <v>6</v>
      </c>
      <c r="W357" t="inlineStr">
        <is>
          <t>2003-03-08</t>
        </is>
      </c>
      <c r="X357" t="inlineStr">
        <is>
          <t>2003-03-08</t>
        </is>
      </c>
      <c r="Y357" t="inlineStr">
        <is>
          <t>1997-04-18</t>
        </is>
      </c>
      <c r="Z357" t="inlineStr">
        <is>
          <t>1997-04-18</t>
        </is>
      </c>
      <c r="AA357" t="n">
        <v>771</v>
      </c>
      <c r="AB357" t="n">
        <v>687</v>
      </c>
      <c r="AC357" t="n">
        <v>954</v>
      </c>
      <c r="AD357" t="n">
        <v>7</v>
      </c>
      <c r="AE357" t="n">
        <v>9</v>
      </c>
      <c r="AF357" t="n">
        <v>43</v>
      </c>
      <c r="AG357" t="n">
        <v>55</v>
      </c>
      <c r="AH357" t="n">
        <v>12</v>
      </c>
      <c r="AI357" t="n">
        <v>18</v>
      </c>
      <c r="AJ357" t="n">
        <v>7</v>
      </c>
      <c r="AK357" t="n">
        <v>9</v>
      </c>
      <c r="AL357" t="n">
        <v>15</v>
      </c>
      <c r="AM357" t="n">
        <v>18</v>
      </c>
      <c r="AN357" t="n">
        <v>6</v>
      </c>
      <c r="AO357" t="n">
        <v>6</v>
      </c>
      <c r="AP357" t="n">
        <v>10</v>
      </c>
      <c r="AQ357" t="n">
        <v>13</v>
      </c>
      <c r="AR357" t="inlineStr">
        <is>
          <t>No</t>
        </is>
      </c>
      <c r="AS357" t="inlineStr">
        <is>
          <t>No</t>
        </is>
      </c>
      <c r="AU357">
        <f>HYPERLINK("https://creighton-primo.hosted.exlibrisgroup.com/primo-explore/search?tab=default_tab&amp;search_scope=EVERYTHING&amp;vid=01CRU&amp;lang=en_US&amp;offset=0&amp;query=any,contains,991002867019702656","Catalog Record")</f>
        <v/>
      </c>
      <c r="AV357">
        <f>HYPERLINK("http://www.worldcat.org/oclc/497103","WorldCat Record")</f>
        <v/>
      </c>
      <c r="AW357" t="inlineStr">
        <is>
          <t>1591365:eng</t>
        </is>
      </c>
      <c r="AX357" t="inlineStr">
        <is>
          <t>497103</t>
        </is>
      </c>
      <c r="AY357" t="inlineStr">
        <is>
          <t>991002867019702656</t>
        </is>
      </c>
      <c r="AZ357" t="inlineStr">
        <is>
          <t>991002867019702656</t>
        </is>
      </c>
      <c r="BA357" t="inlineStr">
        <is>
          <t>2271839280002656</t>
        </is>
      </c>
      <c r="BB357" t="inlineStr">
        <is>
          <t>BOOK</t>
        </is>
      </c>
      <c r="BE357" t="inlineStr">
        <is>
          <t>32285002553740</t>
        </is>
      </c>
      <c r="BF357" t="inlineStr">
        <is>
          <t>893348022</t>
        </is>
      </c>
    </row>
    <row r="358">
      <c r="B358" t="inlineStr">
        <is>
          <t>CURAL</t>
        </is>
      </c>
      <c r="C358" t="inlineStr">
        <is>
          <t>SHELVES</t>
        </is>
      </c>
      <c r="D358" t="inlineStr">
        <is>
          <t>KF8775.A75 V53 1985</t>
        </is>
      </c>
      <c r="E358" t="inlineStr">
        <is>
          <t>0                      KF 8775000A  75                 V  53          1985</t>
        </is>
      </c>
      <c r="F358" t="inlineStr">
        <is>
          <t>Views from the bench : the judiciary and constitutional politics / collected and edited by Mark W. Cannon and David M. O'Brien ; with introductions by David M. O'Brien ; foreword by Warren E. Burger.</t>
        </is>
      </c>
      <c r="H358" t="inlineStr">
        <is>
          <t>No</t>
        </is>
      </c>
      <c r="I358" t="inlineStr">
        <is>
          <t>1</t>
        </is>
      </c>
      <c r="J358" t="inlineStr">
        <is>
          <t>No</t>
        </is>
      </c>
      <c r="K358" t="inlineStr">
        <is>
          <t>No</t>
        </is>
      </c>
      <c r="L358" t="inlineStr">
        <is>
          <t>0</t>
        </is>
      </c>
      <c r="N358" t="inlineStr">
        <is>
          <t>Chatham, N.J. : Chatham House Publishers, c1985.</t>
        </is>
      </c>
      <c r="O358" t="inlineStr">
        <is>
          <t>1985</t>
        </is>
      </c>
      <c r="Q358" t="inlineStr">
        <is>
          <t>eng</t>
        </is>
      </c>
      <c r="R358" t="inlineStr">
        <is>
          <t>nju</t>
        </is>
      </c>
      <c r="S358" t="inlineStr">
        <is>
          <t>Chatham House series on change in American politics</t>
        </is>
      </c>
      <c r="T358" t="inlineStr">
        <is>
          <t xml:space="preserve">KF </t>
        </is>
      </c>
      <c r="U358" t="n">
        <v>3</v>
      </c>
      <c r="V358" t="n">
        <v>3</v>
      </c>
      <c r="W358" t="inlineStr">
        <is>
          <t>2010-04-26</t>
        </is>
      </c>
      <c r="X358" t="inlineStr">
        <is>
          <t>2010-04-26</t>
        </is>
      </c>
      <c r="Y358" t="inlineStr">
        <is>
          <t>1992-07-17</t>
        </is>
      </c>
      <c r="Z358" t="inlineStr">
        <is>
          <t>1992-07-17</t>
        </is>
      </c>
      <c r="AA358" t="n">
        <v>654</v>
      </c>
      <c r="AB358" t="n">
        <v>605</v>
      </c>
      <c r="AC358" t="n">
        <v>612</v>
      </c>
      <c r="AD358" t="n">
        <v>4</v>
      </c>
      <c r="AE358" t="n">
        <v>4</v>
      </c>
      <c r="AF358" t="n">
        <v>43</v>
      </c>
      <c r="AG358" t="n">
        <v>43</v>
      </c>
      <c r="AH358" t="n">
        <v>10</v>
      </c>
      <c r="AI358" t="n">
        <v>10</v>
      </c>
      <c r="AJ358" t="n">
        <v>6</v>
      </c>
      <c r="AK358" t="n">
        <v>6</v>
      </c>
      <c r="AL358" t="n">
        <v>14</v>
      </c>
      <c r="AM358" t="n">
        <v>14</v>
      </c>
      <c r="AN358" t="n">
        <v>3</v>
      </c>
      <c r="AO358" t="n">
        <v>3</v>
      </c>
      <c r="AP358" t="n">
        <v>20</v>
      </c>
      <c r="AQ358" t="n">
        <v>20</v>
      </c>
      <c r="AR358" t="inlineStr">
        <is>
          <t>No</t>
        </is>
      </c>
      <c r="AS358" t="inlineStr">
        <is>
          <t>Yes</t>
        </is>
      </c>
      <c r="AT358">
        <f>HYPERLINK("http://catalog.hathitrust.org/Record/000402756","HathiTrust Record")</f>
        <v/>
      </c>
      <c r="AU358">
        <f>HYPERLINK("https://creighton-primo.hosted.exlibrisgroup.com/primo-explore/search?tab=default_tab&amp;search_scope=EVERYTHING&amp;vid=01CRU&amp;lang=en_US&amp;offset=0&amp;query=any,contains,991000641449702656","Catalog Record")</f>
        <v/>
      </c>
      <c r="AV358">
        <f>HYPERLINK("http://www.worldcat.org/oclc/12104923","WorldCat Record")</f>
        <v/>
      </c>
      <c r="AW358" t="inlineStr">
        <is>
          <t>367038162:eng</t>
        </is>
      </c>
      <c r="AX358" t="inlineStr">
        <is>
          <t>12104923</t>
        </is>
      </c>
      <c r="AY358" t="inlineStr">
        <is>
          <t>991000641449702656</t>
        </is>
      </c>
      <c r="AZ358" t="inlineStr">
        <is>
          <t>991000641449702656</t>
        </is>
      </c>
      <c r="BA358" t="inlineStr">
        <is>
          <t>2260021860002656</t>
        </is>
      </c>
      <c r="BB358" t="inlineStr">
        <is>
          <t>BOOK</t>
        </is>
      </c>
      <c r="BD358" t="inlineStr">
        <is>
          <t>9780934540339</t>
        </is>
      </c>
      <c r="BE358" t="inlineStr">
        <is>
          <t>32285001179885</t>
        </is>
      </c>
      <c r="BF358" t="inlineStr">
        <is>
          <t>893696010</t>
        </is>
      </c>
    </row>
    <row r="359">
      <c r="B359" t="inlineStr">
        <is>
          <t>CURAL</t>
        </is>
      </c>
      <c r="C359" t="inlineStr">
        <is>
          <t>SHELVES</t>
        </is>
      </c>
      <c r="D359" t="inlineStr">
        <is>
          <t>KF8775.Z9 B66 1998</t>
        </is>
      </c>
      <c r="E359" t="inlineStr">
        <is>
          <t>0                      KF 8775000Z  9                  B  66          1998</t>
        </is>
      </c>
      <c r="F359" t="inlineStr">
        <is>
          <t>Out of order : arrogance, corruption, and incompetence on the bench / Max Boot ; foreword by Robert H. Bork.</t>
        </is>
      </c>
      <c r="H359" t="inlineStr">
        <is>
          <t>No</t>
        </is>
      </c>
      <c r="I359" t="inlineStr">
        <is>
          <t>1</t>
        </is>
      </c>
      <c r="J359" t="inlineStr">
        <is>
          <t>Yes</t>
        </is>
      </c>
      <c r="K359" t="inlineStr">
        <is>
          <t>No</t>
        </is>
      </c>
      <c r="L359" t="inlineStr">
        <is>
          <t>0</t>
        </is>
      </c>
      <c r="M359" t="inlineStr">
        <is>
          <t>Boot, Max, 1968-</t>
        </is>
      </c>
      <c r="N359" t="inlineStr">
        <is>
          <t>New York : Basic Books, c1998.</t>
        </is>
      </c>
      <c r="O359" t="inlineStr">
        <is>
          <t>1998</t>
        </is>
      </c>
      <c r="Q359" t="inlineStr">
        <is>
          <t>eng</t>
        </is>
      </c>
      <c r="R359" t="inlineStr">
        <is>
          <t>nyu</t>
        </is>
      </c>
      <c r="T359" t="inlineStr">
        <is>
          <t xml:space="preserve">KF </t>
        </is>
      </c>
      <c r="U359" t="n">
        <v>0</v>
      </c>
      <c r="V359" t="n">
        <v>1</v>
      </c>
      <c r="W359" t="inlineStr">
        <is>
          <t>2008-05-29</t>
        </is>
      </c>
      <c r="X359" t="inlineStr">
        <is>
          <t>2008-05-29</t>
        </is>
      </c>
      <c r="Y359" t="inlineStr">
        <is>
          <t>1998-08-20</t>
        </is>
      </c>
      <c r="Z359" t="inlineStr">
        <is>
          <t>1998-08-20</t>
        </is>
      </c>
      <c r="AA359" t="n">
        <v>655</v>
      </c>
      <c r="AB359" t="n">
        <v>626</v>
      </c>
      <c r="AC359" t="n">
        <v>632</v>
      </c>
      <c r="AD359" t="n">
        <v>4</v>
      </c>
      <c r="AE359" t="n">
        <v>4</v>
      </c>
      <c r="AF359" t="n">
        <v>34</v>
      </c>
      <c r="AG359" t="n">
        <v>34</v>
      </c>
      <c r="AH359" t="n">
        <v>9</v>
      </c>
      <c r="AI359" t="n">
        <v>9</v>
      </c>
      <c r="AJ359" t="n">
        <v>4</v>
      </c>
      <c r="AK359" t="n">
        <v>4</v>
      </c>
      <c r="AL359" t="n">
        <v>9</v>
      </c>
      <c r="AM359" t="n">
        <v>9</v>
      </c>
      <c r="AN359" t="n">
        <v>1</v>
      </c>
      <c r="AO359" t="n">
        <v>1</v>
      </c>
      <c r="AP359" t="n">
        <v>17</v>
      </c>
      <c r="AQ359" t="n">
        <v>17</v>
      </c>
      <c r="AR359" t="inlineStr">
        <is>
          <t>No</t>
        </is>
      </c>
      <c r="AS359" t="inlineStr">
        <is>
          <t>No</t>
        </is>
      </c>
      <c r="AU359">
        <f>HYPERLINK("https://creighton-primo.hosted.exlibrisgroup.com/primo-explore/search?tab=default_tab&amp;search_scope=EVERYTHING&amp;vid=01CRU&amp;lang=en_US&amp;offset=0&amp;query=any,contains,991001677169702656","Catalog Record")</f>
        <v/>
      </c>
      <c r="AV359">
        <f>HYPERLINK("http://www.worldcat.org/oclc/38157332","WorldCat Record")</f>
        <v/>
      </c>
      <c r="AW359" t="inlineStr">
        <is>
          <t>138822805:eng</t>
        </is>
      </c>
      <c r="AX359" t="inlineStr">
        <is>
          <t>38157332</t>
        </is>
      </c>
      <c r="AY359" t="inlineStr">
        <is>
          <t>991001677169702656</t>
        </is>
      </c>
      <c r="AZ359" t="inlineStr">
        <is>
          <t>991001677169702656</t>
        </is>
      </c>
      <c r="BA359" t="inlineStr">
        <is>
          <t>2265930600002656</t>
        </is>
      </c>
      <c r="BB359" t="inlineStr">
        <is>
          <t>BOOK</t>
        </is>
      </c>
      <c r="BD359" t="inlineStr">
        <is>
          <t>9780465054329</t>
        </is>
      </c>
      <c r="BE359" t="inlineStr">
        <is>
          <t>32285003460499</t>
        </is>
      </c>
      <c r="BF359" t="inlineStr">
        <is>
          <t>893879074</t>
        </is>
      </c>
    </row>
    <row r="360">
      <c r="B360" t="inlineStr">
        <is>
          <t>CURAL</t>
        </is>
      </c>
      <c r="C360" t="inlineStr">
        <is>
          <t>SHELVES</t>
        </is>
      </c>
      <c r="D360" t="inlineStr">
        <is>
          <t>KF8785 .D8 1980</t>
        </is>
      </c>
      <c r="E360" t="inlineStr">
        <is>
          <t>0                      KF 8785000D  8           1980</t>
        </is>
      </c>
      <c r="F360" t="inlineStr">
        <is>
          <t>From ballot to bench : judicial elections and the quest for accountability / by Philip L. Dubois.</t>
        </is>
      </c>
      <c r="H360" t="inlineStr">
        <is>
          <t>No</t>
        </is>
      </c>
      <c r="I360" t="inlineStr">
        <is>
          <t>1</t>
        </is>
      </c>
      <c r="J360" t="inlineStr">
        <is>
          <t>No</t>
        </is>
      </c>
      <c r="K360" t="inlineStr">
        <is>
          <t>No</t>
        </is>
      </c>
      <c r="L360" t="inlineStr">
        <is>
          <t>0</t>
        </is>
      </c>
      <c r="M360" t="inlineStr">
        <is>
          <t>Dubois, Philip L.</t>
        </is>
      </c>
      <c r="N360" t="inlineStr">
        <is>
          <t>Austin : University of Texas Press, c1980.</t>
        </is>
      </c>
      <c r="O360" t="inlineStr">
        <is>
          <t>1980</t>
        </is>
      </c>
      <c r="Q360" t="inlineStr">
        <is>
          <t>eng</t>
        </is>
      </c>
      <c r="R360" t="inlineStr">
        <is>
          <t>txu</t>
        </is>
      </c>
      <c r="T360" t="inlineStr">
        <is>
          <t xml:space="preserve">KF </t>
        </is>
      </c>
      <c r="U360" t="n">
        <v>3</v>
      </c>
      <c r="V360" t="n">
        <v>3</v>
      </c>
      <c r="W360" t="inlineStr">
        <is>
          <t>2008-04-12</t>
        </is>
      </c>
      <c r="X360" t="inlineStr">
        <is>
          <t>2008-04-12</t>
        </is>
      </c>
      <c r="Y360" t="inlineStr">
        <is>
          <t>1992-03-17</t>
        </is>
      </c>
      <c r="Z360" t="inlineStr">
        <is>
          <t>1992-03-17</t>
        </is>
      </c>
      <c r="AA360" t="n">
        <v>489</v>
      </c>
      <c r="AB360" t="n">
        <v>455</v>
      </c>
      <c r="AC360" t="n">
        <v>471</v>
      </c>
      <c r="AD360" t="n">
        <v>3</v>
      </c>
      <c r="AE360" t="n">
        <v>3</v>
      </c>
      <c r="AF360" t="n">
        <v>35</v>
      </c>
      <c r="AG360" t="n">
        <v>35</v>
      </c>
      <c r="AH360" t="n">
        <v>5</v>
      </c>
      <c r="AI360" t="n">
        <v>5</v>
      </c>
      <c r="AJ360" t="n">
        <v>4</v>
      </c>
      <c r="AK360" t="n">
        <v>4</v>
      </c>
      <c r="AL360" t="n">
        <v>8</v>
      </c>
      <c r="AM360" t="n">
        <v>8</v>
      </c>
      <c r="AN360" t="n">
        <v>2</v>
      </c>
      <c r="AO360" t="n">
        <v>2</v>
      </c>
      <c r="AP360" t="n">
        <v>21</v>
      </c>
      <c r="AQ360" t="n">
        <v>21</v>
      </c>
      <c r="AR360" t="inlineStr">
        <is>
          <t>No</t>
        </is>
      </c>
      <c r="AS360" t="inlineStr">
        <is>
          <t>Yes</t>
        </is>
      </c>
      <c r="AT360">
        <f>HYPERLINK("http://catalog.hathitrust.org/Record/000723207","HathiTrust Record")</f>
        <v/>
      </c>
      <c r="AU360">
        <f>HYPERLINK("https://creighton-primo.hosted.exlibrisgroup.com/primo-explore/search?tab=default_tab&amp;search_scope=EVERYTHING&amp;vid=01CRU&amp;lang=en_US&amp;offset=0&amp;query=any,contains,991004937229702656","Catalog Record")</f>
        <v/>
      </c>
      <c r="AV360">
        <f>HYPERLINK("http://www.worldcat.org/oclc/6143966","WorldCat Record")</f>
        <v/>
      </c>
      <c r="AW360" t="inlineStr">
        <is>
          <t>861534628:eng</t>
        </is>
      </c>
      <c r="AX360" t="inlineStr">
        <is>
          <t>6143966</t>
        </is>
      </c>
      <c r="AY360" t="inlineStr">
        <is>
          <t>991004937229702656</t>
        </is>
      </c>
      <c r="AZ360" t="inlineStr">
        <is>
          <t>991004937229702656</t>
        </is>
      </c>
      <c r="BA360" t="inlineStr">
        <is>
          <t>2260071580002656</t>
        </is>
      </c>
      <c r="BB360" t="inlineStr">
        <is>
          <t>BOOK</t>
        </is>
      </c>
      <c r="BD360" t="inlineStr">
        <is>
          <t>9780292720282</t>
        </is>
      </c>
      <c r="BE360" t="inlineStr">
        <is>
          <t>32285001022226</t>
        </is>
      </c>
      <c r="BF360" t="inlineStr">
        <is>
          <t>893688387</t>
        </is>
      </c>
    </row>
    <row r="361">
      <c r="B361" t="inlineStr">
        <is>
          <t>CURAL</t>
        </is>
      </c>
      <c r="C361" t="inlineStr">
        <is>
          <t>SHELVES</t>
        </is>
      </c>
      <c r="D361" t="inlineStr">
        <is>
          <t>KF886 .B75 1997</t>
        </is>
      </c>
      <c r="E361" t="inlineStr">
        <is>
          <t>0                      KF 0886000B  75          1997</t>
        </is>
      </c>
      <c r="F361" t="inlineStr">
        <is>
          <t>Internet legal forms for business / J. Dianne Brinson and Mark F. Radcliffe.</t>
        </is>
      </c>
      <c r="H361" t="inlineStr">
        <is>
          <t>No</t>
        </is>
      </c>
      <c r="I361" t="inlineStr">
        <is>
          <t>1</t>
        </is>
      </c>
      <c r="J361" t="inlineStr">
        <is>
          <t>No</t>
        </is>
      </c>
      <c r="K361" t="inlineStr">
        <is>
          <t>No</t>
        </is>
      </c>
      <c r="L361" t="inlineStr">
        <is>
          <t>0</t>
        </is>
      </c>
      <c r="M361" t="inlineStr">
        <is>
          <t>Brinson, J. Dianne.</t>
        </is>
      </c>
      <c r="N361" t="inlineStr">
        <is>
          <t>Menlo Park, Ca. : Ladera Press, c1997.</t>
        </is>
      </c>
      <c r="O361" t="inlineStr">
        <is>
          <t>1997</t>
        </is>
      </c>
      <c r="Q361" t="inlineStr">
        <is>
          <t>eng</t>
        </is>
      </c>
      <c r="R361" t="inlineStr">
        <is>
          <t>cau</t>
        </is>
      </c>
      <c r="T361" t="inlineStr">
        <is>
          <t xml:space="preserve">KF </t>
        </is>
      </c>
      <c r="U361" t="n">
        <v>3</v>
      </c>
      <c r="V361" t="n">
        <v>3</v>
      </c>
      <c r="W361" t="inlineStr">
        <is>
          <t>2006-01-03</t>
        </is>
      </c>
      <c r="X361" t="inlineStr">
        <is>
          <t>2006-01-03</t>
        </is>
      </c>
      <c r="Y361" t="inlineStr">
        <is>
          <t>1998-11-10</t>
        </is>
      </c>
      <c r="Z361" t="inlineStr">
        <is>
          <t>1998-11-10</t>
        </is>
      </c>
      <c r="AA361" t="n">
        <v>163</v>
      </c>
      <c r="AB361" t="n">
        <v>158</v>
      </c>
      <c r="AC361" t="n">
        <v>177</v>
      </c>
      <c r="AD361" t="n">
        <v>2</v>
      </c>
      <c r="AE361" t="n">
        <v>2</v>
      </c>
      <c r="AF361" t="n">
        <v>4</v>
      </c>
      <c r="AG361" t="n">
        <v>4</v>
      </c>
      <c r="AH361" t="n">
        <v>1</v>
      </c>
      <c r="AI361" t="n">
        <v>1</v>
      </c>
      <c r="AJ361" t="n">
        <v>0</v>
      </c>
      <c r="AK361" t="n">
        <v>0</v>
      </c>
      <c r="AL361" t="n">
        <v>0</v>
      </c>
      <c r="AM361" t="n">
        <v>0</v>
      </c>
      <c r="AN361" t="n">
        <v>1</v>
      </c>
      <c r="AO361" t="n">
        <v>1</v>
      </c>
      <c r="AP361" t="n">
        <v>2</v>
      </c>
      <c r="AQ361" t="n">
        <v>2</v>
      </c>
      <c r="AR361" t="inlineStr">
        <is>
          <t>No</t>
        </is>
      </c>
      <c r="AS361" t="inlineStr">
        <is>
          <t>No</t>
        </is>
      </c>
      <c r="AU361">
        <f>HYPERLINK("https://creighton-primo.hosted.exlibrisgroup.com/primo-explore/search?tab=default_tab&amp;search_scope=EVERYTHING&amp;vid=01CRU&amp;lang=en_US&amp;offset=0&amp;query=any,contains,991002861529702656","Catalog Record")</f>
        <v/>
      </c>
      <c r="AV361">
        <f>HYPERLINK("http://www.worldcat.org/oclc/37715536","WorldCat Record")</f>
        <v/>
      </c>
      <c r="AW361" t="inlineStr">
        <is>
          <t>661759:eng</t>
        </is>
      </c>
      <c r="AX361" t="inlineStr">
        <is>
          <t>37715536</t>
        </is>
      </c>
      <c r="AY361" t="inlineStr">
        <is>
          <t>991002861529702656</t>
        </is>
      </c>
      <c r="AZ361" t="inlineStr">
        <is>
          <t>991002861529702656</t>
        </is>
      </c>
      <c r="BA361" t="inlineStr">
        <is>
          <t>2263322830002656</t>
        </is>
      </c>
      <c r="BB361" t="inlineStr">
        <is>
          <t>BOOK</t>
        </is>
      </c>
      <c r="BD361" t="inlineStr">
        <is>
          <t>9780963917348</t>
        </is>
      </c>
      <c r="BE361" t="inlineStr">
        <is>
          <t>32285003487112</t>
        </is>
      </c>
      <c r="BF361" t="inlineStr">
        <is>
          <t>893440609</t>
        </is>
      </c>
    </row>
    <row r="362">
      <c r="B362" t="inlineStr">
        <is>
          <t>CURAL</t>
        </is>
      </c>
      <c r="C362" t="inlineStr">
        <is>
          <t>SHELVES</t>
        </is>
      </c>
      <c r="D362" t="inlineStr">
        <is>
          <t>KF888 .B817 1984</t>
        </is>
      </c>
      <c r="E362" t="inlineStr">
        <is>
          <t>0                      KF 0888000B  817         1984</t>
        </is>
      </c>
      <c r="F362" t="inlineStr">
        <is>
          <t>Business law : principles and cases / Daniel V. Davidson ... [et al.].</t>
        </is>
      </c>
      <c r="H362" t="inlineStr">
        <is>
          <t>No</t>
        </is>
      </c>
      <c r="I362" t="inlineStr">
        <is>
          <t>1</t>
        </is>
      </c>
      <c r="J362" t="inlineStr">
        <is>
          <t>No</t>
        </is>
      </c>
      <c r="K362" t="inlineStr">
        <is>
          <t>No</t>
        </is>
      </c>
      <c r="L362" t="inlineStr">
        <is>
          <t>0</t>
        </is>
      </c>
      <c r="N362" t="inlineStr">
        <is>
          <t>Boston, Mass. : Kent Pub. Co., c1984.</t>
        </is>
      </c>
      <c r="O362" t="inlineStr">
        <is>
          <t>1984</t>
        </is>
      </c>
      <c r="Q362" t="inlineStr">
        <is>
          <t>eng</t>
        </is>
      </c>
      <c r="R362" t="inlineStr">
        <is>
          <t>mau</t>
        </is>
      </c>
      <c r="T362" t="inlineStr">
        <is>
          <t xml:space="preserve">KF </t>
        </is>
      </c>
      <c r="U362" t="n">
        <v>6</v>
      </c>
      <c r="V362" t="n">
        <v>6</v>
      </c>
      <c r="W362" t="inlineStr">
        <is>
          <t>2002-04-28</t>
        </is>
      </c>
      <c r="X362" t="inlineStr">
        <is>
          <t>2002-04-28</t>
        </is>
      </c>
      <c r="Y362" t="inlineStr">
        <is>
          <t>1990-04-09</t>
        </is>
      </c>
      <c r="Z362" t="inlineStr">
        <is>
          <t>1990-04-09</t>
        </is>
      </c>
      <c r="AA362" t="n">
        <v>62</v>
      </c>
      <c r="AB362" t="n">
        <v>47</v>
      </c>
      <c r="AC362" t="n">
        <v>280</v>
      </c>
      <c r="AD362" t="n">
        <v>1</v>
      </c>
      <c r="AE362" t="n">
        <v>1</v>
      </c>
      <c r="AF362" t="n">
        <v>1</v>
      </c>
      <c r="AG362" t="n">
        <v>4</v>
      </c>
      <c r="AH362" t="n">
        <v>1</v>
      </c>
      <c r="AI362" t="n">
        <v>3</v>
      </c>
      <c r="AJ362" t="n">
        <v>0</v>
      </c>
      <c r="AK362" t="n">
        <v>0</v>
      </c>
      <c r="AL362" t="n">
        <v>0</v>
      </c>
      <c r="AM362" t="n">
        <v>1</v>
      </c>
      <c r="AN362" t="n">
        <v>0</v>
      </c>
      <c r="AO362" t="n">
        <v>0</v>
      </c>
      <c r="AP362" t="n">
        <v>0</v>
      </c>
      <c r="AQ362" t="n">
        <v>1</v>
      </c>
      <c r="AR362" t="inlineStr">
        <is>
          <t>No</t>
        </is>
      </c>
      <c r="AS362" t="inlineStr">
        <is>
          <t>No</t>
        </is>
      </c>
      <c r="AU362">
        <f>HYPERLINK("https://creighton-primo.hosted.exlibrisgroup.com/primo-explore/search?tab=default_tab&amp;search_scope=EVERYTHING&amp;vid=01CRU&amp;lang=en_US&amp;offset=0&amp;query=any,contains,991000316249702656","Catalog Record")</f>
        <v/>
      </c>
      <c r="AV362">
        <f>HYPERLINK("http://www.worldcat.org/oclc/10122056","WorldCat Record")</f>
        <v/>
      </c>
      <c r="AW362" t="inlineStr">
        <is>
          <t>1465569974:eng</t>
        </is>
      </c>
      <c r="AX362" t="inlineStr">
        <is>
          <t>10122056</t>
        </is>
      </c>
      <c r="AY362" t="inlineStr">
        <is>
          <t>991000316249702656</t>
        </is>
      </c>
      <c r="AZ362" t="inlineStr">
        <is>
          <t>991000316249702656</t>
        </is>
      </c>
      <c r="BA362" t="inlineStr">
        <is>
          <t>2267340570002656</t>
        </is>
      </c>
      <c r="BB362" t="inlineStr">
        <is>
          <t>BOOK</t>
        </is>
      </c>
      <c r="BD362" t="inlineStr">
        <is>
          <t>9780534033156</t>
        </is>
      </c>
      <c r="BE362" t="inlineStr">
        <is>
          <t>32285000112861</t>
        </is>
      </c>
      <c r="BF362" t="inlineStr">
        <is>
          <t>893255332</t>
        </is>
      </c>
    </row>
    <row r="363">
      <c r="B363" t="inlineStr">
        <is>
          <t>CURAL</t>
        </is>
      </c>
      <c r="C363" t="inlineStr">
        <is>
          <t>SHELVES</t>
        </is>
      </c>
      <c r="D363" t="inlineStr">
        <is>
          <t>KF889 .E77 1983</t>
        </is>
      </c>
      <c r="E363" t="inlineStr">
        <is>
          <t>0                      KF 0889000E  77          1983</t>
        </is>
      </c>
      <c r="F363" t="inlineStr">
        <is>
          <t>Essentials of business law / Len Young Smith ... [et al.].</t>
        </is>
      </c>
      <c r="H363" t="inlineStr">
        <is>
          <t>No</t>
        </is>
      </c>
      <c r="I363" t="inlineStr">
        <is>
          <t>1</t>
        </is>
      </c>
      <c r="J363" t="inlineStr">
        <is>
          <t>No</t>
        </is>
      </c>
      <c r="K363" t="inlineStr">
        <is>
          <t>No</t>
        </is>
      </c>
      <c r="L363" t="inlineStr">
        <is>
          <t>0</t>
        </is>
      </c>
      <c r="N363" t="inlineStr">
        <is>
          <t>St. Paul : West Pub. Co., c1983.</t>
        </is>
      </c>
      <c r="O363" t="inlineStr">
        <is>
          <t>1983</t>
        </is>
      </c>
      <c r="Q363" t="inlineStr">
        <is>
          <t>eng</t>
        </is>
      </c>
      <c r="R363" t="inlineStr">
        <is>
          <t>mnu</t>
        </is>
      </c>
      <c r="T363" t="inlineStr">
        <is>
          <t xml:space="preserve">KF </t>
        </is>
      </c>
      <c r="U363" t="n">
        <v>1</v>
      </c>
      <c r="V363" t="n">
        <v>1</v>
      </c>
      <c r="W363" t="inlineStr">
        <is>
          <t>1995-03-13</t>
        </is>
      </c>
      <c r="X363" t="inlineStr">
        <is>
          <t>1995-03-13</t>
        </is>
      </c>
      <c r="Y363" t="inlineStr">
        <is>
          <t>1992-06-12</t>
        </is>
      </c>
      <c r="Z363" t="inlineStr">
        <is>
          <t>1992-06-12</t>
        </is>
      </c>
      <c r="AA363" t="n">
        <v>70</v>
      </c>
      <c r="AB363" t="n">
        <v>64</v>
      </c>
      <c r="AC363" t="n">
        <v>166</v>
      </c>
      <c r="AD363" t="n">
        <v>1</v>
      </c>
      <c r="AE363" t="n">
        <v>2</v>
      </c>
      <c r="AF363" t="n">
        <v>3</v>
      </c>
      <c r="AG363" t="n">
        <v>10</v>
      </c>
      <c r="AH363" t="n">
        <v>1</v>
      </c>
      <c r="AI363" t="n">
        <v>2</v>
      </c>
      <c r="AJ363" t="n">
        <v>0</v>
      </c>
      <c r="AK363" t="n">
        <v>0</v>
      </c>
      <c r="AL363" t="n">
        <v>0</v>
      </c>
      <c r="AM363" t="n">
        <v>2</v>
      </c>
      <c r="AN363" t="n">
        <v>0</v>
      </c>
      <c r="AO363" t="n">
        <v>1</v>
      </c>
      <c r="AP363" t="n">
        <v>2</v>
      </c>
      <c r="AQ363" t="n">
        <v>6</v>
      </c>
      <c r="AR363" t="inlineStr">
        <is>
          <t>No</t>
        </is>
      </c>
      <c r="AS363" t="inlineStr">
        <is>
          <t>Yes</t>
        </is>
      </c>
      <c r="AT363">
        <f>HYPERLINK("http://catalog.hathitrust.org/Record/010563634","HathiTrust Record")</f>
        <v/>
      </c>
      <c r="AU363">
        <f>HYPERLINK("https://creighton-primo.hosted.exlibrisgroup.com/primo-explore/search?tab=default_tab&amp;search_scope=EVERYTHING&amp;vid=01CRU&amp;lang=en_US&amp;offset=0&amp;query=any,contains,991000076089702656","Catalog Record")</f>
        <v/>
      </c>
      <c r="AV363">
        <f>HYPERLINK("http://www.worldcat.org/oclc/8806068","WorldCat Record")</f>
        <v/>
      </c>
      <c r="AW363" t="inlineStr">
        <is>
          <t>5430534:eng</t>
        </is>
      </c>
      <c r="AX363" t="inlineStr">
        <is>
          <t>8806068</t>
        </is>
      </c>
      <c r="AY363" t="inlineStr">
        <is>
          <t>991000076089702656</t>
        </is>
      </c>
      <c r="AZ363" t="inlineStr">
        <is>
          <t>991000076089702656</t>
        </is>
      </c>
      <c r="BA363" t="inlineStr">
        <is>
          <t>2267266350002656</t>
        </is>
      </c>
      <c r="BB363" t="inlineStr">
        <is>
          <t>BOOK</t>
        </is>
      </c>
      <c r="BD363" t="inlineStr">
        <is>
          <t>9780314696809</t>
        </is>
      </c>
      <c r="BE363" t="inlineStr">
        <is>
          <t>32285001173912</t>
        </is>
      </c>
      <c r="BF363" t="inlineStr">
        <is>
          <t>893314652</t>
        </is>
      </c>
    </row>
    <row r="364">
      <c r="B364" t="inlineStr">
        <is>
          <t>CURAL</t>
        </is>
      </c>
      <c r="C364" t="inlineStr">
        <is>
          <t>SHELVES</t>
        </is>
      </c>
      <c r="D364" t="inlineStr">
        <is>
          <t>KF889.L3 G7</t>
        </is>
      </c>
      <c r="E364" t="inlineStr">
        <is>
          <t>0                      KF 0889000L  3                  G  7</t>
        </is>
      </c>
      <c r="F364" t="inlineStr">
        <is>
          <t>Law for laymen, by Harold Dudley Greeley.</t>
        </is>
      </c>
      <c r="H364" t="inlineStr">
        <is>
          <t>No</t>
        </is>
      </c>
      <c r="I364" t="inlineStr">
        <is>
          <t>1</t>
        </is>
      </c>
      <c r="J364" t="inlineStr">
        <is>
          <t>No</t>
        </is>
      </c>
      <c r="K364" t="inlineStr">
        <is>
          <t>No</t>
        </is>
      </c>
      <c r="L364" t="inlineStr">
        <is>
          <t>0</t>
        </is>
      </c>
      <c r="M364" t="inlineStr">
        <is>
          <t>Greeley, Harold Dudley, 1882-</t>
        </is>
      </c>
      <c r="N364" t="inlineStr">
        <is>
          <t>New York, American institute publishing co., inc., 1932.</t>
        </is>
      </c>
      <c r="O364" t="inlineStr">
        <is>
          <t>1932</t>
        </is>
      </c>
      <c r="Q364" t="inlineStr">
        <is>
          <t>eng</t>
        </is>
      </c>
      <c r="R364" t="inlineStr">
        <is>
          <t xml:space="preserve">xx </t>
        </is>
      </c>
      <c r="T364" t="inlineStr">
        <is>
          <t xml:space="preserve">KF </t>
        </is>
      </c>
      <c r="U364" t="n">
        <v>2</v>
      </c>
      <c r="V364" t="n">
        <v>2</v>
      </c>
      <c r="W364" t="inlineStr">
        <is>
          <t>2006-01-03</t>
        </is>
      </c>
      <c r="X364" t="inlineStr">
        <is>
          <t>2006-01-03</t>
        </is>
      </c>
      <c r="Y364" t="inlineStr">
        <is>
          <t>1997-04-14</t>
        </is>
      </c>
      <c r="Z364" t="inlineStr">
        <is>
          <t>1997-04-14</t>
        </is>
      </c>
      <c r="AA364" t="n">
        <v>55</v>
      </c>
      <c r="AB364" t="n">
        <v>54</v>
      </c>
      <c r="AC364" t="n">
        <v>55</v>
      </c>
      <c r="AD364" t="n">
        <v>1</v>
      </c>
      <c r="AE364" t="n">
        <v>1</v>
      </c>
      <c r="AF364" t="n">
        <v>3</v>
      </c>
      <c r="AG364" t="n">
        <v>3</v>
      </c>
      <c r="AH364" t="n">
        <v>2</v>
      </c>
      <c r="AI364" t="n">
        <v>2</v>
      </c>
      <c r="AJ364" t="n">
        <v>0</v>
      </c>
      <c r="AK364" t="n">
        <v>0</v>
      </c>
      <c r="AL364" t="n">
        <v>3</v>
      </c>
      <c r="AM364" t="n">
        <v>3</v>
      </c>
      <c r="AN364" t="n">
        <v>0</v>
      </c>
      <c r="AO364" t="n">
        <v>0</v>
      </c>
      <c r="AP364" t="n">
        <v>0</v>
      </c>
      <c r="AQ364" t="n">
        <v>0</v>
      </c>
      <c r="AR364" t="inlineStr">
        <is>
          <t>No</t>
        </is>
      </c>
      <c r="AS364" t="inlineStr">
        <is>
          <t>Yes</t>
        </is>
      </c>
      <c r="AT364">
        <f>HYPERLINK("http://catalog.hathitrust.org/Record/010655119","HathiTrust Record")</f>
        <v/>
      </c>
      <c r="AU364">
        <f>HYPERLINK("https://creighton-primo.hosted.exlibrisgroup.com/primo-explore/search?tab=default_tab&amp;search_scope=EVERYTHING&amp;vid=01CRU&amp;lang=en_US&amp;offset=0&amp;query=any,contains,991002991179702656","Catalog Record")</f>
        <v/>
      </c>
      <c r="AV364">
        <f>HYPERLINK("http://www.worldcat.org/oclc/560714","WorldCat Record")</f>
        <v/>
      </c>
      <c r="AW364" t="inlineStr">
        <is>
          <t>4080065070:eng</t>
        </is>
      </c>
      <c r="AX364" t="inlineStr">
        <is>
          <t>560714</t>
        </is>
      </c>
      <c r="AY364" t="inlineStr">
        <is>
          <t>991002991179702656</t>
        </is>
      </c>
      <c r="AZ364" t="inlineStr">
        <is>
          <t>991002991179702656</t>
        </is>
      </c>
      <c r="BA364" t="inlineStr">
        <is>
          <t>2256922440002656</t>
        </is>
      </c>
      <c r="BB364" t="inlineStr">
        <is>
          <t>BOOK</t>
        </is>
      </c>
      <c r="BE364" t="inlineStr">
        <is>
          <t>32285002550118</t>
        </is>
      </c>
      <c r="BF364" t="inlineStr">
        <is>
          <t>893623004</t>
        </is>
      </c>
    </row>
    <row r="365">
      <c r="B365" t="inlineStr">
        <is>
          <t>CURAL</t>
        </is>
      </c>
      <c r="C365" t="inlineStr">
        <is>
          <t>SHELVES</t>
        </is>
      </c>
      <c r="D365" t="inlineStr">
        <is>
          <t>KF8922 .M37 1980</t>
        </is>
      </c>
      <c r="E365" t="inlineStr">
        <is>
          <t>0                      KF 8922000M  37          1980</t>
        </is>
      </c>
      <c r="F365" t="inlineStr">
        <is>
          <t>Law and psychology in conflict / by James Marshall.</t>
        </is>
      </c>
      <c r="H365" t="inlineStr">
        <is>
          <t>No</t>
        </is>
      </c>
      <c r="I365" t="inlineStr">
        <is>
          <t>1</t>
        </is>
      </c>
      <c r="J365" t="inlineStr">
        <is>
          <t>No</t>
        </is>
      </c>
      <c r="K365" t="inlineStr">
        <is>
          <t>No</t>
        </is>
      </c>
      <c r="L365" t="inlineStr">
        <is>
          <t>0</t>
        </is>
      </c>
      <c r="M365" t="inlineStr">
        <is>
          <t>Marshall, James, 1896-1986.</t>
        </is>
      </c>
      <c r="N365" t="inlineStr">
        <is>
          <t>Indianapolis : Bobbs-Merrill Co., c1980.</t>
        </is>
      </c>
      <c r="O365" t="inlineStr">
        <is>
          <t>1980</t>
        </is>
      </c>
      <c r="P365" t="inlineStr">
        <is>
          <t>2nd ed.</t>
        </is>
      </c>
      <c r="Q365" t="inlineStr">
        <is>
          <t>eng</t>
        </is>
      </c>
      <c r="R365" t="inlineStr">
        <is>
          <t>inu</t>
        </is>
      </c>
      <c r="T365" t="inlineStr">
        <is>
          <t xml:space="preserve">KF </t>
        </is>
      </c>
      <c r="U365" t="n">
        <v>7</v>
      </c>
      <c r="V365" t="n">
        <v>7</v>
      </c>
      <c r="W365" t="inlineStr">
        <is>
          <t>2008-12-05</t>
        </is>
      </c>
      <c r="X365" t="inlineStr">
        <is>
          <t>2008-12-05</t>
        </is>
      </c>
      <c r="Y365" t="inlineStr">
        <is>
          <t>1992-12-15</t>
        </is>
      </c>
      <c r="Z365" t="inlineStr">
        <is>
          <t>1992-12-15</t>
        </is>
      </c>
      <c r="AA365" t="n">
        <v>294</v>
      </c>
      <c r="AB365" t="n">
        <v>263</v>
      </c>
      <c r="AC365" t="n">
        <v>698</v>
      </c>
      <c r="AD365" t="n">
        <v>1</v>
      </c>
      <c r="AE365" t="n">
        <v>4</v>
      </c>
      <c r="AF365" t="n">
        <v>24</v>
      </c>
      <c r="AG365" t="n">
        <v>41</v>
      </c>
      <c r="AH365" t="n">
        <v>2</v>
      </c>
      <c r="AI365" t="n">
        <v>6</v>
      </c>
      <c r="AJ365" t="n">
        <v>1</v>
      </c>
      <c r="AK365" t="n">
        <v>6</v>
      </c>
      <c r="AL365" t="n">
        <v>3</v>
      </c>
      <c r="AM365" t="n">
        <v>10</v>
      </c>
      <c r="AN365" t="n">
        <v>0</v>
      </c>
      <c r="AO365" t="n">
        <v>2</v>
      </c>
      <c r="AP365" t="n">
        <v>20</v>
      </c>
      <c r="AQ365" t="n">
        <v>24</v>
      </c>
      <c r="AR365" t="inlineStr">
        <is>
          <t>No</t>
        </is>
      </c>
      <c r="AS365" t="inlineStr">
        <is>
          <t>No</t>
        </is>
      </c>
      <c r="AU365">
        <f>HYPERLINK("https://creighton-primo.hosted.exlibrisgroup.com/primo-explore/search?tab=default_tab&amp;search_scope=EVERYTHING&amp;vid=01CRU&amp;lang=en_US&amp;offset=0&amp;query=any,contains,991004897579702656","Catalog Record")</f>
        <v/>
      </c>
      <c r="AV365">
        <f>HYPERLINK("http://www.worldcat.org/oclc/5897833","WorldCat Record")</f>
        <v/>
      </c>
      <c r="AW365" t="inlineStr">
        <is>
          <t>57471866:eng</t>
        </is>
      </c>
      <c r="AX365" t="inlineStr">
        <is>
          <t>5897833</t>
        </is>
      </c>
      <c r="AY365" t="inlineStr">
        <is>
          <t>991004897579702656</t>
        </is>
      </c>
      <c r="AZ365" t="inlineStr">
        <is>
          <t>991004897579702656</t>
        </is>
      </c>
      <c r="BA365" t="inlineStr">
        <is>
          <t>2266874760002656</t>
        </is>
      </c>
      <c r="BB365" t="inlineStr">
        <is>
          <t>BOOK</t>
        </is>
      </c>
      <c r="BD365" t="inlineStr">
        <is>
          <t>9780672837005</t>
        </is>
      </c>
      <c r="BE365" t="inlineStr">
        <is>
          <t>32285001442226</t>
        </is>
      </c>
      <c r="BF365" t="inlineStr">
        <is>
          <t>893789205</t>
        </is>
      </c>
    </row>
    <row r="366">
      <c r="B366" t="inlineStr">
        <is>
          <t>CURAL</t>
        </is>
      </c>
      <c r="C366" t="inlineStr">
        <is>
          <t>SHELVES</t>
        </is>
      </c>
      <c r="D366" t="inlineStr">
        <is>
          <t>KF8922 .P784 1985</t>
        </is>
      </c>
      <c r="E366" t="inlineStr">
        <is>
          <t>0                      KF 8922000P  784         1985</t>
        </is>
      </c>
      <c r="F366" t="inlineStr">
        <is>
          <t>Psychology, psychiatry, and the law : a clinical and forensic handbook / edited by Charles Patrick Ewing</t>
        </is>
      </c>
      <c r="H366" t="inlineStr">
        <is>
          <t>No</t>
        </is>
      </c>
      <c r="I366" t="inlineStr">
        <is>
          <t>1</t>
        </is>
      </c>
      <c r="J366" t="inlineStr">
        <is>
          <t>No</t>
        </is>
      </c>
      <c r="K366" t="inlineStr">
        <is>
          <t>No</t>
        </is>
      </c>
      <c r="L366" t="inlineStr">
        <is>
          <t>0</t>
        </is>
      </c>
      <c r="N366" t="inlineStr">
        <is>
          <t>Sarasota, Fla. : Professional Resource Exchange, c1985.</t>
        </is>
      </c>
      <c r="O366" t="inlineStr">
        <is>
          <t>1985</t>
        </is>
      </c>
      <c r="Q366" t="inlineStr">
        <is>
          <t>eng</t>
        </is>
      </c>
      <c r="R366" t="inlineStr">
        <is>
          <t>flu</t>
        </is>
      </c>
      <c r="T366" t="inlineStr">
        <is>
          <t xml:space="preserve">KF </t>
        </is>
      </c>
      <c r="U366" t="n">
        <v>13</v>
      </c>
      <c r="V366" t="n">
        <v>13</v>
      </c>
      <c r="W366" t="inlineStr">
        <is>
          <t>2008-12-05</t>
        </is>
      </c>
      <c r="X366" t="inlineStr">
        <is>
          <t>2008-12-05</t>
        </is>
      </c>
      <c r="Y366" t="inlineStr">
        <is>
          <t>1990-05-10</t>
        </is>
      </c>
      <c r="Z366" t="inlineStr">
        <is>
          <t>1990-05-10</t>
        </is>
      </c>
      <c r="AA366" t="n">
        <v>210</v>
      </c>
      <c r="AB366" t="n">
        <v>201</v>
      </c>
      <c r="AC366" t="n">
        <v>208</v>
      </c>
      <c r="AD366" t="n">
        <v>2</v>
      </c>
      <c r="AE366" t="n">
        <v>2</v>
      </c>
      <c r="AF366" t="n">
        <v>16</v>
      </c>
      <c r="AG366" t="n">
        <v>16</v>
      </c>
      <c r="AH366" t="n">
        <v>1</v>
      </c>
      <c r="AI366" t="n">
        <v>1</v>
      </c>
      <c r="AJ366" t="n">
        <v>3</v>
      </c>
      <c r="AK366" t="n">
        <v>3</v>
      </c>
      <c r="AL366" t="n">
        <v>4</v>
      </c>
      <c r="AM366" t="n">
        <v>4</v>
      </c>
      <c r="AN366" t="n">
        <v>1</v>
      </c>
      <c r="AO366" t="n">
        <v>1</v>
      </c>
      <c r="AP366" t="n">
        <v>9</v>
      </c>
      <c r="AQ366" t="n">
        <v>9</v>
      </c>
      <c r="AR366" t="inlineStr">
        <is>
          <t>No</t>
        </is>
      </c>
      <c r="AS366" t="inlineStr">
        <is>
          <t>No</t>
        </is>
      </c>
      <c r="AU366">
        <f>HYPERLINK("https://creighton-primo.hosted.exlibrisgroup.com/primo-explore/search?tab=default_tab&amp;search_scope=EVERYTHING&amp;vid=01CRU&amp;lang=en_US&amp;offset=0&amp;query=any,contains,991000648759702656","Catalog Record")</f>
        <v/>
      </c>
      <c r="AV366">
        <f>HYPERLINK("http://www.worldcat.org/oclc/12152900","WorldCat Record")</f>
        <v/>
      </c>
      <c r="AW366" t="inlineStr">
        <is>
          <t>892073129:eng</t>
        </is>
      </c>
      <c r="AX366" t="inlineStr">
        <is>
          <t>12152900</t>
        </is>
      </c>
      <c r="AY366" t="inlineStr">
        <is>
          <t>991000648759702656</t>
        </is>
      </c>
      <c r="AZ366" t="inlineStr">
        <is>
          <t>991000648759702656</t>
        </is>
      </c>
      <c r="BA366" t="inlineStr">
        <is>
          <t>2266937000002656</t>
        </is>
      </c>
      <c r="BB366" t="inlineStr">
        <is>
          <t>BOOK</t>
        </is>
      </c>
      <c r="BD366" t="inlineStr">
        <is>
          <t>9780943158112</t>
        </is>
      </c>
      <c r="BE366" t="inlineStr">
        <is>
          <t>32285000136365</t>
        </is>
      </c>
      <c r="BF366" t="inlineStr">
        <is>
          <t>893865549</t>
        </is>
      </c>
    </row>
    <row r="367">
      <c r="B367" t="inlineStr">
        <is>
          <t>CURAL</t>
        </is>
      </c>
      <c r="C367" t="inlineStr">
        <is>
          <t>SHELVES</t>
        </is>
      </c>
      <c r="D367" t="inlineStr">
        <is>
          <t>KF8935.Z9 M65 1975</t>
        </is>
      </c>
      <c r="E367" t="inlineStr">
        <is>
          <t>0                      KF 8935000Z  9                  M  65          1975</t>
        </is>
      </c>
      <c r="F367" t="inlineStr">
        <is>
          <t>Some problems of proof under the Anglo-American system of litigation / Edmund Morris Morgan.</t>
        </is>
      </c>
      <c r="H367" t="inlineStr">
        <is>
          <t>No</t>
        </is>
      </c>
      <c r="I367" t="inlineStr">
        <is>
          <t>1</t>
        </is>
      </c>
      <c r="J367" t="inlineStr">
        <is>
          <t>No</t>
        </is>
      </c>
      <c r="K367" t="inlineStr">
        <is>
          <t>No</t>
        </is>
      </c>
      <c r="L367" t="inlineStr">
        <is>
          <t>0</t>
        </is>
      </c>
      <c r="M367" t="inlineStr">
        <is>
          <t>Morgan, Edmund M., Jr. (Edmund Morris), 1878-1966.</t>
        </is>
      </c>
      <c r="N367" t="inlineStr">
        <is>
          <t>Westport, Conn. : Greenwood Press, 1975, c1956.</t>
        </is>
      </c>
      <c r="O367" t="inlineStr">
        <is>
          <t>1975</t>
        </is>
      </c>
      <c r="Q367" t="inlineStr">
        <is>
          <t>eng</t>
        </is>
      </c>
      <c r="R367" t="inlineStr">
        <is>
          <t>ctu</t>
        </is>
      </c>
      <c r="T367" t="inlineStr">
        <is>
          <t xml:space="preserve">KF </t>
        </is>
      </c>
      <c r="U367" t="n">
        <v>1</v>
      </c>
      <c r="V367" t="n">
        <v>1</v>
      </c>
      <c r="W367" t="inlineStr">
        <is>
          <t>2008-12-05</t>
        </is>
      </c>
      <c r="X367" t="inlineStr">
        <is>
          <t>2008-12-05</t>
        </is>
      </c>
      <c r="Y367" t="inlineStr">
        <is>
          <t>1997-04-21</t>
        </is>
      </c>
      <c r="Z367" t="inlineStr">
        <is>
          <t>1997-04-21</t>
        </is>
      </c>
      <c r="AA367" t="n">
        <v>111</v>
      </c>
      <c r="AB367" t="n">
        <v>97</v>
      </c>
      <c r="AC367" t="n">
        <v>255</v>
      </c>
      <c r="AD367" t="n">
        <v>2</v>
      </c>
      <c r="AE367" t="n">
        <v>2</v>
      </c>
      <c r="AF367" t="n">
        <v>8</v>
      </c>
      <c r="AG367" t="n">
        <v>25</v>
      </c>
      <c r="AH367" t="n">
        <v>1</v>
      </c>
      <c r="AI367" t="n">
        <v>1</v>
      </c>
      <c r="AJ367" t="n">
        <v>1</v>
      </c>
      <c r="AK367" t="n">
        <v>3</v>
      </c>
      <c r="AL367" t="n">
        <v>0</v>
      </c>
      <c r="AM367" t="n">
        <v>2</v>
      </c>
      <c r="AN367" t="n">
        <v>0</v>
      </c>
      <c r="AO367" t="n">
        <v>0</v>
      </c>
      <c r="AP367" t="n">
        <v>6</v>
      </c>
      <c r="AQ367" t="n">
        <v>20</v>
      </c>
      <c r="AR367" t="inlineStr">
        <is>
          <t>No</t>
        </is>
      </c>
      <c r="AS367" t="inlineStr">
        <is>
          <t>No</t>
        </is>
      </c>
      <c r="AU367">
        <f>HYPERLINK("https://creighton-primo.hosted.exlibrisgroup.com/primo-explore/search?tab=default_tab&amp;search_scope=EVERYTHING&amp;vid=01CRU&amp;lang=en_US&amp;offset=0&amp;query=any,contains,991003951249702656","Catalog Record")</f>
        <v/>
      </c>
      <c r="AV367">
        <f>HYPERLINK("http://www.worldcat.org/oclc/1958190","WorldCat Record")</f>
        <v/>
      </c>
      <c r="AW367" t="inlineStr">
        <is>
          <t>2405301:eng</t>
        </is>
      </c>
      <c r="AX367" t="inlineStr">
        <is>
          <t>1958190</t>
        </is>
      </c>
      <c r="AY367" t="inlineStr">
        <is>
          <t>991003951249702656</t>
        </is>
      </c>
      <c r="AZ367" t="inlineStr">
        <is>
          <t>991003951249702656</t>
        </is>
      </c>
      <c r="BA367" t="inlineStr">
        <is>
          <t>2262965620002656</t>
        </is>
      </c>
      <c r="BB367" t="inlineStr">
        <is>
          <t>BOOK</t>
        </is>
      </c>
      <c r="BD367" t="inlineStr">
        <is>
          <t>9780837185170</t>
        </is>
      </c>
      <c r="BE367" t="inlineStr">
        <is>
          <t>32285002553807</t>
        </is>
      </c>
      <c r="BF367" t="inlineStr">
        <is>
          <t>893331027</t>
        </is>
      </c>
    </row>
    <row r="368">
      <c r="B368" t="inlineStr">
        <is>
          <t>CURAL</t>
        </is>
      </c>
      <c r="C368" t="inlineStr">
        <is>
          <t>SHELVES</t>
        </is>
      </c>
      <c r="D368" t="inlineStr">
        <is>
          <t>KF8959 .P7</t>
        </is>
      </c>
      <c r="E368" t="inlineStr">
        <is>
          <t>0                      KF 8959000P  7</t>
        </is>
      </c>
      <c r="F368" t="inlineStr">
        <is>
          <t>Shield laws : a report on freedom of the press, protection of news sources, and the obligation to testify / [prepared by Virginia G. Cook under the direction of George A. Bell]</t>
        </is>
      </c>
      <c r="H368" t="inlineStr">
        <is>
          <t>No</t>
        </is>
      </c>
      <c r="I368" t="inlineStr">
        <is>
          <t>1</t>
        </is>
      </c>
      <c r="J368" t="inlineStr">
        <is>
          <t>No</t>
        </is>
      </c>
      <c r="K368" t="inlineStr">
        <is>
          <t>No</t>
        </is>
      </c>
      <c r="L368" t="inlineStr">
        <is>
          <t>0</t>
        </is>
      </c>
      <c r="M368" t="inlineStr">
        <is>
          <t>Council of State Governments.</t>
        </is>
      </c>
      <c r="N368" t="inlineStr">
        <is>
          <t>Lexington, Ky. : Council of State Governments, [1973]</t>
        </is>
      </c>
      <c r="O368" t="inlineStr">
        <is>
          <t>1973</t>
        </is>
      </c>
      <c r="Q368" t="inlineStr">
        <is>
          <t>eng</t>
        </is>
      </c>
      <c r="R368" t="inlineStr">
        <is>
          <t>kyu</t>
        </is>
      </c>
      <c r="S368" t="inlineStr">
        <is>
          <t>RM ; 518</t>
        </is>
      </c>
      <c r="T368" t="inlineStr">
        <is>
          <t xml:space="preserve">KF </t>
        </is>
      </c>
      <c r="U368" t="n">
        <v>5</v>
      </c>
      <c r="V368" t="n">
        <v>5</v>
      </c>
      <c r="W368" t="inlineStr">
        <is>
          <t>2009-12-10</t>
        </is>
      </c>
      <c r="X368" t="inlineStr">
        <is>
          <t>2009-12-10</t>
        </is>
      </c>
      <c r="Y368" t="inlineStr">
        <is>
          <t>1995-01-20</t>
        </is>
      </c>
      <c r="Z368" t="inlineStr">
        <is>
          <t>1995-01-20</t>
        </is>
      </c>
      <c r="AA368" t="n">
        <v>170</v>
      </c>
      <c r="AB368" t="n">
        <v>157</v>
      </c>
      <c r="AC368" t="n">
        <v>170</v>
      </c>
      <c r="AD368" t="n">
        <v>2</v>
      </c>
      <c r="AE368" t="n">
        <v>2</v>
      </c>
      <c r="AF368" t="n">
        <v>9</v>
      </c>
      <c r="AG368" t="n">
        <v>9</v>
      </c>
      <c r="AH368" t="n">
        <v>1</v>
      </c>
      <c r="AI368" t="n">
        <v>1</v>
      </c>
      <c r="AJ368" t="n">
        <v>0</v>
      </c>
      <c r="AK368" t="n">
        <v>0</v>
      </c>
      <c r="AL368" t="n">
        <v>0</v>
      </c>
      <c r="AM368" t="n">
        <v>0</v>
      </c>
      <c r="AN368" t="n">
        <v>1</v>
      </c>
      <c r="AO368" t="n">
        <v>1</v>
      </c>
      <c r="AP368" t="n">
        <v>7</v>
      </c>
      <c r="AQ368" t="n">
        <v>7</v>
      </c>
      <c r="AR368" t="inlineStr">
        <is>
          <t>No</t>
        </is>
      </c>
      <c r="AS368" t="inlineStr">
        <is>
          <t>Yes</t>
        </is>
      </c>
      <c r="AT368">
        <f>HYPERLINK("http://catalog.hathitrust.org/Record/000386828","HathiTrust Record")</f>
        <v/>
      </c>
      <c r="AU368">
        <f>HYPERLINK("https://creighton-primo.hosted.exlibrisgroup.com/primo-explore/search?tab=default_tab&amp;search_scope=EVERYTHING&amp;vid=01CRU&amp;lang=en_US&amp;offset=0&amp;query=any,contains,991003331809702656","Catalog Record")</f>
        <v/>
      </c>
      <c r="AV368">
        <f>HYPERLINK("http://www.worldcat.org/oclc/863254","WorldCat Record")</f>
        <v/>
      </c>
      <c r="AW368" t="inlineStr">
        <is>
          <t>27913563:eng</t>
        </is>
      </c>
      <c r="AX368" t="inlineStr">
        <is>
          <t>863254</t>
        </is>
      </c>
      <c r="AY368" t="inlineStr">
        <is>
          <t>991003331809702656</t>
        </is>
      </c>
      <c r="AZ368" t="inlineStr">
        <is>
          <t>991003331809702656</t>
        </is>
      </c>
      <c r="BA368" t="inlineStr">
        <is>
          <t>2264233890002656</t>
        </is>
      </c>
      <c r="BB368" t="inlineStr">
        <is>
          <t>BOOK</t>
        </is>
      </c>
      <c r="BE368" t="inlineStr">
        <is>
          <t>32285001987204</t>
        </is>
      </c>
      <c r="BF368" t="inlineStr">
        <is>
          <t>893227960</t>
        </is>
      </c>
    </row>
    <row r="369">
      <c r="B369" t="inlineStr">
        <is>
          <t>CURAL</t>
        </is>
      </c>
      <c r="C369" t="inlineStr">
        <is>
          <t>SHELVES</t>
        </is>
      </c>
      <c r="D369" t="inlineStr">
        <is>
          <t>KF8961 .B76 1993</t>
        </is>
      </c>
      <c r="E369" t="inlineStr">
        <is>
          <t>0                      KF 8961000B  76          1993</t>
        </is>
      </c>
      <c r="F369" t="inlineStr">
        <is>
          <t>Law for the expert witness / by Daniel A. Bronstein.</t>
        </is>
      </c>
      <c r="H369" t="inlineStr">
        <is>
          <t>No</t>
        </is>
      </c>
      <c r="I369" t="inlineStr">
        <is>
          <t>1</t>
        </is>
      </c>
      <c r="J369" t="inlineStr">
        <is>
          <t>No</t>
        </is>
      </c>
      <c r="K369" t="inlineStr">
        <is>
          <t>Yes</t>
        </is>
      </c>
      <c r="L369" t="inlineStr">
        <is>
          <t>0</t>
        </is>
      </c>
      <c r="M369" t="inlineStr">
        <is>
          <t>Bronstein, Daniel A.</t>
        </is>
      </c>
      <c r="N369" t="inlineStr">
        <is>
          <t>Boca Raton : Lewis Publishers, c1993.</t>
        </is>
      </c>
      <c r="O369" t="inlineStr">
        <is>
          <t>1993</t>
        </is>
      </c>
      <c r="Q369" t="inlineStr">
        <is>
          <t>eng</t>
        </is>
      </c>
      <c r="R369" t="inlineStr">
        <is>
          <t>flu</t>
        </is>
      </c>
      <c r="T369" t="inlineStr">
        <is>
          <t xml:space="preserve">KF </t>
        </is>
      </c>
      <c r="U369" t="n">
        <v>7</v>
      </c>
      <c r="V369" t="n">
        <v>7</v>
      </c>
      <c r="W369" t="inlineStr">
        <is>
          <t>2006-12-11</t>
        </is>
      </c>
      <c r="X369" t="inlineStr">
        <is>
          <t>2006-12-11</t>
        </is>
      </c>
      <c r="Y369" t="inlineStr">
        <is>
          <t>2000-03-13</t>
        </is>
      </c>
      <c r="Z369" t="inlineStr">
        <is>
          <t>2000-03-13</t>
        </is>
      </c>
      <c r="AA369" t="n">
        <v>121</v>
      </c>
      <c r="AB369" t="n">
        <v>101</v>
      </c>
      <c r="AC369" t="n">
        <v>664</v>
      </c>
      <c r="AD369" t="n">
        <v>1</v>
      </c>
      <c r="AE369" t="n">
        <v>6</v>
      </c>
      <c r="AF369" t="n">
        <v>8</v>
      </c>
      <c r="AG369" t="n">
        <v>37</v>
      </c>
      <c r="AH369" t="n">
        <v>2</v>
      </c>
      <c r="AI369" t="n">
        <v>8</v>
      </c>
      <c r="AJ369" t="n">
        <v>0</v>
      </c>
      <c r="AK369" t="n">
        <v>5</v>
      </c>
      <c r="AL369" t="n">
        <v>2</v>
      </c>
      <c r="AM369" t="n">
        <v>7</v>
      </c>
      <c r="AN369" t="n">
        <v>0</v>
      </c>
      <c r="AO369" t="n">
        <v>4</v>
      </c>
      <c r="AP369" t="n">
        <v>5</v>
      </c>
      <c r="AQ369" t="n">
        <v>16</v>
      </c>
      <c r="AR369" t="inlineStr">
        <is>
          <t>No</t>
        </is>
      </c>
      <c r="AS369" t="inlineStr">
        <is>
          <t>No</t>
        </is>
      </c>
      <c r="AU369">
        <f>HYPERLINK("https://creighton-primo.hosted.exlibrisgroup.com/primo-explore/search?tab=default_tab&amp;search_scope=EVERYTHING&amp;vid=01CRU&amp;lang=en_US&amp;offset=0&amp;query=any,contains,991002122469702656","Catalog Record")</f>
        <v/>
      </c>
      <c r="AV369">
        <f>HYPERLINK("http://www.worldcat.org/oclc/27186758","WorldCat Record")</f>
        <v/>
      </c>
      <c r="AW369" t="inlineStr">
        <is>
          <t>4916761987:eng</t>
        </is>
      </c>
      <c r="AX369" t="inlineStr">
        <is>
          <t>27186758</t>
        </is>
      </c>
      <c r="AY369" t="inlineStr">
        <is>
          <t>991002122469702656</t>
        </is>
      </c>
      <c r="AZ369" t="inlineStr">
        <is>
          <t>991002122469702656</t>
        </is>
      </c>
      <c r="BA369" t="inlineStr">
        <is>
          <t>2270485070002656</t>
        </is>
      </c>
      <c r="BB369" t="inlineStr">
        <is>
          <t>BOOK</t>
        </is>
      </c>
      <c r="BD369" t="inlineStr">
        <is>
          <t>9780873719063</t>
        </is>
      </c>
      <c r="BE369" t="inlineStr">
        <is>
          <t>32285003668760</t>
        </is>
      </c>
      <c r="BF369" t="inlineStr">
        <is>
          <t>893609497</t>
        </is>
      </c>
    </row>
    <row r="370">
      <c r="B370" t="inlineStr">
        <is>
          <t>CURAL</t>
        </is>
      </c>
      <c r="C370" t="inlineStr">
        <is>
          <t>SHELVES</t>
        </is>
      </c>
      <c r="D370" t="inlineStr">
        <is>
          <t>KF8961 .S27 1983</t>
        </is>
      </c>
      <c r="E370" t="inlineStr">
        <is>
          <t>0                      KF 8961000S  27          1983</t>
        </is>
      </c>
      <c r="F370" t="inlineStr">
        <is>
          <t>The use of scientific evidence in litigation / Michael J. Saks, Richard Van Duizend.</t>
        </is>
      </c>
      <c r="H370" t="inlineStr">
        <is>
          <t>No</t>
        </is>
      </c>
      <c r="I370" t="inlineStr">
        <is>
          <t>1</t>
        </is>
      </c>
      <c r="J370" t="inlineStr">
        <is>
          <t>No</t>
        </is>
      </c>
      <c r="K370" t="inlineStr">
        <is>
          <t>No</t>
        </is>
      </c>
      <c r="L370" t="inlineStr">
        <is>
          <t>0</t>
        </is>
      </c>
      <c r="M370" t="inlineStr">
        <is>
          <t>Saks, Michael J.</t>
        </is>
      </c>
      <c r="N370" t="inlineStr">
        <is>
          <t>[Williamsburg, VA] : National Center for State Courts, c1983.</t>
        </is>
      </c>
      <c r="O370" t="inlineStr">
        <is>
          <t>1983</t>
        </is>
      </c>
      <c r="Q370" t="inlineStr">
        <is>
          <t>eng</t>
        </is>
      </c>
      <c r="R370" t="inlineStr">
        <is>
          <t>vau</t>
        </is>
      </c>
      <c r="T370" t="inlineStr">
        <is>
          <t xml:space="preserve">KF </t>
        </is>
      </c>
      <c r="U370" t="n">
        <v>2</v>
      </c>
      <c r="V370" t="n">
        <v>2</v>
      </c>
      <c r="W370" t="inlineStr">
        <is>
          <t>2007-12-04</t>
        </is>
      </c>
      <c r="X370" t="inlineStr">
        <is>
          <t>2007-12-04</t>
        </is>
      </c>
      <c r="Y370" t="inlineStr">
        <is>
          <t>1992-07-17</t>
        </is>
      </c>
      <c r="Z370" t="inlineStr">
        <is>
          <t>1992-07-17</t>
        </is>
      </c>
      <c r="AA370" t="n">
        <v>211</v>
      </c>
      <c r="AB370" t="n">
        <v>195</v>
      </c>
      <c r="AC370" t="n">
        <v>208</v>
      </c>
      <c r="AD370" t="n">
        <v>2</v>
      </c>
      <c r="AE370" t="n">
        <v>2</v>
      </c>
      <c r="AF370" t="n">
        <v>21</v>
      </c>
      <c r="AG370" t="n">
        <v>22</v>
      </c>
      <c r="AH370" t="n">
        <v>1</v>
      </c>
      <c r="AI370" t="n">
        <v>2</v>
      </c>
      <c r="AJ370" t="n">
        <v>0</v>
      </c>
      <c r="AK370" t="n">
        <v>0</v>
      </c>
      <c r="AL370" t="n">
        <v>0</v>
      </c>
      <c r="AM370" t="n">
        <v>0</v>
      </c>
      <c r="AN370" t="n">
        <v>0</v>
      </c>
      <c r="AO370" t="n">
        <v>0</v>
      </c>
      <c r="AP370" t="n">
        <v>20</v>
      </c>
      <c r="AQ370" t="n">
        <v>20</v>
      </c>
      <c r="AR370" t="inlineStr">
        <is>
          <t>No</t>
        </is>
      </c>
      <c r="AS370" t="inlineStr">
        <is>
          <t>No</t>
        </is>
      </c>
      <c r="AU370">
        <f>HYPERLINK("https://creighton-primo.hosted.exlibrisgroup.com/primo-explore/search?tab=default_tab&amp;search_scope=EVERYTHING&amp;vid=01CRU&amp;lang=en_US&amp;offset=0&amp;query=any,contains,991000215089702656","Catalog Record")</f>
        <v/>
      </c>
      <c r="AV370">
        <f>HYPERLINK("http://www.worldcat.org/oclc/9557500","WorldCat Record")</f>
        <v/>
      </c>
      <c r="AW370" t="inlineStr">
        <is>
          <t>16343814:eng</t>
        </is>
      </c>
      <c r="AX370" t="inlineStr">
        <is>
          <t>9557500</t>
        </is>
      </c>
      <c r="AY370" t="inlineStr">
        <is>
          <t>991000215089702656</t>
        </is>
      </c>
      <c r="AZ370" t="inlineStr">
        <is>
          <t>991000215089702656</t>
        </is>
      </c>
      <c r="BA370" t="inlineStr">
        <is>
          <t>2266822680002656</t>
        </is>
      </c>
      <c r="BB370" t="inlineStr">
        <is>
          <t>BOOK</t>
        </is>
      </c>
      <c r="BD370" t="inlineStr">
        <is>
          <t>9780896560680</t>
        </is>
      </c>
      <c r="BE370" t="inlineStr">
        <is>
          <t>32285001179984</t>
        </is>
      </c>
      <c r="BF370" t="inlineStr">
        <is>
          <t>893243083</t>
        </is>
      </c>
    </row>
    <row r="371">
      <c r="B371" t="inlineStr">
        <is>
          <t>CURAL</t>
        </is>
      </c>
      <c r="C371" t="inlineStr">
        <is>
          <t>SHELVES</t>
        </is>
      </c>
      <c r="D371" t="inlineStr">
        <is>
          <t>KF8965 .B37 1984</t>
        </is>
      </c>
      <c r="E371" t="inlineStr">
        <is>
          <t>0                      KF 8965000B  37          1984</t>
        </is>
      </c>
      <c r="F371" t="inlineStr">
        <is>
          <t>The psychologist as expert witness / Theodore H. Blau.</t>
        </is>
      </c>
      <c r="H371" t="inlineStr">
        <is>
          <t>No</t>
        </is>
      </c>
      <c r="I371" t="inlineStr">
        <is>
          <t>1</t>
        </is>
      </c>
      <c r="J371" t="inlineStr">
        <is>
          <t>No</t>
        </is>
      </c>
      <c r="K371" t="inlineStr">
        <is>
          <t>No</t>
        </is>
      </c>
      <c r="L371" t="inlineStr">
        <is>
          <t>0</t>
        </is>
      </c>
      <c r="M371" t="inlineStr">
        <is>
          <t>Blau, Theodore H.</t>
        </is>
      </c>
      <c r="N371" t="inlineStr">
        <is>
          <t>New York : Wiley, c1984.</t>
        </is>
      </c>
      <c r="O371" t="inlineStr">
        <is>
          <t>1984</t>
        </is>
      </c>
      <c r="Q371" t="inlineStr">
        <is>
          <t>eng</t>
        </is>
      </c>
      <c r="R371" t="inlineStr">
        <is>
          <t>nyu</t>
        </is>
      </c>
      <c r="S371" t="inlineStr">
        <is>
          <t>Wiley series on health psychology/behavioral medicine</t>
        </is>
      </c>
      <c r="T371" t="inlineStr">
        <is>
          <t xml:space="preserve">KF </t>
        </is>
      </c>
      <c r="U371" t="n">
        <v>15</v>
      </c>
      <c r="V371" t="n">
        <v>15</v>
      </c>
      <c r="W371" t="inlineStr">
        <is>
          <t>2009-09-23</t>
        </is>
      </c>
      <c r="X371" t="inlineStr">
        <is>
          <t>2009-09-23</t>
        </is>
      </c>
      <c r="Y371" t="inlineStr">
        <is>
          <t>1992-07-29</t>
        </is>
      </c>
      <c r="Z371" t="inlineStr">
        <is>
          <t>1992-07-29</t>
        </is>
      </c>
      <c r="AA371" t="n">
        <v>663</v>
      </c>
      <c r="AB371" t="n">
        <v>565</v>
      </c>
      <c r="AC371" t="n">
        <v>708</v>
      </c>
      <c r="AD371" t="n">
        <v>4</v>
      </c>
      <c r="AE371" t="n">
        <v>5</v>
      </c>
      <c r="AF371" t="n">
        <v>36</v>
      </c>
      <c r="AG371" t="n">
        <v>42</v>
      </c>
      <c r="AH371" t="n">
        <v>10</v>
      </c>
      <c r="AI371" t="n">
        <v>12</v>
      </c>
      <c r="AJ371" t="n">
        <v>7</v>
      </c>
      <c r="AK371" t="n">
        <v>8</v>
      </c>
      <c r="AL371" t="n">
        <v>14</v>
      </c>
      <c r="AM371" t="n">
        <v>16</v>
      </c>
      <c r="AN371" t="n">
        <v>2</v>
      </c>
      <c r="AO371" t="n">
        <v>3</v>
      </c>
      <c r="AP371" t="n">
        <v>10</v>
      </c>
      <c r="AQ371" t="n">
        <v>11</v>
      </c>
      <c r="AR371" t="inlineStr">
        <is>
          <t>No</t>
        </is>
      </c>
      <c r="AS371" t="inlineStr">
        <is>
          <t>Yes</t>
        </is>
      </c>
      <c r="AT371">
        <f>HYPERLINK("http://catalog.hathitrust.org/Record/000331848","HathiTrust Record")</f>
        <v/>
      </c>
      <c r="AU371">
        <f>HYPERLINK("https://creighton-primo.hosted.exlibrisgroup.com/primo-explore/search?tab=default_tab&amp;search_scope=EVERYTHING&amp;vid=01CRU&amp;lang=en_US&amp;offset=0&amp;query=any,contains,991000423759702656","Catalog Record")</f>
        <v/>
      </c>
      <c r="AV371">
        <f>HYPERLINK("http://www.worldcat.org/oclc/10751822","WorldCat Record")</f>
        <v/>
      </c>
      <c r="AW371" t="inlineStr">
        <is>
          <t>2866928:eng</t>
        </is>
      </c>
      <c r="AX371" t="inlineStr">
        <is>
          <t>10751822</t>
        </is>
      </c>
      <c r="AY371" t="inlineStr">
        <is>
          <t>991000423759702656</t>
        </is>
      </c>
      <c r="AZ371" t="inlineStr">
        <is>
          <t>991000423759702656</t>
        </is>
      </c>
      <c r="BA371" t="inlineStr">
        <is>
          <t>2266250030002656</t>
        </is>
      </c>
      <c r="BB371" t="inlineStr">
        <is>
          <t>BOOK</t>
        </is>
      </c>
      <c r="BD371" t="inlineStr">
        <is>
          <t>9780471871293</t>
        </is>
      </c>
      <c r="BE371" t="inlineStr">
        <is>
          <t>32285001208486</t>
        </is>
      </c>
      <c r="BF371" t="inlineStr">
        <is>
          <t>893528036</t>
        </is>
      </c>
    </row>
    <row r="372">
      <c r="B372" t="inlineStr">
        <is>
          <t>CURAL</t>
        </is>
      </c>
      <c r="C372" t="inlineStr">
        <is>
          <t>SHELVES</t>
        </is>
      </c>
      <c r="D372" t="inlineStr">
        <is>
          <t>KF8965 .S93 1968</t>
        </is>
      </c>
      <c r="E372" t="inlineStr">
        <is>
          <t>0                      KF 8965000S  93          1968</t>
        </is>
      </c>
      <c r="F372" t="inlineStr">
        <is>
          <t>Law, liberty, and psychiatry : an inquiry into the social uses of mental health practices.</t>
        </is>
      </c>
      <c r="H372" t="inlineStr">
        <is>
          <t>No</t>
        </is>
      </c>
      <c r="I372" t="inlineStr">
        <is>
          <t>1</t>
        </is>
      </c>
      <c r="J372" t="inlineStr">
        <is>
          <t>No</t>
        </is>
      </c>
      <c r="K372" t="inlineStr">
        <is>
          <t>No</t>
        </is>
      </c>
      <c r="L372" t="inlineStr">
        <is>
          <t>0</t>
        </is>
      </c>
      <c r="M372" t="inlineStr">
        <is>
          <t>Szasz, Thomas, 1920-2012.</t>
        </is>
      </c>
      <c r="N372" t="inlineStr">
        <is>
          <t>New York : Macmillan, [1963]</t>
        </is>
      </c>
      <c r="O372" t="inlineStr">
        <is>
          <t>1963</t>
        </is>
      </c>
      <c r="Q372" t="inlineStr">
        <is>
          <t>eng</t>
        </is>
      </c>
      <c r="R372" t="inlineStr">
        <is>
          <t>nyu</t>
        </is>
      </c>
      <c r="T372" t="inlineStr">
        <is>
          <t xml:space="preserve">KF </t>
        </is>
      </c>
      <c r="U372" t="n">
        <v>2</v>
      </c>
      <c r="V372" t="n">
        <v>2</v>
      </c>
      <c r="W372" t="inlineStr">
        <is>
          <t>2009-08-26</t>
        </is>
      </c>
      <c r="X372" t="inlineStr">
        <is>
          <t>2009-08-26</t>
        </is>
      </c>
      <c r="Y372" t="inlineStr">
        <is>
          <t>1992-12-16</t>
        </is>
      </c>
      <c r="Z372" t="inlineStr">
        <is>
          <t>1992-12-16</t>
        </is>
      </c>
      <c r="AA372" t="n">
        <v>818</v>
      </c>
      <c r="AB372" t="n">
        <v>724</v>
      </c>
      <c r="AC372" t="n">
        <v>973</v>
      </c>
      <c r="AD372" t="n">
        <v>5</v>
      </c>
      <c r="AE372" t="n">
        <v>6</v>
      </c>
      <c r="AF372" t="n">
        <v>36</v>
      </c>
      <c r="AG372" t="n">
        <v>51</v>
      </c>
      <c r="AH372" t="n">
        <v>8</v>
      </c>
      <c r="AI372" t="n">
        <v>14</v>
      </c>
      <c r="AJ372" t="n">
        <v>4</v>
      </c>
      <c r="AK372" t="n">
        <v>6</v>
      </c>
      <c r="AL372" t="n">
        <v>11</v>
      </c>
      <c r="AM372" t="n">
        <v>17</v>
      </c>
      <c r="AN372" t="n">
        <v>2</v>
      </c>
      <c r="AO372" t="n">
        <v>3</v>
      </c>
      <c r="AP372" t="n">
        <v>14</v>
      </c>
      <c r="AQ372" t="n">
        <v>19</v>
      </c>
      <c r="AR372" t="inlineStr">
        <is>
          <t>Yes</t>
        </is>
      </c>
      <c r="AS372" t="inlineStr">
        <is>
          <t>No</t>
        </is>
      </c>
      <c r="AT372">
        <f>HYPERLINK("http://catalog.hathitrust.org/Record/001560512","HathiTrust Record")</f>
        <v/>
      </c>
      <c r="AU372">
        <f>HYPERLINK("https://creighton-primo.hosted.exlibrisgroup.com/primo-explore/search?tab=default_tab&amp;search_scope=EVERYTHING&amp;vid=01CRU&amp;lang=en_US&amp;offset=0&amp;query=any,contains,991002429199702656","Catalog Record")</f>
        <v/>
      </c>
      <c r="AV372">
        <f>HYPERLINK("http://www.worldcat.org/oclc/346217","WorldCat Record")</f>
        <v/>
      </c>
      <c r="AW372" t="inlineStr">
        <is>
          <t>1495370:eng</t>
        </is>
      </c>
      <c r="AX372" t="inlineStr">
        <is>
          <t>346217</t>
        </is>
      </c>
      <c r="AY372" t="inlineStr">
        <is>
          <t>991002429199702656</t>
        </is>
      </c>
      <c r="AZ372" t="inlineStr">
        <is>
          <t>991002429199702656</t>
        </is>
      </c>
      <c r="BA372" t="inlineStr">
        <is>
          <t>2272052030002656</t>
        </is>
      </c>
      <c r="BB372" t="inlineStr">
        <is>
          <t>BOOK</t>
        </is>
      </c>
      <c r="BE372" t="inlineStr">
        <is>
          <t>32285001442218</t>
        </is>
      </c>
      <c r="BF372" t="inlineStr">
        <is>
          <t>893879914</t>
        </is>
      </c>
    </row>
    <row r="373">
      <c r="B373" t="inlineStr">
        <is>
          <t>CURAL</t>
        </is>
      </c>
      <c r="C373" t="inlineStr">
        <is>
          <t>SHELVES</t>
        </is>
      </c>
      <c r="D373" t="inlineStr">
        <is>
          <t>KF8972 .A735 1994</t>
        </is>
      </c>
      <c r="E373" t="inlineStr">
        <is>
          <t>0                      KF 8972000A  735         1994</t>
        </is>
      </c>
      <c r="F373" t="inlineStr">
        <is>
          <t>The jury : trial and error in the American courtroom / Stephen J. Adler.</t>
        </is>
      </c>
      <c r="H373" t="inlineStr">
        <is>
          <t>No</t>
        </is>
      </c>
      <c r="I373" t="inlineStr">
        <is>
          <t>1</t>
        </is>
      </c>
      <c r="J373" t="inlineStr">
        <is>
          <t>Yes</t>
        </is>
      </c>
      <c r="K373" t="inlineStr">
        <is>
          <t>No</t>
        </is>
      </c>
      <c r="L373" t="inlineStr">
        <is>
          <t>0</t>
        </is>
      </c>
      <c r="M373" t="inlineStr">
        <is>
          <t>Adler, Stephen J.</t>
        </is>
      </c>
      <c r="N373" t="inlineStr">
        <is>
          <t>New York : Times Books, c1994.</t>
        </is>
      </c>
      <c r="O373" t="inlineStr">
        <is>
          <t>1994</t>
        </is>
      </c>
      <c r="P373" t="inlineStr">
        <is>
          <t>1st ed.</t>
        </is>
      </c>
      <c r="Q373" t="inlineStr">
        <is>
          <t>eng</t>
        </is>
      </c>
      <c r="R373" t="inlineStr">
        <is>
          <t>nyu</t>
        </is>
      </c>
      <c r="T373" t="inlineStr">
        <is>
          <t xml:space="preserve">KF </t>
        </is>
      </c>
      <c r="U373" t="n">
        <v>2</v>
      </c>
      <c r="V373" t="n">
        <v>7</v>
      </c>
      <c r="W373" t="inlineStr">
        <is>
          <t>2005-04-24</t>
        </is>
      </c>
      <c r="X373" t="inlineStr">
        <is>
          <t>2005-04-24</t>
        </is>
      </c>
      <c r="Y373" t="inlineStr">
        <is>
          <t>1996-01-08</t>
        </is>
      </c>
      <c r="Z373" t="inlineStr">
        <is>
          <t>1996-01-08</t>
        </is>
      </c>
      <c r="AA373" t="n">
        <v>1038</v>
      </c>
      <c r="AB373" t="n">
        <v>1005</v>
      </c>
      <c r="AC373" t="n">
        <v>1017</v>
      </c>
      <c r="AD373" t="n">
        <v>4</v>
      </c>
      <c r="AE373" t="n">
        <v>4</v>
      </c>
      <c r="AF373" t="n">
        <v>44</v>
      </c>
      <c r="AG373" t="n">
        <v>44</v>
      </c>
      <c r="AH373" t="n">
        <v>9</v>
      </c>
      <c r="AI373" t="n">
        <v>9</v>
      </c>
      <c r="AJ373" t="n">
        <v>4</v>
      </c>
      <c r="AK373" t="n">
        <v>4</v>
      </c>
      <c r="AL373" t="n">
        <v>14</v>
      </c>
      <c r="AM373" t="n">
        <v>14</v>
      </c>
      <c r="AN373" t="n">
        <v>2</v>
      </c>
      <c r="AO373" t="n">
        <v>2</v>
      </c>
      <c r="AP373" t="n">
        <v>21</v>
      </c>
      <c r="AQ373" t="n">
        <v>21</v>
      </c>
      <c r="AR373" t="inlineStr">
        <is>
          <t>No</t>
        </is>
      </c>
      <c r="AS373" t="inlineStr">
        <is>
          <t>Yes</t>
        </is>
      </c>
      <c r="AT373">
        <f>HYPERLINK("http://catalog.hathitrust.org/Record/003619387","HathiTrust Record")</f>
        <v/>
      </c>
      <c r="AU373">
        <f>HYPERLINK("https://creighton-primo.hosted.exlibrisgroup.com/primo-explore/search?tab=default_tab&amp;search_scope=EVERYTHING&amp;vid=01CRU&amp;lang=en_US&amp;offset=0&amp;query=any,contains,991001662089702656","Catalog Record")</f>
        <v/>
      </c>
      <c r="AV373">
        <f>HYPERLINK("http://www.worldcat.org/oclc/30030190","WorldCat Record")</f>
        <v/>
      </c>
      <c r="AW373" t="inlineStr">
        <is>
          <t>32199167:eng</t>
        </is>
      </c>
      <c r="AX373" t="inlineStr">
        <is>
          <t>30030190</t>
        </is>
      </c>
      <c r="AY373" t="inlineStr">
        <is>
          <t>991001662089702656</t>
        </is>
      </c>
      <c r="AZ373" t="inlineStr">
        <is>
          <t>991001662089702656</t>
        </is>
      </c>
      <c r="BA373" t="inlineStr">
        <is>
          <t>2269208750002656</t>
        </is>
      </c>
      <c r="BB373" t="inlineStr">
        <is>
          <t>BOOK</t>
        </is>
      </c>
      <c r="BD373" t="inlineStr">
        <is>
          <t>9780812923636</t>
        </is>
      </c>
      <c r="BE373" t="inlineStr">
        <is>
          <t>32285002115656</t>
        </is>
      </c>
      <c r="BF373" t="inlineStr">
        <is>
          <t>893432996</t>
        </is>
      </c>
    </row>
    <row r="374">
      <c r="B374" t="inlineStr">
        <is>
          <t>CURAL</t>
        </is>
      </c>
      <c r="C374" t="inlineStr">
        <is>
          <t>SHELVES</t>
        </is>
      </c>
      <c r="D374" t="inlineStr">
        <is>
          <t>KF8972 .G85 1988</t>
        </is>
      </c>
      <c r="E374" t="inlineStr">
        <is>
          <t>0                      KF 8972000G  85          1988</t>
        </is>
      </c>
      <c r="F374" t="inlineStr">
        <is>
          <t>The jury in America / John Guinther. And, The civil juror : a research project sponsored by the Roscoe Pound Foundation / Bettyruth Walter.</t>
        </is>
      </c>
      <c r="H374" t="inlineStr">
        <is>
          <t>No</t>
        </is>
      </c>
      <c r="I374" t="inlineStr">
        <is>
          <t>1</t>
        </is>
      </c>
      <c r="J374" t="inlineStr">
        <is>
          <t>Yes</t>
        </is>
      </c>
      <c r="K374" t="inlineStr">
        <is>
          <t>No</t>
        </is>
      </c>
      <c r="L374" t="inlineStr">
        <is>
          <t>0</t>
        </is>
      </c>
      <c r="M374" t="inlineStr">
        <is>
          <t>Guinther, John.</t>
        </is>
      </c>
      <c r="N374" t="inlineStr">
        <is>
          <t>New York, N.Y. : Facts on File Publications, c1988.</t>
        </is>
      </c>
      <c r="O374" t="inlineStr">
        <is>
          <t>1988</t>
        </is>
      </c>
      <c r="Q374" t="inlineStr">
        <is>
          <t>eng</t>
        </is>
      </c>
      <c r="R374" t="inlineStr">
        <is>
          <t>nyu</t>
        </is>
      </c>
      <c r="T374" t="inlineStr">
        <is>
          <t xml:space="preserve">KF </t>
        </is>
      </c>
      <c r="U374" t="n">
        <v>10</v>
      </c>
      <c r="V374" t="n">
        <v>13</v>
      </c>
      <c r="W374" t="inlineStr">
        <is>
          <t>2008-04-25</t>
        </is>
      </c>
      <c r="X374" t="inlineStr">
        <is>
          <t>2008-04-25</t>
        </is>
      </c>
      <c r="Y374" t="inlineStr">
        <is>
          <t>1990-07-18</t>
        </is>
      </c>
      <c r="Z374" t="inlineStr">
        <is>
          <t>1992-06-25</t>
        </is>
      </c>
      <c r="AA374" t="n">
        <v>848</v>
      </c>
      <c r="AB374" t="n">
        <v>807</v>
      </c>
      <c r="AC374" t="n">
        <v>811</v>
      </c>
      <c r="AD374" t="n">
        <v>7</v>
      </c>
      <c r="AE374" t="n">
        <v>7</v>
      </c>
      <c r="AF374" t="n">
        <v>38</v>
      </c>
      <c r="AG374" t="n">
        <v>38</v>
      </c>
      <c r="AH374" t="n">
        <v>7</v>
      </c>
      <c r="AI374" t="n">
        <v>7</v>
      </c>
      <c r="AJ374" t="n">
        <v>4</v>
      </c>
      <c r="AK374" t="n">
        <v>4</v>
      </c>
      <c r="AL374" t="n">
        <v>6</v>
      </c>
      <c r="AM374" t="n">
        <v>6</v>
      </c>
      <c r="AN374" t="n">
        <v>4</v>
      </c>
      <c r="AO374" t="n">
        <v>4</v>
      </c>
      <c r="AP374" t="n">
        <v>19</v>
      </c>
      <c r="AQ374" t="n">
        <v>19</v>
      </c>
      <c r="AR374" t="inlineStr">
        <is>
          <t>No</t>
        </is>
      </c>
      <c r="AS374" t="inlineStr">
        <is>
          <t>No</t>
        </is>
      </c>
      <c r="AU374">
        <f>HYPERLINK("https://creighton-primo.hosted.exlibrisgroup.com/primo-explore/search?tab=default_tab&amp;search_scope=EVERYTHING&amp;vid=01CRU&amp;lang=en_US&amp;offset=0&amp;query=any,contains,991001681019702656","Catalog Record")</f>
        <v/>
      </c>
      <c r="AV374">
        <f>HYPERLINK("http://www.worldcat.org/oclc/16985783","WorldCat Record")</f>
        <v/>
      </c>
      <c r="AW374" t="inlineStr">
        <is>
          <t>13909169:eng</t>
        </is>
      </c>
      <c r="AX374" t="inlineStr">
        <is>
          <t>16985783</t>
        </is>
      </c>
      <c r="AY374" t="inlineStr">
        <is>
          <t>991001681019702656</t>
        </is>
      </c>
      <c r="AZ374" t="inlineStr">
        <is>
          <t>991001681019702656</t>
        </is>
      </c>
      <c r="BA374" t="inlineStr">
        <is>
          <t>2271984930002656</t>
        </is>
      </c>
      <c r="BB374" t="inlineStr">
        <is>
          <t>BOOK</t>
        </is>
      </c>
      <c r="BD374" t="inlineStr">
        <is>
          <t>9780816017720</t>
        </is>
      </c>
      <c r="BE374" t="inlineStr">
        <is>
          <t>32285000238823</t>
        </is>
      </c>
      <c r="BF374" t="inlineStr">
        <is>
          <t>893226025</t>
        </is>
      </c>
    </row>
    <row r="375">
      <c r="B375" t="inlineStr">
        <is>
          <t>CURAL</t>
        </is>
      </c>
      <c r="C375" t="inlineStr">
        <is>
          <t>SHELVES</t>
        </is>
      </c>
      <c r="D375" t="inlineStr">
        <is>
          <t>KF8972 .H3 1983</t>
        </is>
      </c>
      <c r="E375" t="inlineStr">
        <is>
          <t>0                      KF 8972000H  3           1983</t>
        </is>
      </c>
      <c r="F375" t="inlineStr">
        <is>
          <t>Inside the jury / Reid Hastie, Steven D. Penrod, Nancy Pennington.</t>
        </is>
      </c>
      <c r="H375" t="inlineStr">
        <is>
          <t>No</t>
        </is>
      </c>
      <c r="I375" t="inlineStr">
        <is>
          <t>1</t>
        </is>
      </c>
      <c r="J375" t="inlineStr">
        <is>
          <t>No</t>
        </is>
      </c>
      <c r="K375" t="inlineStr">
        <is>
          <t>No</t>
        </is>
      </c>
      <c r="L375" t="inlineStr">
        <is>
          <t>0</t>
        </is>
      </c>
      <c r="M375" t="inlineStr">
        <is>
          <t>Hastie, Reid.</t>
        </is>
      </c>
      <c r="N375" t="inlineStr">
        <is>
          <t>Cambridge, Mass. : Harvard University Press, 1983.</t>
        </is>
      </c>
      <c r="O375" t="inlineStr">
        <is>
          <t>1983</t>
        </is>
      </c>
      <c r="Q375" t="inlineStr">
        <is>
          <t>eng</t>
        </is>
      </c>
      <c r="R375" t="inlineStr">
        <is>
          <t>mau</t>
        </is>
      </c>
      <c r="T375" t="inlineStr">
        <is>
          <t xml:space="preserve">KF </t>
        </is>
      </c>
      <c r="U375" t="n">
        <v>10</v>
      </c>
      <c r="V375" t="n">
        <v>10</v>
      </c>
      <c r="W375" t="inlineStr">
        <is>
          <t>2007-11-30</t>
        </is>
      </c>
      <c r="X375" t="inlineStr">
        <is>
          <t>2007-11-30</t>
        </is>
      </c>
      <c r="Y375" t="inlineStr">
        <is>
          <t>1990-05-17</t>
        </is>
      </c>
      <c r="Z375" t="inlineStr">
        <is>
          <t>1990-05-17</t>
        </is>
      </c>
      <c r="AA375" t="n">
        <v>865</v>
      </c>
      <c r="AB375" t="n">
        <v>753</v>
      </c>
      <c r="AC375" t="n">
        <v>779</v>
      </c>
      <c r="AD375" t="n">
        <v>6</v>
      </c>
      <c r="AE375" t="n">
        <v>6</v>
      </c>
      <c r="AF375" t="n">
        <v>51</v>
      </c>
      <c r="AG375" t="n">
        <v>53</v>
      </c>
      <c r="AH375" t="n">
        <v>13</v>
      </c>
      <c r="AI375" t="n">
        <v>14</v>
      </c>
      <c r="AJ375" t="n">
        <v>6</v>
      </c>
      <c r="AK375" t="n">
        <v>6</v>
      </c>
      <c r="AL375" t="n">
        <v>16</v>
      </c>
      <c r="AM375" t="n">
        <v>16</v>
      </c>
      <c r="AN375" t="n">
        <v>4</v>
      </c>
      <c r="AO375" t="n">
        <v>4</v>
      </c>
      <c r="AP375" t="n">
        <v>21</v>
      </c>
      <c r="AQ375" t="n">
        <v>22</v>
      </c>
      <c r="AR375" t="inlineStr">
        <is>
          <t>No</t>
        </is>
      </c>
      <c r="AS375" t="inlineStr">
        <is>
          <t>Yes</t>
        </is>
      </c>
      <c r="AT375">
        <f>HYPERLINK("http://catalog.hathitrust.org/Record/000161559","HathiTrust Record")</f>
        <v/>
      </c>
      <c r="AU375">
        <f>HYPERLINK("https://creighton-primo.hosted.exlibrisgroup.com/primo-explore/search?tab=default_tab&amp;search_scope=EVERYTHING&amp;vid=01CRU&amp;lang=en_US&amp;offset=0&amp;query=any,contains,991000233519702656","Catalog Record")</f>
        <v/>
      </c>
      <c r="AV375">
        <f>HYPERLINK("http://www.worldcat.org/oclc/9645647","WorldCat Record")</f>
        <v/>
      </c>
      <c r="AW375" t="inlineStr">
        <is>
          <t>12191204:eng</t>
        </is>
      </c>
      <c r="AX375" t="inlineStr">
        <is>
          <t>9645647</t>
        </is>
      </c>
      <c r="AY375" t="inlineStr">
        <is>
          <t>991000233519702656</t>
        </is>
      </c>
      <c r="AZ375" t="inlineStr">
        <is>
          <t>991000233519702656</t>
        </is>
      </c>
      <c r="BA375" t="inlineStr">
        <is>
          <t>2269608350002656</t>
        </is>
      </c>
      <c r="BB375" t="inlineStr">
        <is>
          <t>BOOK</t>
        </is>
      </c>
      <c r="BD375" t="inlineStr">
        <is>
          <t>9780674455252</t>
        </is>
      </c>
      <c r="BE375" t="inlineStr">
        <is>
          <t>32285000152701</t>
        </is>
      </c>
      <c r="BF375" t="inlineStr">
        <is>
          <t>893224854</t>
        </is>
      </c>
    </row>
    <row r="376">
      <c r="B376" t="inlineStr">
        <is>
          <t>CURAL</t>
        </is>
      </c>
      <c r="C376" t="inlineStr">
        <is>
          <t>SHELVES</t>
        </is>
      </c>
      <c r="D376" t="inlineStr">
        <is>
          <t>KF8972 .M6</t>
        </is>
      </c>
      <c r="E376" t="inlineStr">
        <is>
          <t>0                      KF 8972000M  6</t>
        </is>
      </c>
      <c r="F376" t="inlineStr">
        <is>
          <t>The jury, tool of kings, palladium of liberty / [by] Lloyd E. Moore.</t>
        </is>
      </c>
      <c r="H376" t="inlineStr">
        <is>
          <t>No</t>
        </is>
      </c>
      <c r="I376" t="inlineStr">
        <is>
          <t>1</t>
        </is>
      </c>
      <c r="J376" t="inlineStr">
        <is>
          <t>No</t>
        </is>
      </c>
      <c r="K376" t="inlineStr">
        <is>
          <t>Yes</t>
        </is>
      </c>
      <c r="L376" t="inlineStr">
        <is>
          <t>0</t>
        </is>
      </c>
      <c r="M376" t="inlineStr">
        <is>
          <t>Moore, Lloyd E.</t>
        </is>
      </c>
      <c r="N376" t="inlineStr">
        <is>
          <t>Cincinnati : W. H. Anderson Co., [1973]</t>
        </is>
      </c>
      <c r="O376" t="inlineStr">
        <is>
          <t>1973</t>
        </is>
      </c>
      <c r="Q376" t="inlineStr">
        <is>
          <t>eng</t>
        </is>
      </c>
      <c r="R376" t="inlineStr">
        <is>
          <t>ohu</t>
        </is>
      </c>
      <c r="T376" t="inlineStr">
        <is>
          <t xml:space="preserve">KF </t>
        </is>
      </c>
      <c r="U376" t="n">
        <v>4</v>
      </c>
      <c r="V376" t="n">
        <v>4</v>
      </c>
      <c r="W376" t="inlineStr">
        <is>
          <t>2010-04-20</t>
        </is>
      </c>
      <c r="X376" t="inlineStr">
        <is>
          <t>2010-04-20</t>
        </is>
      </c>
      <c r="Y376" t="inlineStr">
        <is>
          <t>1990-07-17</t>
        </is>
      </c>
      <c r="Z376" t="inlineStr">
        <is>
          <t>1990-07-17</t>
        </is>
      </c>
      <c r="AA376" t="n">
        <v>514</v>
      </c>
      <c r="AB376" t="n">
        <v>468</v>
      </c>
      <c r="AC376" t="n">
        <v>576</v>
      </c>
      <c r="AD376" t="n">
        <v>5</v>
      </c>
      <c r="AE376" t="n">
        <v>7</v>
      </c>
      <c r="AF376" t="n">
        <v>30</v>
      </c>
      <c r="AG376" t="n">
        <v>39</v>
      </c>
      <c r="AH376" t="n">
        <v>4</v>
      </c>
      <c r="AI376" t="n">
        <v>6</v>
      </c>
      <c r="AJ376" t="n">
        <v>3</v>
      </c>
      <c r="AK376" t="n">
        <v>3</v>
      </c>
      <c r="AL376" t="n">
        <v>8</v>
      </c>
      <c r="AM376" t="n">
        <v>10</v>
      </c>
      <c r="AN376" t="n">
        <v>3</v>
      </c>
      <c r="AO376" t="n">
        <v>4</v>
      </c>
      <c r="AP376" t="n">
        <v>15</v>
      </c>
      <c r="AQ376" t="n">
        <v>21</v>
      </c>
      <c r="AR376" t="inlineStr">
        <is>
          <t>No</t>
        </is>
      </c>
      <c r="AS376" t="inlineStr">
        <is>
          <t>Yes</t>
        </is>
      </c>
      <c r="AT376">
        <f>HYPERLINK("http://catalog.hathitrust.org/Record/004509862","HathiTrust Record")</f>
        <v/>
      </c>
      <c r="AU376">
        <f>HYPERLINK("https://creighton-primo.hosted.exlibrisgroup.com/primo-explore/search?tab=default_tab&amp;search_scope=EVERYTHING&amp;vid=01CRU&amp;lang=en_US&amp;offset=0&amp;query=any,contains,991003293049702656","Catalog Record")</f>
        <v/>
      </c>
      <c r="AV376">
        <f>HYPERLINK("http://www.worldcat.org/oclc/814685","WorldCat Record")</f>
        <v/>
      </c>
      <c r="AW376" t="inlineStr">
        <is>
          <t>1668108:eng</t>
        </is>
      </c>
      <c r="AX376" t="inlineStr">
        <is>
          <t>814685</t>
        </is>
      </c>
      <c r="AY376" t="inlineStr">
        <is>
          <t>991003293049702656</t>
        </is>
      </c>
      <c r="AZ376" t="inlineStr">
        <is>
          <t>991003293049702656</t>
        </is>
      </c>
      <c r="BA376" t="inlineStr">
        <is>
          <t>2270230130002656</t>
        </is>
      </c>
      <c r="BB376" t="inlineStr">
        <is>
          <t>BOOK</t>
        </is>
      </c>
      <c r="BE376" t="inlineStr">
        <is>
          <t>32285000232438</t>
        </is>
      </c>
      <c r="BF376" t="inlineStr">
        <is>
          <t>893240058</t>
        </is>
      </c>
    </row>
    <row r="377">
      <c r="B377" t="inlineStr">
        <is>
          <t>CURAL</t>
        </is>
      </c>
      <c r="C377" t="inlineStr">
        <is>
          <t>SHELVES</t>
        </is>
      </c>
      <c r="D377" t="inlineStr">
        <is>
          <t>KF8972.T7 M3</t>
        </is>
      </c>
      <c r="E377" t="inlineStr">
        <is>
          <t>0                      KF 8972000T  7                  M  3</t>
        </is>
      </c>
      <c r="F377" t="inlineStr">
        <is>
          <t>Trial by jury : a complete guide to the jury system.</t>
        </is>
      </c>
      <c r="H377" t="inlineStr">
        <is>
          <t>No</t>
        </is>
      </c>
      <c r="I377" t="inlineStr">
        <is>
          <t>1</t>
        </is>
      </c>
      <c r="J377" t="inlineStr">
        <is>
          <t>No</t>
        </is>
      </c>
      <c r="K377" t="inlineStr">
        <is>
          <t>No</t>
        </is>
      </c>
      <c r="L377" t="inlineStr">
        <is>
          <t>0</t>
        </is>
      </c>
      <c r="M377" t="inlineStr">
        <is>
          <t>McCart, Samuel W., 1889-1966</t>
        </is>
      </c>
      <c r="N377" t="inlineStr">
        <is>
          <t>Philadelphia : Chilton Books, a division of Chilton Co., [1964]</t>
        </is>
      </c>
      <c r="O377" t="inlineStr">
        <is>
          <t>1964</t>
        </is>
      </c>
      <c r="P377" t="inlineStr">
        <is>
          <t>[1st ed.]</t>
        </is>
      </c>
      <c r="Q377" t="inlineStr">
        <is>
          <t>eng</t>
        </is>
      </c>
      <c r="R377" t="inlineStr">
        <is>
          <t>pau</t>
        </is>
      </c>
      <c r="T377" t="inlineStr">
        <is>
          <t xml:space="preserve">KF </t>
        </is>
      </c>
      <c r="U377" t="n">
        <v>3</v>
      </c>
      <c r="V377" t="n">
        <v>3</v>
      </c>
      <c r="W377" t="inlineStr">
        <is>
          <t>2009-10-21</t>
        </is>
      </c>
      <c r="X377" t="inlineStr">
        <is>
          <t>2009-10-21</t>
        </is>
      </c>
      <c r="Y377" t="inlineStr">
        <is>
          <t>1990-07-17</t>
        </is>
      </c>
      <c r="Z377" t="inlineStr">
        <is>
          <t>1990-07-17</t>
        </is>
      </c>
      <c r="AA377" t="n">
        <v>571</v>
      </c>
      <c r="AB377" t="n">
        <v>541</v>
      </c>
      <c r="AC377" t="n">
        <v>757</v>
      </c>
      <c r="AD377" t="n">
        <v>5</v>
      </c>
      <c r="AE377" t="n">
        <v>6</v>
      </c>
      <c r="AF377" t="n">
        <v>12</v>
      </c>
      <c r="AG377" t="n">
        <v>20</v>
      </c>
      <c r="AH377" t="n">
        <v>2</v>
      </c>
      <c r="AI377" t="n">
        <v>7</v>
      </c>
      <c r="AJ377" t="n">
        <v>2</v>
      </c>
      <c r="AK377" t="n">
        <v>3</v>
      </c>
      <c r="AL377" t="n">
        <v>3</v>
      </c>
      <c r="AM377" t="n">
        <v>4</v>
      </c>
      <c r="AN377" t="n">
        <v>1</v>
      </c>
      <c r="AO377" t="n">
        <v>2</v>
      </c>
      <c r="AP377" t="n">
        <v>6</v>
      </c>
      <c r="AQ377" t="n">
        <v>7</v>
      </c>
      <c r="AR377" t="inlineStr">
        <is>
          <t>No</t>
        </is>
      </c>
      <c r="AS377" t="inlineStr">
        <is>
          <t>Yes</t>
        </is>
      </c>
      <c r="AT377">
        <f>HYPERLINK("http://catalog.hathitrust.org/Record/010085967","HathiTrust Record")</f>
        <v/>
      </c>
      <c r="AU377">
        <f>HYPERLINK("https://creighton-primo.hosted.exlibrisgroup.com/primo-explore/search?tab=default_tab&amp;search_scope=EVERYTHING&amp;vid=01CRU&amp;lang=en_US&amp;offset=0&amp;query=any,contains,991003178099702656","Catalog Record")</f>
        <v/>
      </c>
      <c r="AV377">
        <f>HYPERLINK("http://www.worldcat.org/oclc/711168","WorldCat Record")</f>
        <v/>
      </c>
      <c r="AW377" t="inlineStr">
        <is>
          <t>1656270:eng</t>
        </is>
      </c>
      <c r="AX377" t="inlineStr">
        <is>
          <t>711168</t>
        </is>
      </c>
      <c r="AY377" t="inlineStr">
        <is>
          <t>991003178099702656</t>
        </is>
      </c>
      <c r="AZ377" t="inlineStr">
        <is>
          <t>991003178099702656</t>
        </is>
      </c>
      <c r="BA377" t="inlineStr">
        <is>
          <t>2263996920002656</t>
        </is>
      </c>
      <c r="BB377" t="inlineStr">
        <is>
          <t>BOOK</t>
        </is>
      </c>
      <c r="BE377" t="inlineStr">
        <is>
          <t>32285000232446</t>
        </is>
      </c>
      <c r="BF377" t="inlineStr">
        <is>
          <t>893717387</t>
        </is>
      </c>
    </row>
    <row r="378">
      <c r="B378" t="inlineStr">
        <is>
          <t>CURAL</t>
        </is>
      </c>
      <c r="C378" t="inlineStr">
        <is>
          <t>SHELVES</t>
        </is>
      </c>
      <c r="D378" t="inlineStr">
        <is>
          <t>KF9218 .L47 1983</t>
        </is>
      </c>
      <c r="E378" t="inlineStr">
        <is>
          <t>0                      KF 9218000L  47          1983</t>
        </is>
      </c>
      <c r="F378" t="inlineStr">
        <is>
          <t>Rights on trial : the Supreme Court and the criminal law / Paul Lermack.</t>
        </is>
      </c>
      <c r="H378" t="inlineStr">
        <is>
          <t>No</t>
        </is>
      </c>
      <c r="I378" t="inlineStr">
        <is>
          <t>1</t>
        </is>
      </c>
      <c r="J378" t="inlineStr">
        <is>
          <t>No</t>
        </is>
      </c>
      <c r="K378" t="inlineStr">
        <is>
          <t>No</t>
        </is>
      </c>
      <c r="L378" t="inlineStr">
        <is>
          <t>0</t>
        </is>
      </c>
      <c r="M378" t="inlineStr">
        <is>
          <t>Lermack, Paul.</t>
        </is>
      </c>
      <c r="N378" t="inlineStr">
        <is>
          <t>Port Washington, N.Y. : Associated Faculty Press, 1983.</t>
        </is>
      </c>
      <c r="O378" t="inlineStr">
        <is>
          <t>1983</t>
        </is>
      </c>
      <c r="Q378" t="inlineStr">
        <is>
          <t>eng</t>
        </is>
      </c>
      <c r="R378" t="inlineStr">
        <is>
          <t>nyu</t>
        </is>
      </c>
      <c r="S378" t="inlineStr">
        <is>
          <t>National university publications</t>
        </is>
      </c>
      <c r="T378" t="inlineStr">
        <is>
          <t xml:space="preserve">KF </t>
        </is>
      </c>
      <c r="U378" t="n">
        <v>2</v>
      </c>
      <c r="V378" t="n">
        <v>2</v>
      </c>
      <c r="W378" t="inlineStr">
        <is>
          <t>2009-03-23</t>
        </is>
      </c>
      <c r="X378" t="inlineStr">
        <is>
          <t>2009-03-23</t>
        </is>
      </c>
      <c r="Y378" t="inlineStr">
        <is>
          <t>1992-07-17</t>
        </is>
      </c>
      <c r="Z378" t="inlineStr">
        <is>
          <t>1992-07-17</t>
        </is>
      </c>
      <c r="AA378" t="n">
        <v>348</v>
      </c>
      <c r="AB378" t="n">
        <v>325</v>
      </c>
      <c r="AC378" t="n">
        <v>326</v>
      </c>
      <c r="AD378" t="n">
        <v>4</v>
      </c>
      <c r="AE378" t="n">
        <v>4</v>
      </c>
      <c r="AF378" t="n">
        <v>28</v>
      </c>
      <c r="AG378" t="n">
        <v>28</v>
      </c>
      <c r="AH378" t="n">
        <v>1</v>
      </c>
      <c r="AI378" t="n">
        <v>1</v>
      </c>
      <c r="AJ378" t="n">
        <v>4</v>
      </c>
      <c r="AK378" t="n">
        <v>4</v>
      </c>
      <c r="AL378" t="n">
        <v>8</v>
      </c>
      <c r="AM378" t="n">
        <v>8</v>
      </c>
      <c r="AN378" t="n">
        <v>2</v>
      </c>
      <c r="AO378" t="n">
        <v>2</v>
      </c>
      <c r="AP378" t="n">
        <v>16</v>
      </c>
      <c r="AQ378" t="n">
        <v>16</v>
      </c>
      <c r="AR378" t="inlineStr">
        <is>
          <t>No</t>
        </is>
      </c>
      <c r="AS378" t="inlineStr">
        <is>
          <t>No</t>
        </is>
      </c>
      <c r="AU378">
        <f>HYPERLINK("https://creighton-primo.hosted.exlibrisgroup.com/primo-explore/search?tab=default_tab&amp;search_scope=EVERYTHING&amp;vid=01CRU&amp;lang=en_US&amp;offset=0&amp;query=any,contains,991000164809702656","Catalog Record")</f>
        <v/>
      </c>
      <c r="AV378">
        <f>HYPERLINK("http://www.worldcat.org/oclc/9282647","WorldCat Record")</f>
        <v/>
      </c>
      <c r="AW378" t="inlineStr">
        <is>
          <t>949365503:eng</t>
        </is>
      </c>
      <c r="AX378" t="inlineStr">
        <is>
          <t>9282647</t>
        </is>
      </c>
      <c r="AY378" t="inlineStr">
        <is>
          <t>991000164809702656</t>
        </is>
      </c>
      <c r="AZ378" t="inlineStr">
        <is>
          <t>991000164809702656</t>
        </is>
      </c>
      <c r="BA378" t="inlineStr">
        <is>
          <t>2260058530002656</t>
        </is>
      </c>
      <c r="BB378" t="inlineStr">
        <is>
          <t>BOOK</t>
        </is>
      </c>
      <c r="BD378" t="inlineStr">
        <is>
          <t>9780804693028</t>
        </is>
      </c>
      <c r="BE378" t="inlineStr">
        <is>
          <t>32285001179992</t>
        </is>
      </c>
      <c r="BF378" t="inlineStr">
        <is>
          <t>893320876</t>
        </is>
      </c>
    </row>
    <row r="379">
      <c r="B379" t="inlineStr">
        <is>
          <t>CURAL</t>
        </is>
      </c>
      <c r="C379" t="inlineStr">
        <is>
          <t>SHELVES</t>
        </is>
      </c>
      <c r="D379" t="inlineStr">
        <is>
          <t>KF9219.3 .Y68</t>
        </is>
      </c>
      <c r="E379" t="inlineStr">
        <is>
          <t>0                      KF 9219300Y  68</t>
        </is>
      </c>
      <c r="F379" t="inlineStr">
        <is>
          <t>Criminal law : codes and cases / [by] R. Bryce Young.</t>
        </is>
      </c>
      <c r="H379" t="inlineStr">
        <is>
          <t>No</t>
        </is>
      </c>
      <c r="I379" t="inlineStr">
        <is>
          <t>1</t>
        </is>
      </c>
      <c r="J379" t="inlineStr">
        <is>
          <t>No</t>
        </is>
      </c>
      <c r="K379" t="inlineStr">
        <is>
          <t>No</t>
        </is>
      </c>
      <c r="L379" t="inlineStr">
        <is>
          <t>0</t>
        </is>
      </c>
      <c r="M379" t="inlineStr">
        <is>
          <t>Young, Rudolph Bryce, 1933-</t>
        </is>
      </c>
      <c r="N379" t="inlineStr">
        <is>
          <t>New York : McGraw-Hill, [1972]</t>
        </is>
      </c>
      <c r="O379" t="inlineStr">
        <is>
          <t>1972</t>
        </is>
      </c>
      <c r="Q379" t="inlineStr">
        <is>
          <t>eng</t>
        </is>
      </c>
      <c r="R379" t="inlineStr">
        <is>
          <t>nyu</t>
        </is>
      </c>
      <c r="T379" t="inlineStr">
        <is>
          <t xml:space="preserve">KF </t>
        </is>
      </c>
      <c r="U379" t="n">
        <v>4</v>
      </c>
      <c r="V379" t="n">
        <v>4</v>
      </c>
      <c r="W379" t="inlineStr">
        <is>
          <t>2010-02-05</t>
        </is>
      </c>
      <c r="X379" t="inlineStr">
        <is>
          <t>2010-02-05</t>
        </is>
      </c>
      <c r="Y379" t="inlineStr">
        <is>
          <t>1995-03-23</t>
        </is>
      </c>
      <c r="Z379" t="inlineStr">
        <is>
          <t>1995-03-23</t>
        </is>
      </c>
      <c r="AA379" t="n">
        <v>206</v>
      </c>
      <c r="AB379" t="n">
        <v>183</v>
      </c>
      <c r="AC379" t="n">
        <v>184</v>
      </c>
      <c r="AD379" t="n">
        <v>2</v>
      </c>
      <c r="AE379" t="n">
        <v>2</v>
      </c>
      <c r="AF379" t="n">
        <v>6</v>
      </c>
      <c r="AG379" t="n">
        <v>6</v>
      </c>
      <c r="AH379" t="n">
        <v>3</v>
      </c>
      <c r="AI379" t="n">
        <v>3</v>
      </c>
      <c r="AJ379" t="n">
        <v>1</v>
      </c>
      <c r="AK379" t="n">
        <v>1</v>
      </c>
      <c r="AL379" t="n">
        <v>4</v>
      </c>
      <c r="AM379" t="n">
        <v>4</v>
      </c>
      <c r="AN379" t="n">
        <v>1</v>
      </c>
      <c r="AO379" t="n">
        <v>1</v>
      </c>
      <c r="AP379" t="n">
        <v>0</v>
      </c>
      <c r="AQ379" t="n">
        <v>0</v>
      </c>
      <c r="AR379" t="inlineStr">
        <is>
          <t>No</t>
        </is>
      </c>
      <c r="AS379" t="inlineStr">
        <is>
          <t>No</t>
        </is>
      </c>
      <c r="AU379">
        <f>HYPERLINK("https://creighton-primo.hosted.exlibrisgroup.com/primo-explore/search?tab=default_tab&amp;search_scope=EVERYTHING&amp;vid=01CRU&amp;lang=en_US&amp;offset=0&amp;query=any,contains,991002657439702656","Catalog Record")</f>
        <v/>
      </c>
      <c r="AV379">
        <f>HYPERLINK("http://www.worldcat.org/oclc/389958","WorldCat Record")</f>
        <v/>
      </c>
      <c r="AW379" t="inlineStr">
        <is>
          <t>1522927:eng</t>
        </is>
      </c>
      <c r="AX379" t="inlineStr">
        <is>
          <t>389958</t>
        </is>
      </c>
      <c r="AY379" t="inlineStr">
        <is>
          <t>991002657439702656</t>
        </is>
      </c>
      <c r="AZ379" t="inlineStr">
        <is>
          <t>991002657439702656</t>
        </is>
      </c>
      <c r="BA379" t="inlineStr">
        <is>
          <t>2256522110002656</t>
        </is>
      </c>
      <c r="BB379" t="inlineStr">
        <is>
          <t>BOOK</t>
        </is>
      </c>
      <c r="BD379" t="inlineStr">
        <is>
          <t>9780070723405</t>
        </is>
      </c>
      <c r="BE379" t="inlineStr">
        <is>
          <t>32285002013315</t>
        </is>
      </c>
      <c r="BF379" t="inlineStr">
        <is>
          <t>893904008</t>
        </is>
      </c>
    </row>
    <row r="380">
      <c r="B380" t="inlineStr">
        <is>
          <t>CURAL</t>
        </is>
      </c>
      <c r="C380" t="inlineStr">
        <is>
          <t>SHELVES</t>
        </is>
      </c>
      <c r="D380" t="inlineStr">
        <is>
          <t>KF9223 .C69 1985</t>
        </is>
      </c>
      <c r="E380" t="inlineStr">
        <is>
          <t>0                      KF 9223000C  69          1985</t>
        </is>
      </c>
      <c r="F380" t="inlineStr">
        <is>
          <t>Courts and criminal justice : emerging issues / edited by Susette M. Talarico.</t>
        </is>
      </c>
      <c r="H380" t="inlineStr">
        <is>
          <t>No</t>
        </is>
      </c>
      <c r="I380" t="inlineStr">
        <is>
          <t>1</t>
        </is>
      </c>
      <c r="J380" t="inlineStr">
        <is>
          <t>No</t>
        </is>
      </c>
      <c r="K380" t="inlineStr">
        <is>
          <t>No</t>
        </is>
      </c>
      <c r="L380" t="inlineStr">
        <is>
          <t>0</t>
        </is>
      </c>
      <c r="N380" t="inlineStr">
        <is>
          <t>Beverly Hills, Calif. : Sage Publications, c1985.</t>
        </is>
      </c>
      <c r="O380" t="inlineStr">
        <is>
          <t>1985</t>
        </is>
      </c>
      <c r="Q380" t="inlineStr">
        <is>
          <t>eng</t>
        </is>
      </c>
      <c r="R380" t="inlineStr">
        <is>
          <t>cau</t>
        </is>
      </c>
      <c r="S380" t="inlineStr">
        <is>
          <t>Perspectives in criminal justice ; 9</t>
        </is>
      </c>
      <c r="T380" t="inlineStr">
        <is>
          <t xml:space="preserve">KF </t>
        </is>
      </c>
      <c r="U380" t="n">
        <v>8</v>
      </c>
      <c r="V380" t="n">
        <v>8</v>
      </c>
      <c r="W380" t="inlineStr">
        <is>
          <t>2000-12-02</t>
        </is>
      </c>
      <c r="X380" t="inlineStr">
        <is>
          <t>2000-12-02</t>
        </is>
      </c>
      <c r="Y380" t="inlineStr">
        <is>
          <t>1992-07-27</t>
        </is>
      </c>
      <c r="Z380" t="inlineStr">
        <is>
          <t>1992-07-27</t>
        </is>
      </c>
      <c r="AA380" t="n">
        <v>273</v>
      </c>
      <c r="AB380" t="n">
        <v>233</v>
      </c>
      <c r="AC380" t="n">
        <v>234</v>
      </c>
      <c r="AD380" t="n">
        <v>4</v>
      </c>
      <c r="AE380" t="n">
        <v>4</v>
      </c>
      <c r="AF380" t="n">
        <v>12</v>
      </c>
      <c r="AG380" t="n">
        <v>12</v>
      </c>
      <c r="AH380" t="n">
        <v>1</v>
      </c>
      <c r="AI380" t="n">
        <v>1</v>
      </c>
      <c r="AJ380" t="n">
        <v>3</v>
      </c>
      <c r="AK380" t="n">
        <v>3</v>
      </c>
      <c r="AL380" t="n">
        <v>4</v>
      </c>
      <c r="AM380" t="n">
        <v>4</v>
      </c>
      <c r="AN380" t="n">
        <v>3</v>
      </c>
      <c r="AO380" t="n">
        <v>3</v>
      </c>
      <c r="AP380" t="n">
        <v>3</v>
      </c>
      <c r="AQ380" t="n">
        <v>3</v>
      </c>
      <c r="AR380" t="inlineStr">
        <is>
          <t>No</t>
        </is>
      </c>
      <c r="AS380" t="inlineStr">
        <is>
          <t>Yes</t>
        </is>
      </c>
      <c r="AT380">
        <f>HYPERLINK("http://catalog.hathitrust.org/Record/004509899","HathiTrust Record")</f>
        <v/>
      </c>
      <c r="AU380">
        <f>HYPERLINK("https://creighton-primo.hosted.exlibrisgroup.com/primo-explore/search?tab=default_tab&amp;search_scope=EVERYTHING&amp;vid=01CRU&amp;lang=en_US&amp;offset=0&amp;query=any,contains,991000561999702656","Catalog Record")</f>
        <v/>
      </c>
      <c r="AV380">
        <f>HYPERLINK("http://www.worldcat.org/oclc/11599080","WorldCat Record")</f>
        <v/>
      </c>
      <c r="AW380" t="inlineStr">
        <is>
          <t>836698091:eng</t>
        </is>
      </c>
      <c r="AX380" t="inlineStr">
        <is>
          <t>11599080</t>
        </is>
      </c>
      <c r="AY380" t="inlineStr">
        <is>
          <t>991000561999702656</t>
        </is>
      </c>
      <c r="AZ380" t="inlineStr">
        <is>
          <t>991000561999702656</t>
        </is>
      </c>
      <c r="BA380" t="inlineStr">
        <is>
          <t>2261491810002656</t>
        </is>
      </c>
      <c r="BB380" t="inlineStr">
        <is>
          <t>BOOK</t>
        </is>
      </c>
      <c r="BD380" t="inlineStr">
        <is>
          <t>9780803924390</t>
        </is>
      </c>
      <c r="BE380" t="inlineStr">
        <is>
          <t>32285001230647</t>
        </is>
      </c>
      <c r="BF380" t="inlineStr">
        <is>
          <t>893784340</t>
        </is>
      </c>
    </row>
    <row r="381">
      <c r="B381" t="inlineStr">
        <is>
          <t>CURAL</t>
        </is>
      </c>
      <c r="C381" t="inlineStr">
        <is>
          <t>SHELVES</t>
        </is>
      </c>
      <c r="D381" t="inlineStr">
        <is>
          <t>KF9223 .F75 1993</t>
        </is>
      </c>
      <c r="E381" t="inlineStr">
        <is>
          <t>0                      KF 9223000F  75          1993</t>
        </is>
      </c>
      <c r="F381" t="inlineStr">
        <is>
          <t>Crime and punishment in American history / Lawrence M. Friedman.</t>
        </is>
      </c>
      <c r="H381" t="inlineStr">
        <is>
          <t>No</t>
        </is>
      </c>
      <c r="I381" t="inlineStr">
        <is>
          <t>1</t>
        </is>
      </c>
      <c r="J381" t="inlineStr">
        <is>
          <t>Yes</t>
        </is>
      </c>
      <c r="K381" t="inlineStr">
        <is>
          <t>No</t>
        </is>
      </c>
      <c r="L381" t="inlineStr">
        <is>
          <t>0</t>
        </is>
      </c>
      <c r="M381" t="inlineStr">
        <is>
          <t>Friedman, Lawrence M. (Lawrence Meir), 1930-</t>
        </is>
      </c>
      <c r="N381" t="inlineStr">
        <is>
          <t>New York : BasicBooks, c1993.</t>
        </is>
      </c>
      <c r="O381" t="inlineStr">
        <is>
          <t>1993</t>
        </is>
      </c>
      <c r="Q381" t="inlineStr">
        <is>
          <t>eng</t>
        </is>
      </c>
      <c r="R381" t="inlineStr">
        <is>
          <t>nyu</t>
        </is>
      </c>
      <c r="T381" t="inlineStr">
        <is>
          <t xml:space="preserve">KF </t>
        </is>
      </c>
      <c r="U381" t="n">
        <v>4</v>
      </c>
      <c r="V381" t="n">
        <v>5</v>
      </c>
      <c r="W381" t="inlineStr">
        <is>
          <t>2003-04-23</t>
        </is>
      </c>
      <c r="X381" t="inlineStr">
        <is>
          <t>2003-04-23</t>
        </is>
      </c>
      <c r="Y381" t="inlineStr">
        <is>
          <t>1995-05-22</t>
        </is>
      </c>
      <c r="Z381" t="inlineStr">
        <is>
          <t>1995-05-22</t>
        </is>
      </c>
      <c r="AA381" t="n">
        <v>2119</v>
      </c>
      <c r="AB381" t="n">
        <v>1994</v>
      </c>
      <c r="AC381" t="n">
        <v>2203</v>
      </c>
      <c r="AD381" t="n">
        <v>16</v>
      </c>
      <c r="AE381" t="n">
        <v>19</v>
      </c>
      <c r="AF381" t="n">
        <v>66</v>
      </c>
      <c r="AG381" t="n">
        <v>75</v>
      </c>
      <c r="AH381" t="n">
        <v>19</v>
      </c>
      <c r="AI381" t="n">
        <v>23</v>
      </c>
      <c r="AJ381" t="n">
        <v>9</v>
      </c>
      <c r="AK381" t="n">
        <v>11</v>
      </c>
      <c r="AL381" t="n">
        <v>19</v>
      </c>
      <c r="AM381" t="n">
        <v>20</v>
      </c>
      <c r="AN381" t="n">
        <v>9</v>
      </c>
      <c r="AO381" t="n">
        <v>11</v>
      </c>
      <c r="AP381" t="n">
        <v>22</v>
      </c>
      <c r="AQ381" t="n">
        <v>23</v>
      </c>
      <c r="AR381" t="inlineStr">
        <is>
          <t>No</t>
        </is>
      </c>
      <c r="AS381" t="inlineStr">
        <is>
          <t>Yes</t>
        </is>
      </c>
      <c r="AT381">
        <f>HYPERLINK("http://catalog.hathitrust.org/Record/002718043","HathiTrust Record")</f>
        <v/>
      </c>
      <c r="AU381">
        <f>HYPERLINK("https://creighton-primo.hosted.exlibrisgroup.com/primo-explore/search?tab=default_tab&amp;search_scope=EVERYTHING&amp;vid=01CRU&amp;lang=en_US&amp;offset=0&amp;query=any,contains,991001656519702656","Catalog Record")</f>
        <v/>
      </c>
      <c r="AV381">
        <f>HYPERLINK("http://www.worldcat.org/oclc/27174158","WorldCat Record")</f>
        <v/>
      </c>
      <c r="AW381" t="inlineStr">
        <is>
          <t>339873:eng</t>
        </is>
      </c>
      <c r="AX381" t="inlineStr">
        <is>
          <t>27174158</t>
        </is>
      </c>
      <c r="AY381" t="inlineStr">
        <is>
          <t>991001656519702656</t>
        </is>
      </c>
      <c r="AZ381" t="inlineStr">
        <is>
          <t>991001656519702656</t>
        </is>
      </c>
      <c r="BA381" t="inlineStr">
        <is>
          <t>2270228880002656</t>
        </is>
      </c>
      <c r="BB381" t="inlineStr">
        <is>
          <t>BOOK</t>
        </is>
      </c>
      <c r="BD381" t="inlineStr">
        <is>
          <t>9780465014613</t>
        </is>
      </c>
      <c r="BE381" t="inlineStr">
        <is>
          <t>32285002046307</t>
        </is>
      </c>
      <c r="BF381" t="inlineStr">
        <is>
          <t>893522720</t>
        </is>
      </c>
    </row>
    <row r="382">
      <c r="B382" t="inlineStr">
        <is>
          <t>CURAL</t>
        </is>
      </c>
      <c r="C382" t="inlineStr">
        <is>
          <t>SHELVES</t>
        </is>
      </c>
      <c r="D382" t="inlineStr">
        <is>
          <t>KF9223 .K3</t>
        </is>
      </c>
      <c r="E382" t="inlineStr">
        <is>
          <t>0                      KF 9223000K  3</t>
        </is>
      </c>
      <c r="F382" t="inlineStr">
        <is>
          <t>Anglo-American criminal justice, by Delmar Karlen in collaboration with Geoffrey Sawer and Edward M. Wise.</t>
        </is>
      </c>
      <c r="H382" t="inlineStr">
        <is>
          <t>No</t>
        </is>
      </c>
      <c r="I382" t="inlineStr">
        <is>
          <t>1</t>
        </is>
      </c>
      <c r="J382" t="inlineStr">
        <is>
          <t>No</t>
        </is>
      </c>
      <c r="K382" t="inlineStr">
        <is>
          <t>Yes</t>
        </is>
      </c>
      <c r="L382" t="inlineStr">
        <is>
          <t>0</t>
        </is>
      </c>
      <c r="M382" t="inlineStr">
        <is>
          <t>Karlen, Delmar.</t>
        </is>
      </c>
      <c r="N382" t="inlineStr">
        <is>
          <t>New York, Oxford University Press, 1967.</t>
        </is>
      </c>
      <c r="O382" t="inlineStr">
        <is>
          <t>1967</t>
        </is>
      </c>
      <c r="Q382" t="inlineStr">
        <is>
          <t>eng</t>
        </is>
      </c>
      <c r="R382" t="inlineStr">
        <is>
          <t>nyu</t>
        </is>
      </c>
      <c r="T382" t="inlineStr">
        <is>
          <t xml:space="preserve">KF </t>
        </is>
      </c>
      <c r="U382" t="n">
        <v>2</v>
      </c>
      <c r="V382" t="n">
        <v>2</v>
      </c>
      <c r="W382" t="inlineStr">
        <is>
          <t>2003-04-23</t>
        </is>
      </c>
      <c r="X382" t="inlineStr">
        <is>
          <t>2003-04-23</t>
        </is>
      </c>
      <c r="Y382" t="inlineStr">
        <is>
          <t>1997-04-21</t>
        </is>
      </c>
      <c r="Z382" t="inlineStr">
        <is>
          <t>1997-04-21</t>
        </is>
      </c>
      <c r="AA382" t="n">
        <v>230</v>
      </c>
      <c r="AB382" t="n">
        <v>222</v>
      </c>
      <c r="AC382" t="n">
        <v>572</v>
      </c>
      <c r="AD382" t="n">
        <v>6</v>
      </c>
      <c r="AE382" t="n">
        <v>9</v>
      </c>
      <c r="AF382" t="n">
        <v>19</v>
      </c>
      <c r="AG382" t="n">
        <v>48</v>
      </c>
      <c r="AH382" t="n">
        <v>3</v>
      </c>
      <c r="AI382" t="n">
        <v>6</v>
      </c>
      <c r="AJ382" t="n">
        <v>0</v>
      </c>
      <c r="AK382" t="n">
        <v>6</v>
      </c>
      <c r="AL382" t="n">
        <v>5</v>
      </c>
      <c r="AM382" t="n">
        <v>15</v>
      </c>
      <c r="AN382" t="n">
        <v>4</v>
      </c>
      <c r="AO382" t="n">
        <v>6</v>
      </c>
      <c r="AP382" t="n">
        <v>7</v>
      </c>
      <c r="AQ382" t="n">
        <v>20</v>
      </c>
      <c r="AR382" t="inlineStr">
        <is>
          <t>No</t>
        </is>
      </c>
      <c r="AS382" t="inlineStr">
        <is>
          <t>No</t>
        </is>
      </c>
      <c r="AU382">
        <f>HYPERLINK("https://creighton-primo.hosted.exlibrisgroup.com/primo-explore/search?tab=default_tab&amp;search_scope=EVERYTHING&amp;vid=01CRU&amp;lang=en_US&amp;offset=0&amp;query=any,contains,991004027399702656","Catalog Record")</f>
        <v/>
      </c>
      <c r="AV382">
        <f>HYPERLINK("http://www.worldcat.org/oclc/2140184","WorldCat Record")</f>
        <v/>
      </c>
      <c r="AW382" t="inlineStr">
        <is>
          <t>1311141:eng</t>
        </is>
      </c>
      <c r="AX382" t="inlineStr">
        <is>
          <t>2140184</t>
        </is>
      </c>
      <c r="AY382" t="inlineStr">
        <is>
          <t>991004027399702656</t>
        </is>
      </c>
      <c r="AZ382" t="inlineStr">
        <is>
          <t>991004027399702656</t>
        </is>
      </c>
      <c r="BA382" t="inlineStr">
        <is>
          <t>2258797730002656</t>
        </is>
      </c>
      <c r="BB382" t="inlineStr">
        <is>
          <t>BOOK</t>
        </is>
      </c>
      <c r="BE382" t="inlineStr">
        <is>
          <t>32285002553930</t>
        </is>
      </c>
      <c r="BF382" t="inlineStr">
        <is>
          <t>893429573</t>
        </is>
      </c>
    </row>
    <row r="383">
      <c r="B383" t="inlineStr">
        <is>
          <t>CURAL</t>
        </is>
      </c>
      <c r="C383" t="inlineStr">
        <is>
          <t>SHELVES</t>
        </is>
      </c>
      <c r="D383" t="inlineStr">
        <is>
          <t>KF9223 .W43 1976</t>
        </is>
      </c>
      <c r="E383" t="inlineStr">
        <is>
          <t>0                      KF 9223000W  43          1976</t>
        </is>
      </c>
      <c r="F383" t="inlineStr">
        <is>
          <t>Criminal justice : introduction and guidelines = a revision of Law enforcement and criminal justice : an introduction / Paul B. Weston, Kenneth M. Wells.</t>
        </is>
      </c>
      <c r="H383" t="inlineStr">
        <is>
          <t>No</t>
        </is>
      </c>
      <c r="I383" t="inlineStr">
        <is>
          <t>1</t>
        </is>
      </c>
      <c r="J383" t="inlineStr">
        <is>
          <t>No</t>
        </is>
      </c>
      <c r="K383" t="inlineStr">
        <is>
          <t>No</t>
        </is>
      </c>
      <c r="L383" t="inlineStr">
        <is>
          <t>0</t>
        </is>
      </c>
      <c r="M383" t="inlineStr">
        <is>
          <t>Weston, Paul B.</t>
        </is>
      </c>
      <c r="N383" t="inlineStr">
        <is>
          <t>Pacific Palisades, Calif. : Goodyear Pub. Co., c1976.</t>
        </is>
      </c>
      <c r="O383" t="inlineStr">
        <is>
          <t>1976</t>
        </is>
      </c>
      <c r="Q383" t="inlineStr">
        <is>
          <t>eng</t>
        </is>
      </c>
      <c r="R383" t="inlineStr">
        <is>
          <t>cau</t>
        </is>
      </c>
      <c r="T383" t="inlineStr">
        <is>
          <t xml:space="preserve">KF </t>
        </is>
      </c>
      <c r="U383" t="n">
        <v>15</v>
      </c>
      <c r="V383" t="n">
        <v>15</v>
      </c>
      <c r="W383" t="inlineStr">
        <is>
          <t>2003-12-03</t>
        </is>
      </c>
      <c r="X383" t="inlineStr">
        <is>
          <t>2003-12-03</t>
        </is>
      </c>
      <c r="Y383" t="inlineStr">
        <is>
          <t>1992-05-05</t>
        </is>
      </c>
      <c r="Z383" t="inlineStr">
        <is>
          <t>1992-05-05</t>
        </is>
      </c>
      <c r="AA383" t="n">
        <v>148</v>
      </c>
      <c r="AB383" t="n">
        <v>136</v>
      </c>
      <c r="AC383" t="n">
        <v>137</v>
      </c>
      <c r="AD383" t="n">
        <v>1</v>
      </c>
      <c r="AE383" t="n">
        <v>1</v>
      </c>
      <c r="AF383" t="n">
        <v>3</v>
      </c>
      <c r="AG383" t="n">
        <v>3</v>
      </c>
      <c r="AH383" t="n">
        <v>0</v>
      </c>
      <c r="AI383" t="n">
        <v>0</v>
      </c>
      <c r="AJ383" t="n">
        <v>1</v>
      </c>
      <c r="AK383" t="n">
        <v>1</v>
      </c>
      <c r="AL383" t="n">
        <v>2</v>
      </c>
      <c r="AM383" t="n">
        <v>2</v>
      </c>
      <c r="AN383" t="n">
        <v>0</v>
      </c>
      <c r="AO383" t="n">
        <v>0</v>
      </c>
      <c r="AP383" t="n">
        <v>1</v>
      </c>
      <c r="AQ383" t="n">
        <v>1</v>
      </c>
      <c r="AR383" t="inlineStr">
        <is>
          <t>No</t>
        </is>
      </c>
      <c r="AS383" t="inlineStr">
        <is>
          <t>No</t>
        </is>
      </c>
      <c r="AU383">
        <f>HYPERLINK("https://creighton-primo.hosted.exlibrisgroup.com/primo-explore/search?tab=default_tab&amp;search_scope=EVERYTHING&amp;vid=01CRU&amp;lang=en_US&amp;offset=0&amp;query=any,contains,991003802969702656","Catalog Record")</f>
        <v/>
      </c>
      <c r="AV383">
        <f>HYPERLINK("http://www.worldcat.org/oclc/1529009","WorldCat Record")</f>
        <v/>
      </c>
      <c r="AW383" t="inlineStr">
        <is>
          <t>1052307538:eng</t>
        </is>
      </c>
      <c r="AX383" t="inlineStr">
        <is>
          <t>1529009</t>
        </is>
      </c>
      <c r="AY383" t="inlineStr">
        <is>
          <t>991003802969702656</t>
        </is>
      </c>
      <c r="AZ383" t="inlineStr">
        <is>
          <t>991003802969702656</t>
        </is>
      </c>
      <c r="BA383" t="inlineStr">
        <is>
          <t>2259716670002656</t>
        </is>
      </c>
      <c r="BB383" t="inlineStr">
        <is>
          <t>BOOK</t>
        </is>
      </c>
      <c r="BD383" t="inlineStr">
        <is>
          <t>9780876201695</t>
        </is>
      </c>
      <c r="BE383" t="inlineStr">
        <is>
          <t>32285001093821</t>
        </is>
      </c>
      <c r="BF383" t="inlineStr">
        <is>
          <t>893349165</t>
        </is>
      </c>
    </row>
    <row r="384">
      <c r="B384" t="inlineStr">
        <is>
          <t>CURAL</t>
        </is>
      </c>
      <c r="C384" t="inlineStr">
        <is>
          <t>SHELVES</t>
        </is>
      </c>
      <c r="D384" t="inlineStr">
        <is>
          <t>KF9223.5 .F44</t>
        </is>
      </c>
      <c r="E384" t="inlineStr">
        <is>
          <t>0                      KF 9223500F  44</t>
        </is>
      </c>
      <c r="F384" t="inlineStr">
        <is>
          <t>The press in the jury box [by] Howard Felsher and Michael Rosen.</t>
        </is>
      </c>
      <c r="H384" t="inlineStr">
        <is>
          <t>No</t>
        </is>
      </c>
      <c r="I384" t="inlineStr">
        <is>
          <t>1</t>
        </is>
      </c>
      <c r="J384" t="inlineStr">
        <is>
          <t>No</t>
        </is>
      </c>
      <c r="K384" t="inlineStr">
        <is>
          <t>No</t>
        </is>
      </c>
      <c r="L384" t="inlineStr">
        <is>
          <t>0</t>
        </is>
      </c>
      <c r="M384" t="inlineStr">
        <is>
          <t>Felsher, Howard.</t>
        </is>
      </c>
      <c r="N384" t="inlineStr">
        <is>
          <t>New York, Macmillan [c1966]</t>
        </is>
      </c>
      <c r="O384" t="inlineStr">
        <is>
          <t>1966</t>
        </is>
      </c>
      <c r="Q384" t="inlineStr">
        <is>
          <t>eng</t>
        </is>
      </c>
      <c r="R384" t="inlineStr">
        <is>
          <t>nyu</t>
        </is>
      </c>
      <c r="T384" t="inlineStr">
        <is>
          <t xml:space="preserve">KF </t>
        </is>
      </c>
      <c r="U384" t="n">
        <v>2</v>
      </c>
      <c r="V384" t="n">
        <v>2</v>
      </c>
      <c r="W384" t="inlineStr">
        <is>
          <t>2003-03-02</t>
        </is>
      </c>
      <c r="X384" t="inlineStr">
        <is>
          <t>2003-03-02</t>
        </is>
      </c>
      <c r="Y384" t="inlineStr">
        <is>
          <t>1997-04-21</t>
        </is>
      </c>
      <c r="Z384" t="inlineStr">
        <is>
          <t>1997-04-21</t>
        </is>
      </c>
      <c r="AA384" t="n">
        <v>703</v>
      </c>
      <c r="AB384" t="n">
        <v>661</v>
      </c>
      <c r="AC384" t="n">
        <v>666</v>
      </c>
      <c r="AD384" t="n">
        <v>5</v>
      </c>
      <c r="AE384" t="n">
        <v>5</v>
      </c>
      <c r="AF384" t="n">
        <v>39</v>
      </c>
      <c r="AG384" t="n">
        <v>39</v>
      </c>
      <c r="AH384" t="n">
        <v>11</v>
      </c>
      <c r="AI384" t="n">
        <v>11</v>
      </c>
      <c r="AJ384" t="n">
        <v>6</v>
      </c>
      <c r="AK384" t="n">
        <v>6</v>
      </c>
      <c r="AL384" t="n">
        <v>11</v>
      </c>
      <c r="AM384" t="n">
        <v>11</v>
      </c>
      <c r="AN384" t="n">
        <v>2</v>
      </c>
      <c r="AO384" t="n">
        <v>2</v>
      </c>
      <c r="AP384" t="n">
        <v>16</v>
      </c>
      <c r="AQ384" t="n">
        <v>16</v>
      </c>
      <c r="AR384" t="inlineStr">
        <is>
          <t>No</t>
        </is>
      </c>
      <c r="AS384" t="inlineStr">
        <is>
          <t>Yes</t>
        </is>
      </c>
      <c r="AT384">
        <f>HYPERLINK("http://catalog.hathitrust.org/Record/001013008","HathiTrust Record")</f>
        <v/>
      </c>
      <c r="AU384">
        <f>HYPERLINK("https://creighton-primo.hosted.exlibrisgroup.com/primo-explore/search?tab=default_tab&amp;search_scope=EVERYTHING&amp;vid=01CRU&amp;lang=en_US&amp;offset=0&amp;query=any,contains,991002883719702656","Catalog Record")</f>
        <v/>
      </c>
      <c r="AV384">
        <f>HYPERLINK("http://www.worldcat.org/oclc/507190","WorldCat Record")</f>
        <v/>
      </c>
      <c r="AW384" t="inlineStr">
        <is>
          <t>1455140:eng</t>
        </is>
      </c>
      <c r="AX384" t="inlineStr">
        <is>
          <t>507190</t>
        </is>
      </c>
      <c r="AY384" t="inlineStr">
        <is>
          <t>991002883719702656</t>
        </is>
      </c>
      <c r="AZ384" t="inlineStr">
        <is>
          <t>991002883719702656</t>
        </is>
      </c>
      <c r="BA384" t="inlineStr">
        <is>
          <t>2260642200002656</t>
        </is>
      </c>
      <c r="BB384" t="inlineStr">
        <is>
          <t>BOOK</t>
        </is>
      </c>
      <c r="BE384" t="inlineStr">
        <is>
          <t>32285002553971</t>
        </is>
      </c>
      <c r="BF384" t="inlineStr">
        <is>
          <t>893409672</t>
        </is>
      </c>
    </row>
    <row r="385">
      <c r="B385" t="inlineStr">
        <is>
          <t>CURAL</t>
        </is>
      </c>
      <c r="C385" t="inlineStr">
        <is>
          <t>SHELVES</t>
        </is>
      </c>
      <c r="D385" t="inlineStr">
        <is>
          <t>KF9223.5 .G44 1983</t>
        </is>
      </c>
      <c r="E385" t="inlineStr">
        <is>
          <t>0                      KF 9223500G  44          1983</t>
        </is>
      </c>
      <c r="F385" t="inlineStr">
        <is>
          <t>News of crime : courts and press in conflict / J. Edward Gerald.</t>
        </is>
      </c>
      <c r="H385" t="inlineStr">
        <is>
          <t>No</t>
        </is>
      </c>
      <c r="I385" t="inlineStr">
        <is>
          <t>1</t>
        </is>
      </c>
      <c r="J385" t="inlineStr">
        <is>
          <t>No</t>
        </is>
      </c>
      <c r="K385" t="inlineStr">
        <is>
          <t>No</t>
        </is>
      </c>
      <c r="L385" t="inlineStr">
        <is>
          <t>0</t>
        </is>
      </c>
      <c r="M385" t="inlineStr">
        <is>
          <t>Gerald, J. Edward.</t>
        </is>
      </c>
      <c r="N385" t="inlineStr">
        <is>
          <t>Westport, Conn. : Greenwood Press, 1983.</t>
        </is>
      </c>
      <c r="O385" t="inlineStr">
        <is>
          <t>1983</t>
        </is>
      </c>
      <c r="Q385" t="inlineStr">
        <is>
          <t>eng</t>
        </is>
      </c>
      <c r="R385" t="inlineStr">
        <is>
          <t>ctu</t>
        </is>
      </c>
      <c r="S385" t="inlineStr">
        <is>
          <t>Contributions to the study of mass media and communications, 0732-4456 ; no. 1</t>
        </is>
      </c>
      <c r="T385" t="inlineStr">
        <is>
          <t xml:space="preserve">KF </t>
        </is>
      </c>
      <c r="U385" t="n">
        <v>13</v>
      </c>
      <c r="V385" t="n">
        <v>13</v>
      </c>
      <c r="W385" t="inlineStr">
        <is>
          <t>2003-04-25</t>
        </is>
      </c>
      <c r="X385" t="inlineStr">
        <is>
          <t>2003-04-25</t>
        </is>
      </c>
      <c r="Y385" t="inlineStr">
        <is>
          <t>1993-07-26</t>
        </is>
      </c>
      <c r="Z385" t="inlineStr">
        <is>
          <t>1993-07-26</t>
        </is>
      </c>
      <c r="AA385" t="n">
        <v>633</v>
      </c>
      <c r="AB385" t="n">
        <v>565</v>
      </c>
      <c r="AC385" t="n">
        <v>576</v>
      </c>
      <c r="AD385" t="n">
        <v>8</v>
      </c>
      <c r="AE385" t="n">
        <v>8</v>
      </c>
      <c r="AF385" t="n">
        <v>45</v>
      </c>
      <c r="AG385" t="n">
        <v>45</v>
      </c>
      <c r="AH385" t="n">
        <v>14</v>
      </c>
      <c r="AI385" t="n">
        <v>14</v>
      </c>
      <c r="AJ385" t="n">
        <v>4</v>
      </c>
      <c r="AK385" t="n">
        <v>4</v>
      </c>
      <c r="AL385" t="n">
        <v>11</v>
      </c>
      <c r="AM385" t="n">
        <v>11</v>
      </c>
      <c r="AN385" t="n">
        <v>6</v>
      </c>
      <c r="AO385" t="n">
        <v>6</v>
      </c>
      <c r="AP385" t="n">
        <v>17</v>
      </c>
      <c r="AQ385" t="n">
        <v>17</v>
      </c>
      <c r="AR385" t="inlineStr">
        <is>
          <t>No</t>
        </is>
      </c>
      <c r="AS385" t="inlineStr">
        <is>
          <t>Yes</t>
        </is>
      </c>
      <c r="AT385">
        <f>HYPERLINK("http://catalog.hathitrust.org/Record/000471082","HathiTrust Record")</f>
        <v/>
      </c>
      <c r="AU385">
        <f>HYPERLINK("https://creighton-primo.hosted.exlibrisgroup.com/primo-explore/search?tab=default_tab&amp;search_scope=EVERYTHING&amp;vid=01CRU&amp;lang=en_US&amp;offset=0&amp;query=any,contains,991000233639702656","Catalog Record")</f>
        <v/>
      </c>
      <c r="AV385">
        <f>HYPERLINK("http://www.worldcat.org/oclc/9645669","WorldCat Record")</f>
        <v/>
      </c>
      <c r="AW385" t="inlineStr">
        <is>
          <t>836622093:eng</t>
        </is>
      </c>
      <c r="AX385" t="inlineStr">
        <is>
          <t>9645669</t>
        </is>
      </c>
      <c r="AY385" t="inlineStr">
        <is>
          <t>991000233639702656</t>
        </is>
      </c>
      <c r="AZ385" t="inlineStr">
        <is>
          <t>991000233639702656</t>
        </is>
      </c>
      <c r="BA385" t="inlineStr">
        <is>
          <t>2269565770002656</t>
        </is>
      </c>
      <c r="BB385" t="inlineStr">
        <is>
          <t>BOOK</t>
        </is>
      </c>
      <c r="BD385" t="inlineStr">
        <is>
          <t>9780313238765</t>
        </is>
      </c>
      <c r="BE385" t="inlineStr">
        <is>
          <t>32285001745941</t>
        </is>
      </c>
      <c r="BF385" t="inlineStr">
        <is>
          <t>893339406</t>
        </is>
      </c>
    </row>
    <row r="386">
      <c r="B386" t="inlineStr">
        <is>
          <t>CURAL</t>
        </is>
      </c>
      <c r="C386" t="inlineStr">
        <is>
          <t>SHELVES</t>
        </is>
      </c>
      <c r="D386" t="inlineStr">
        <is>
          <t>KF9223.5.A75 S5</t>
        </is>
      </c>
      <c r="E386" t="inlineStr">
        <is>
          <t>0                      KF 9223500A  75                 S  5</t>
        </is>
      </c>
      <c r="F386" t="inlineStr">
        <is>
          <t>Free press and fair trial : some dimensions of the problem / [by] Fred S. Siebert, Walter Wilcox [and] George Hough, III. Edited by Chilton R. Bush.</t>
        </is>
      </c>
      <c r="H386" t="inlineStr">
        <is>
          <t>No</t>
        </is>
      </c>
      <c r="I386" t="inlineStr">
        <is>
          <t>1</t>
        </is>
      </c>
      <c r="J386" t="inlineStr">
        <is>
          <t>No</t>
        </is>
      </c>
      <c r="K386" t="inlineStr">
        <is>
          <t>No</t>
        </is>
      </c>
      <c r="L386" t="inlineStr">
        <is>
          <t>0</t>
        </is>
      </c>
      <c r="M386" t="inlineStr">
        <is>
          <t>Siebert, Fred S. (Fred Seaton), 1901-1982.</t>
        </is>
      </c>
      <c r="N386" t="inlineStr">
        <is>
          <t>Athens : University of Georgia Press, [c1970]</t>
        </is>
      </c>
      <c r="O386" t="inlineStr">
        <is>
          <t>1970</t>
        </is>
      </c>
      <c r="Q386" t="inlineStr">
        <is>
          <t>eng</t>
        </is>
      </c>
      <c r="R386" t="inlineStr">
        <is>
          <t>gau</t>
        </is>
      </c>
      <c r="T386" t="inlineStr">
        <is>
          <t xml:space="preserve">KF </t>
        </is>
      </c>
      <c r="U386" t="n">
        <v>16</v>
      </c>
      <c r="V386" t="n">
        <v>16</v>
      </c>
      <c r="W386" t="inlineStr">
        <is>
          <t>2003-03-02</t>
        </is>
      </c>
      <c r="X386" t="inlineStr">
        <is>
          <t>2003-03-02</t>
        </is>
      </c>
      <c r="Y386" t="inlineStr">
        <is>
          <t>1991-12-23</t>
        </is>
      </c>
      <c r="Z386" t="inlineStr">
        <is>
          <t>1991-12-23</t>
        </is>
      </c>
      <c r="AA386" t="n">
        <v>591</v>
      </c>
      <c r="AB386" t="n">
        <v>545</v>
      </c>
      <c r="AC386" t="n">
        <v>548</v>
      </c>
      <c r="AD386" t="n">
        <v>7</v>
      </c>
      <c r="AE386" t="n">
        <v>7</v>
      </c>
      <c r="AF386" t="n">
        <v>32</v>
      </c>
      <c r="AG386" t="n">
        <v>32</v>
      </c>
      <c r="AH386" t="n">
        <v>9</v>
      </c>
      <c r="AI386" t="n">
        <v>9</v>
      </c>
      <c r="AJ386" t="n">
        <v>6</v>
      </c>
      <c r="AK386" t="n">
        <v>6</v>
      </c>
      <c r="AL386" t="n">
        <v>12</v>
      </c>
      <c r="AM386" t="n">
        <v>12</v>
      </c>
      <c r="AN386" t="n">
        <v>5</v>
      </c>
      <c r="AO386" t="n">
        <v>5</v>
      </c>
      <c r="AP386" t="n">
        <v>6</v>
      </c>
      <c r="AQ386" t="n">
        <v>6</v>
      </c>
      <c r="AR386" t="inlineStr">
        <is>
          <t>No</t>
        </is>
      </c>
      <c r="AS386" t="inlineStr">
        <is>
          <t>Yes</t>
        </is>
      </c>
      <c r="AT386">
        <f>HYPERLINK("http://catalog.hathitrust.org/Record/001278721","HathiTrust Record")</f>
        <v/>
      </c>
      <c r="AU386">
        <f>HYPERLINK("https://creighton-primo.hosted.exlibrisgroup.com/primo-explore/search?tab=default_tab&amp;search_scope=EVERYTHING&amp;vid=01CRU&amp;lang=en_US&amp;offset=0&amp;query=any,contains,991001380289702656","Catalog Record")</f>
        <v/>
      </c>
      <c r="AV386">
        <f>HYPERLINK("http://www.worldcat.org/oclc/226128","WorldCat Record")</f>
        <v/>
      </c>
      <c r="AW386" t="inlineStr">
        <is>
          <t>346218713:eng</t>
        </is>
      </c>
      <c r="AX386" t="inlineStr">
        <is>
          <t>226128</t>
        </is>
      </c>
      <c r="AY386" t="inlineStr">
        <is>
          <t>991001380289702656</t>
        </is>
      </c>
      <c r="AZ386" t="inlineStr">
        <is>
          <t>991001380289702656</t>
        </is>
      </c>
      <c r="BA386" t="inlineStr">
        <is>
          <t>2263130680002656</t>
        </is>
      </c>
      <c r="BB386" t="inlineStr">
        <is>
          <t>BOOK</t>
        </is>
      </c>
      <c r="BE386" t="inlineStr">
        <is>
          <t>32285000901347</t>
        </is>
      </c>
      <c r="BF386" t="inlineStr">
        <is>
          <t>893621297</t>
        </is>
      </c>
    </row>
    <row r="387">
      <c r="B387" t="inlineStr">
        <is>
          <t>CURAL</t>
        </is>
      </c>
      <c r="C387" t="inlineStr">
        <is>
          <t>SHELVES</t>
        </is>
      </c>
      <c r="D387" t="inlineStr">
        <is>
          <t>KF9223.5.J8 L6</t>
        </is>
      </c>
      <c r="E387" t="inlineStr">
        <is>
          <t>0                      KF 9223500J  8                  L  6</t>
        </is>
      </c>
      <c r="F387" t="inlineStr">
        <is>
          <t>Justice and the press / by John Lofton.</t>
        </is>
      </c>
      <c r="H387" t="inlineStr">
        <is>
          <t>No</t>
        </is>
      </c>
      <c r="I387" t="inlineStr">
        <is>
          <t>1</t>
        </is>
      </c>
      <c r="J387" t="inlineStr">
        <is>
          <t>Yes</t>
        </is>
      </c>
      <c r="K387" t="inlineStr">
        <is>
          <t>No</t>
        </is>
      </c>
      <c r="L387" t="inlineStr">
        <is>
          <t>0</t>
        </is>
      </c>
      <c r="M387" t="inlineStr">
        <is>
          <t>Lofton, John.</t>
        </is>
      </c>
      <c r="N387" t="inlineStr">
        <is>
          <t>Boston : Beacon Press, [1966]</t>
        </is>
      </c>
      <c r="O387" t="inlineStr">
        <is>
          <t>1966</t>
        </is>
      </c>
      <c r="Q387" t="inlineStr">
        <is>
          <t>eng</t>
        </is>
      </c>
      <c r="R387" t="inlineStr">
        <is>
          <t>mau</t>
        </is>
      </c>
      <c r="T387" t="inlineStr">
        <is>
          <t xml:space="preserve">KF </t>
        </is>
      </c>
      <c r="U387" t="n">
        <v>2</v>
      </c>
      <c r="V387" t="n">
        <v>2</v>
      </c>
      <c r="W387" t="inlineStr">
        <is>
          <t>2003-03-02</t>
        </is>
      </c>
      <c r="X387" t="inlineStr">
        <is>
          <t>2003-03-02</t>
        </is>
      </c>
      <c r="Y387" t="inlineStr">
        <is>
          <t>1994-10-17</t>
        </is>
      </c>
      <c r="Z387" t="inlineStr">
        <is>
          <t>1994-10-17</t>
        </is>
      </c>
      <c r="AA387" t="n">
        <v>785</v>
      </c>
      <c r="AB387" t="n">
        <v>735</v>
      </c>
      <c r="AC387" t="n">
        <v>775</v>
      </c>
      <c r="AD387" t="n">
        <v>7</v>
      </c>
      <c r="AE387" t="n">
        <v>7</v>
      </c>
      <c r="AF387" t="n">
        <v>40</v>
      </c>
      <c r="AG387" t="n">
        <v>47</v>
      </c>
      <c r="AH387" t="n">
        <v>10</v>
      </c>
      <c r="AI387" t="n">
        <v>11</v>
      </c>
      <c r="AJ387" t="n">
        <v>5</v>
      </c>
      <c r="AK387" t="n">
        <v>7</v>
      </c>
      <c r="AL387" t="n">
        <v>11</v>
      </c>
      <c r="AM387" t="n">
        <v>14</v>
      </c>
      <c r="AN387" t="n">
        <v>4</v>
      </c>
      <c r="AO387" t="n">
        <v>4</v>
      </c>
      <c r="AP387" t="n">
        <v>15</v>
      </c>
      <c r="AQ387" t="n">
        <v>18</v>
      </c>
      <c r="AR387" t="inlineStr">
        <is>
          <t>No</t>
        </is>
      </c>
      <c r="AS387" t="inlineStr">
        <is>
          <t>Yes</t>
        </is>
      </c>
      <c r="AT387">
        <f>HYPERLINK("http://catalog.hathitrust.org/Record/001278417","HathiTrust Record")</f>
        <v/>
      </c>
      <c r="AU387">
        <f>HYPERLINK("https://creighton-primo.hosted.exlibrisgroup.com/primo-explore/search?tab=default_tab&amp;search_scope=EVERYTHING&amp;vid=01CRU&amp;lang=en_US&amp;offset=0&amp;query=any,contains,991001647409702656","Catalog Record")</f>
        <v/>
      </c>
      <c r="AV387">
        <f>HYPERLINK("http://www.worldcat.org/oclc/507182","WorldCat Record")</f>
        <v/>
      </c>
      <c r="AW387" t="inlineStr">
        <is>
          <t>1455111:eng</t>
        </is>
      </c>
      <c r="AX387" t="inlineStr">
        <is>
          <t>507182</t>
        </is>
      </c>
      <c r="AY387" t="inlineStr">
        <is>
          <t>991001647409702656</t>
        </is>
      </c>
      <c r="AZ387" t="inlineStr">
        <is>
          <t>991001647409702656</t>
        </is>
      </c>
      <c r="BA387" t="inlineStr">
        <is>
          <t>2260660000002656</t>
        </is>
      </c>
      <c r="BB387" t="inlineStr">
        <is>
          <t>BOOK</t>
        </is>
      </c>
      <c r="BE387" t="inlineStr">
        <is>
          <t>32285001961837</t>
        </is>
      </c>
      <c r="BF387" t="inlineStr">
        <is>
          <t>893256371</t>
        </is>
      </c>
    </row>
    <row r="388">
      <c r="B388" t="inlineStr">
        <is>
          <t>CURAL</t>
        </is>
      </c>
      <c r="C388" t="inlineStr">
        <is>
          <t>SHELVES</t>
        </is>
      </c>
      <c r="D388" t="inlineStr">
        <is>
          <t>KF9223.A75 C64</t>
        </is>
      </c>
      <c r="E388" t="inlineStr">
        <is>
          <t>0                      KF 9223000A  75                 C  64</t>
        </is>
      </c>
      <c r="F388" t="inlineStr">
        <is>
          <t>Criminal justice: law and politics. [Compiled by] George F. Cole.</t>
        </is>
      </c>
      <c r="H388" t="inlineStr">
        <is>
          <t>No</t>
        </is>
      </c>
      <c r="I388" t="inlineStr">
        <is>
          <t>1</t>
        </is>
      </c>
      <c r="J388" t="inlineStr">
        <is>
          <t>No</t>
        </is>
      </c>
      <c r="K388" t="inlineStr">
        <is>
          <t>No</t>
        </is>
      </c>
      <c r="L388" t="inlineStr">
        <is>
          <t>0</t>
        </is>
      </c>
      <c r="M388" t="inlineStr">
        <is>
          <t>Cole, George F., 1935-2015 compiler.</t>
        </is>
      </c>
      <c r="N388" t="inlineStr">
        <is>
          <t>North Scituate, Mass., Duxbury Press [1972]</t>
        </is>
      </c>
      <c r="O388" t="inlineStr">
        <is>
          <t>1972</t>
        </is>
      </c>
      <c r="Q388" t="inlineStr">
        <is>
          <t>eng</t>
        </is>
      </c>
      <c r="R388" t="inlineStr">
        <is>
          <t>mau</t>
        </is>
      </c>
      <c r="T388" t="inlineStr">
        <is>
          <t xml:space="preserve">KF </t>
        </is>
      </c>
      <c r="U388" t="n">
        <v>11</v>
      </c>
      <c r="V388" t="n">
        <v>11</v>
      </c>
      <c r="W388" t="inlineStr">
        <is>
          <t>1999-02-13</t>
        </is>
      </c>
      <c r="X388" t="inlineStr">
        <is>
          <t>1999-02-13</t>
        </is>
      </c>
      <c r="Y388" t="inlineStr">
        <is>
          <t>1990-03-28</t>
        </is>
      </c>
      <c r="Z388" t="inlineStr">
        <is>
          <t>1990-03-28</t>
        </is>
      </c>
      <c r="AA388" t="n">
        <v>292</v>
      </c>
      <c r="AB388" t="n">
        <v>268</v>
      </c>
      <c r="AC388" t="n">
        <v>646</v>
      </c>
      <c r="AD388" t="n">
        <v>3</v>
      </c>
      <c r="AE388" t="n">
        <v>6</v>
      </c>
      <c r="AF388" t="n">
        <v>15</v>
      </c>
      <c r="AG388" t="n">
        <v>32</v>
      </c>
      <c r="AH388" t="n">
        <v>3</v>
      </c>
      <c r="AI388" t="n">
        <v>8</v>
      </c>
      <c r="AJ388" t="n">
        <v>3</v>
      </c>
      <c r="AK388" t="n">
        <v>7</v>
      </c>
      <c r="AL388" t="n">
        <v>8</v>
      </c>
      <c r="AM388" t="n">
        <v>12</v>
      </c>
      <c r="AN388" t="n">
        <v>2</v>
      </c>
      <c r="AO388" t="n">
        <v>5</v>
      </c>
      <c r="AP388" t="n">
        <v>3</v>
      </c>
      <c r="AQ388" t="n">
        <v>7</v>
      </c>
      <c r="AR388" t="inlineStr">
        <is>
          <t>No</t>
        </is>
      </c>
      <c r="AS388" t="inlineStr">
        <is>
          <t>Yes</t>
        </is>
      </c>
      <c r="AT388">
        <f>HYPERLINK("http://catalog.hathitrust.org/Record/010071251","HathiTrust Record")</f>
        <v/>
      </c>
      <c r="AU388">
        <f>HYPERLINK("https://creighton-primo.hosted.exlibrisgroup.com/primo-explore/search?tab=default_tab&amp;search_scope=EVERYTHING&amp;vid=01CRU&amp;lang=en_US&amp;offset=0&amp;query=any,contains,991002839779702656","Catalog Record")</f>
        <v/>
      </c>
      <c r="AV388">
        <f>HYPERLINK("http://www.worldcat.org/oclc/481415","WorldCat Record")</f>
        <v/>
      </c>
      <c r="AW388" t="inlineStr">
        <is>
          <t>941819706:eng</t>
        </is>
      </c>
      <c r="AX388" t="inlineStr">
        <is>
          <t>481415</t>
        </is>
      </c>
      <c r="AY388" t="inlineStr">
        <is>
          <t>991002839779702656</t>
        </is>
      </c>
      <c r="AZ388" t="inlineStr">
        <is>
          <t>991002839779702656</t>
        </is>
      </c>
      <c r="BA388" t="inlineStr">
        <is>
          <t>2269553360002656</t>
        </is>
      </c>
      <c r="BB388" t="inlineStr">
        <is>
          <t>BOOK</t>
        </is>
      </c>
      <c r="BD388" t="inlineStr">
        <is>
          <t>9780878720361</t>
        </is>
      </c>
      <c r="BE388" t="inlineStr">
        <is>
          <t>32285000097682</t>
        </is>
      </c>
      <c r="BF388" t="inlineStr">
        <is>
          <t>893530548</t>
        </is>
      </c>
    </row>
    <row r="389">
      <c r="B389" t="inlineStr">
        <is>
          <t>CURAL</t>
        </is>
      </c>
      <c r="C389" t="inlineStr">
        <is>
          <t>SHELVES</t>
        </is>
      </c>
      <c r="D389" t="inlineStr">
        <is>
          <t>KF9223.Z9 S2</t>
        </is>
      </c>
      <c r="E389" t="inlineStr">
        <is>
          <t>0                      KF 9223000Z  9                  S  2</t>
        </is>
      </c>
      <c r="F389" t="inlineStr">
        <is>
          <t>Dilemmas in criminology / [by] Leonard Savitz.</t>
        </is>
      </c>
      <c r="H389" t="inlineStr">
        <is>
          <t>No</t>
        </is>
      </c>
      <c r="I389" t="inlineStr">
        <is>
          <t>1</t>
        </is>
      </c>
      <c r="J389" t="inlineStr">
        <is>
          <t>No</t>
        </is>
      </c>
      <c r="K389" t="inlineStr">
        <is>
          <t>No</t>
        </is>
      </c>
      <c r="L389" t="inlineStr">
        <is>
          <t>0</t>
        </is>
      </c>
      <c r="M389" t="inlineStr">
        <is>
          <t>Savitz, Leonard D.</t>
        </is>
      </c>
      <c r="N389" t="inlineStr">
        <is>
          <t>New York : McGraw-Hill, [1967]</t>
        </is>
      </c>
      <c r="O389" t="inlineStr">
        <is>
          <t>1967</t>
        </is>
      </c>
      <c r="Q389" t="inlineStr">
        <is>
          <t>eng</t>
        </is>
      </c>
      <c r="R389" t="inlineStr">
        <is>
          <t>nyu</t>
        </is>
      </c>
      <c r="S389" t="inlineStr">
        <is>
          <t>McGraw-Hill social problems series</t>
        </is>
      </c>
      <c r="T389" t="inlineStr">
        <is>
          <t xml:space="preserve">KF </t>
        </is>
      </c>
      <c r="U389" t="n">
        <v>2</v>
      </c>
      <c r="V389" t="n">
        <v>2</v>
      </c>
      <c r="W389" t="inlineStr">
        <is>
          <t>1993-08-18</t>
        </is>
      </c>
      <c r="X389" t="inlineStr">
        <is>
          <t>1993-08-18</t>
        </is>
      </c>
      <c r="Y389" t="inlineStr">
        <is>
          <t>1992-05-07</t>
        </is>
      </c>
      <c r="Z389" t="inlineStr">
        <is>
          <t>1992-05-07</t>
        </is>
      </c>
      <c r="AA389" t="n">
        <v>671</v>
      </c>
      <c r="AB389" t="n">
        <v>553</v>
      </c>
      <c r="AC389" t="n">
        <v>560</v>
      </c>
      <c r="AD389" t="n">
        <v>5</v>
      </c>
      <c r="AE389" t="n">
        <v>5</v>
      </c>
      <c r="AF389" t="n">
        <v>28</v>
      </c>
      <c r="AG389" t="n">
        <v>28</v>
      </c>
      <c r="AH389" t="n">
        <v>8</v>
      </c>
      <c r="AI389" t="n">
        <v>8</v>
      </c>
      <c r="AJ389" t="n">
        <v>4</v>
      </c>
      <c r="AK389" t="n">
        <v>4</v>
      </c>
      <c r="AL389" t="n">
        <v>12</v>
      </c>
      <c r="AM389" t="n">
        <v>12</v>
      </c>
      <c r="AN389" t="n">
        <v>4</v>
      </c>
      <c r="AO389" t="n">
        <v>4</v>
      </c>
      <c r="AP389" t="n">
        <v>4</v>
      </c>
      <c r="AQ389" t="n">
        <v>4</v>
      </c>
      <c r="AR389" t="inlineStr">
        <is>
          <t>No</t>
        </is>
      </c>
      <c r="AS389" t="inlineStr">
        <is>
          <t>Yes</t>
        </is>
      </c>
      <c r="AT389">
        <f>HYPERLINK("http://catalog.hathitrust.org/Record/006225328","HathiTrust Record")</f>
        <v/>
      </c>
      <c r="AU389">
        <f>HYPERLINK("https://creighton-primo.hosted.exlibrisgroup.com/primo-explore/search?tab=default_tab&amp;search_scope=EVERYTHING&amp;vid=01CRU&amp;lang=en_US&amp;offset=0&amp;query=any,contains,991001920699702656","Catalog Record")</f>
        <v/>
      </c>
      <c r="AV389">
        <f>HYPERLINK("http://www.worldcat.org/oclc/244909","WorldCat Record")</f>
        <v/>
      </c>
      <c r="AW389" t="inlineStr">
        <is>
          <t>570310:eng</t>
        </is>
      </c>
      <c r="AX389" t="inlineStr">
        <is>
          <t>244909</t>
        </is>
      </c>
      <c r="AY389" t="inlineStr">
        <is>
          <t>991001920699702656</t>
        </is>
      </c>
      <c r="AZ389" t="inlineStr">
        <is>
          <t>991001920699702656</t>
        </is>
      </c>
      <c r="BA389" t="inlineStr">
        <is>
          <t>2270102780002656</t>
        </is>
      </c>
      <c r="BB389" t="inlineStr">
        <is>
          <t>BOOK</t>
        </is>
      </c>
      <c r="BE389" t="inlineStr">
        <is>
          <t>32285001093813</t>
        </is>
      </c>
      <c r="BF389" t="inlineStr">
        <is>
          <t>893534755</t>
        </is>
      </c>
    </row>
    <row r="390">
      <c r="B390" t="inlineStr">
        <is>
          <t>CURAL</t>
        </is>
      </c>
      <c r="C390" t="inlineStr">
        <is>
          <t>SHELVES</t>
        </is>
      </c>
      <c r="D390" t="inlineStr">
        <is>
          <t>KF9225 .B47</t>
        </is>
      </c>
      <c r="E390" t="inlineStr">
        <is>
          <t>0                      KF 9225000B  47</t>
        </is>
      </c>
      <c r="F390" t="inlineStr">
        <is>
          <t>The concept of cruel and unusual punishment / Larry Charles Berkson.</t>
        </is>
      </c>
      <c r="H390" t="inlineStr">
        <is>
          <t>No</t>
        </is>
      </c>
      <c r="I390" t="inlineStr">
        <is>
          <t>1</t>
        </is>
      </c>
      <c r="J390" t="inlineStr">
        <is>
          <t>No</t>
        </is>
      </c>
      <c r="K390" t="inlineStr">
        <is>
          <t>No</t>
        </is>
      </c>
      <c r="L390" t="inlineStr">
        <is>
          <t>0</t>
        </is>
      </c>
      <c r="M390" t="inlineStr">
        <is>
          <t>Berkson, Larry Charles.</t>
        </is>
      </c>
      <c r="N390" t="inlineStr">
        <is>
          <t>Lexington, Mass. : Lexington Books, [1975]</t>
        </is>
      </c>
      <c r="O390" t="inlineStr">
        <is>
          <t>1975</t>
        </is>
      </c>
      <c r="Q390" t="inlineStr">
        <is>
          <t>eng</t>
        </is>
      </c>
      <c r="R390" t="inlineStr">
        <is>
          <t>mau</t>
        </is>
      </c>
      <c r="T390" t="inlineStr">
        <is>
          <t xml:space="preserve">KF </t>
        </is>
      </c>
      <c r="U390" t="n">
        <v>7</v>
      </c>
      <c r="V390" t="n">
        <v>7</v>
      </c>
      <c r="W390" t="inlineStr">
        <is>
          <t>2009-03-23</t>
        </is>
      </c>
      <c r="X390" t="inlineStr">
        <is>
          <t>2009-03-23</t>
        </is>
      </c>
      <c r="Y390" t="inlineStr">
        <is>
          <t>1990-03-19</t>
        </is>
      </c>
      <c r="Z390" t="inlineStr">
        <is>
          <t>1990-03-19</t>
        </is>
      </c>
      <c r="AA390" t="n">
        <v>466</v>
      </c>
      <c r="AB390" t="n">
        <v>404</v>
      </c>
      <c r="AC390" t="n">
        <v>409</v>
      </c>
      <c r="AD390" t="n">
        <v>4</v>
      </c>
      <c r="AE390" t="n">
        <v>4</v>
      </c>
      <c r="AF390" t="n">
        <v>20</v>
      </c>
      <c r="AG390" t="n">
        <v>20</v>
      </c>
      <c r="AH390" t="n">
        <v>1</v>
      </c>
      <c r="AI390" t="n">
        <v>1</v>
      </c>
      <c r="AJ390" t="n">
        <v>4</v>
      </c>
      <c r="AK390" t="n">
        <v>4</v>
      </c>
      <c r="AL390" t="n">
        <v>3</v>
      </c>
      <c r="AM390" t="n">
        <v>3</v>
      </c>
      <c r="AN390" t="n">
        <v>2</v>
      </c>
      <c r="AO390" t="n">
        <v>2</v>
      </c>
      <c r="AP390" t="n">
        <v>12</v>
      </c>
      <c r="AQ390" t="n">
        <v>12</v>
      </c>
      <c r="AR390" t="inlineStr">
        <is>
          <t>No</t>
        </is>
      </c>
      <c r="AS390" t="inlineStr">
        <is>
          <t>Yes</t>
        </is>
      </c>
      <c r="AT390">
        <f>HYPERLINK("http://catalog.hathitrust.org/Record/000689114","HathiTrust Record")</f>
        <v/>
      </c>
      <c r="AU390">
        <f>HYPERLINK("https://creighton-primo.hosted.exlibrisgroup.com/primo-explore/search?tab=default_tab&amp;search_scope=EVERYTHING&amp;vid=01CRU&amp;lang=en_US&amp;offset=0&amp;query=any,contains,991003910419702656","Catalog Record")</f>
        <v/>
      </c>
      <c r="AV390">
        <f>HYPERLINK("http://www.worldcat.org/oclc/1850245","WorldCat Record")</f>
        <v/>
      </c>
      <c r="AW390" t="inlineStr">
        <is>
          <t>2561707:eng</t>
        </is>
      </c>
      <c r="AX390" t="inlineStr">
        <is>
          <t>1850245</t>
        </is>
      </c>
      <c r="AY390" t="inlineStr">
        <is>
          <t>991003910419702656</t>
        </is>
      </c>
      <c r="AZ390" t="inlineStr">
        <is>
          <t>991003910419702656</t>
        </is>
      </c>
      <c r="BA390" t="inlineStr">
        <is>
          <t>2262506120002656</t>
        </is>
      </c>
      <c r="BB390" t="inlineStr">
        <is>
          <t>BOOK</t>
        </is>
      </c>
      <c r="BD390" t="inlineStr">
        <is>
          <t>9780669000634</t>
        </is>
      </c>
      <c r="BE390" t="inlineStr">
        <is>
          <t>32285000088079</t>
        </is>
      </c>
      <c r="BF390" t="inlineStr">
        <is>
          <t>893228668</t>
        </is>
      </c>
    </row>
    <row r="391">
      <c r="B391" t="inlineStr">
        <is>
          <t>CURAL</t>
        </is>
      </c>
      <c r="C391" t="inlineStr">
        <is>
          <t>SHELVES</t>
        </is>
      </c>
      <c r="D391" t="inlineStr">
        <is>
          <t>KF9227 .D42 1964a</t>
        </is>
      </c>
      <c r="E391" t="inlineStr">
        <is>
          <t>0                      KF 9227000D  42          1964a</t>
        </is>
      </c>
      <c r="F391" t="inlineStr">
        <is>
          <t>The death penalty in America : an anthology.</t>
        </is>
      </c>
      <c r="H391" t="inlineStr">
        <is>
          <t>No</t>
        </is>
      </c>
      <c r="I391" t="inlineStr">
        <is>
          <t>1</t>
        </is>
      </c>
      <c r="J391" t="inlineStr">
        <is>
          <t>No</t>
        </is>
      </c>
      <c r="K391" t="inlineStr">
        <is>
          <t>No</t>
        </is>
      </c>
      <c r="L391" t="inlineStr">
        <is>
          <t>0</t>
        </is>
      </c>
      <c r="M391" t="inlineStr">
        <is>
          <t>Bedau, Hugo Adam editor.</t>
        </is>
      </c>
      <c r="N391" t="inlineStr">
        <is>
          <t>Garden City, N.Y. : Anchor Books, 1964.</t>
        </is>
      </c>
      <c r="O391" t="inlineStr">
        <is>
          <t>1964</t>
        </is>
      </c>
      <c r="Q391" t="inlineStr">
        <is>
          <t>eng</t>
        </is>
      </c>
      <c r="R391" t="inlineStr">
        <is>
          <t>nyu</t>
        </is>
      </c>
      <c r="T391" t="inlineStr">
        <is>
          <t xml:space="preserve">KF </t>
        </is>
      </c>
      <c r="U391" t="n">
        <v>24</v>
      </c>
      <c r="V391" t="n">
        <v>24</v>
      </c>
      <c r="W391" t="inlineStr">
        <is>
          <t>2010-02-21</t>
        </is>
      </c>
      <c r="X391" t="inlineStr">
        <is>
          <t>2010-02-21</t>
        </is>
      </c>
      <c r="Y391" t="inlineStr">
        <is>
          <t>1991-12-10</t>
        </is>
      </c>
      <c r="Z391" t="inlineStr">
        <is>
          <t>1991-12-10</t>
        </is>
      </c>
      <c r="AA391" t="n">
        <v>393</v>
      </c>
      <c r="AB391" t="n">
        <v>347</v>
      </c>
      <c r="AC391" t="n">
        <v>1102</v>
      </c>
      <c r="AD391" t="n">
        <v>4</v>
      </c>
      <c r="AE391" t="n">
        <v>10</v>
      </c>
      <c r="AF391" t="n">
        <v>12</v>
      </c>
      <c r="AG391" t="n">
        <v>39</v>
      </c>
      <c r="AH391" t="n">
        <v>2</v>
      </c>
      <c r="AI391" t="n">
        <v>9</v>
      </c>
      <c r="AJ391" t="n">
        <v>0</v>
      </c>
      <c r="AK391" t="n">
        <v>3</v>
      </c>
      <c r="AL391" t="n">
        <v>1</v>
      </c>
      <c r="AM391" t="n">
        <v>12</v>
      </c>
      <c r="AN391" t="n">
        <v>2</v>
      </c>
      <c r="AO391" t="n">
        <v>5</v>
      </c>
      <c r="AP391" t="n">
        <v>7</v>
      </c>
      <c r="AQ391" t="n">
        <v>13</v>
      </c>
      <c r="AR391" t="inlineStr">
        <is>
          <t>No</t>
        </is>
      </c>
      <c r="AS391" t="inlineStr">
        <is>
          <t>No</t>
        </is>
      </c>
      <c r="AU391">
        <f>HYPERLINK("https://creighton-primo.hosted.exlibrisgroup.com/primo-explore/search?tab=default_tab&amp;search_scope=EVERYTHING&amp;vid=01CRU&amp;lang=en_US&amp;offset=0&amp;query=any,contains,991002095659702656","Catalog Record")</f>
        <v/>
      </c>
      <c r="AV391">
        <f>HYPERLINK("http://www.worldcat.org/oclc/265532","WorldCat Record")</f>
        <v/>
      </c>
      <c r="AW391" t="inlineStr">
        <is>
          <t>1382438:eng</t>
        </is>
      </c>
      <c r="AX391" t="inlineStr">
        <is>
          <t>265532</t>
        </is>
      </c>
      <c r="AY391" t="inlineStr">
        <is>
          <t>991002095659702656</t>
        </is>
      </c>
      <c r="AZ391" t="inlineStr">
        <is>
          <t>991002095659702656</t>
        </is>
      </c>
      <c r="BA391" t="inlineStr">
        <is>
          <t>2267818900002656</t>
        </is>
      </c>
      <c r="BB391" t="inlineStr">
        <is>
          <t>BOOK</t>
        </is>
      </c>
      <c r="BE391" t="inlineStr">
        <is>
          <t>32285000848621</t>
        </is>
      </c>
      <c r="BF391" t="inlineStr">
        <is>
          <t>893716043</t>
        </is>
      </c>
    </row>
    <row r="392">
      <c r="B392" t="inlineStr">
        <is>
          <t>CURAL</t>
        </is>
      </c>
      <c r="C392" t="inlineStr">
        <is>
          <t>SHELVES</t>
        </is>
      </c>
      <c r="D392" t="inlineStr">
        <is>
          <t>KF9227.C2 M4</t>
        </is>
      </c>
      <c r="E392" t="inlineStr">
        <is>
          <t>0                      KF 9227000C  2                  M  4</t>
        </is>
      </c>
      <c r="F392" t="inlineStr">
        <is>
          <t>Cruel and unusual : the Supreme Court and capital punishment.</t>
        </is>
      </c>
      <c r="H392" t="inlineStr">
        <is>
          <t>No</t>
        </is>
      </c>
      <c r="I392" t="inlineStr">
        <is>
          <t>1</t>
        </is>
      </c>
      <c r="J392" t="inlineStr">
        <is>
          <t>No</t>
        </is>
      </c>
      <c r="K392" t="inlineStr">
        <is>
          <t>No</t>
        </is>
      </c>
      <c r="L392" t="inlineStr">
        <is>
          <t>0</t>
        </is>
      </c>
      <c r="M392" t="inlineStr">
        <is>
          <t>Meltsner, Michael, 1937-</t>
        </is>
      </c>
      <c r="N392" t="inlineStr">
        <is>
          <t>New York : Random House, [1973]</t>
        </is>
      </c>
      <c r="O392" t="inlineStr">
        <is>
          <t>1973</t>
        </is>
      </c>
      <c r="P392" t="inlineStr">
        <is>
          <t>[1st ed.]</t>
        </is>
      </c>
      <c r="Q392" t="inlineStr">
        <is>
          <t>eng</t>
        </is>
      </c>
      <c r="R392" t="inlineStr">
        <is>
          <t>nyu</t>
        </is>
      </c>
      <c r="T392" t="inlineStr">
        <is>
          <t xml:space="preserve">KF </t>
        </is>
      </c>
      <c r="U392" t="n">
        <v>19</v>
      </c>
      <c r="V392" t="n">
        <v>19</v>
      </c>
      <c r="W392" t="inlineStr">
        <is>
          <t>2009-03-31</t>
        </is>
      </c>
      <c r="X392" t="inlineStr">
        <is>
          <t>2009-03-31</t>
        </is>
      </c>
      <c r="Y392" t="inlineStr">
        <is>
          <t>1990-05-09</t>
        </is>
      </c>
      <c r="Z392" t="inlineStr">
        <is>
          <t>1990-05-09</t>
        </is>
      </c>
      <c r="AA392" t="n">
        <v>1096</v>
      </c>
      <c r="AB392" t="n">
        <v>1014</v>
      </c>
      <c r="AC392" t="n">
        <v>1116</v>
      </c>
      <c r="AD392" t="n">
        <v>8</v>
      </c>
      <c r="AE392" t="n">
        <v>9</v>
      </c>
      <c r="AF392" t="n">
        <v>48</v>
      </c>
      <c r="AG392" t="n">
        <v>52</v>
      </c>
      <c r="AH392" t="n">
        <v>11</v>
      </c>
      <c r="AI392" t="n">
        <v>14</v>
      </c>
      <c r="AJ392" t="n">
        <v>8</v>
      </c>
      <c r="AK392" t="n">
        <v>8</v>
      </c>
      <c r="AL392" t="n">
        <v>11</v>
      </c>
      <c r="AM392" t="n">
        <v>12</v>
      </c>
      <c r="AN392" t="n">
        <v>5</v>
      </c>
      <c r="AO392" t="n">
        <v>6</v>
      </c>
      <c r="AP392" t="n">
        <v>21</v>
      </c>
      <c r="AQ392" t="n">
        <v>21</v>
      </c>
      <c r="AR392" t="inlineStr">
        <is>
          <t>No</t>
        </is>
      </c>
      <c r="AS392" t="inlineStr">
        <is>
          <t>Yes</t>
        </is>
      </c>
      <c r="AT392">
        <f>HYPERLINK("http://catalog.hathitrust.org/Record/001135451","HathiTrust Record")</f>
        <v/>
      </c>
      <c r="AU392">
        <f>HYPERLINK("https://creighton-primo.hosted.exlibrisgroup.com/primo-explore/search?tab=default_tab&amp;search_scope=EVERYTHING&amp;vid=01CRU&amp;lang=en_US&amp;offset=0&amp;query=any,contains,991003061329702656","Catalog Record")</f>
        <v/>
      </c>
      <c r="AV392">
        <f>HYPERLINK("http://www.worldcat.org/oclc/618361","WorldCat Record")</f>
        <v/>
      </c>
      <c r="AW392" t="inlineStr">
        <is>
          <t>462181:eng</t>
        </is>
      </c>
      <c r="AX392" t="inlineStr">
        <is>
          <t>618361</t>
        </is>
      </c>
      <c r="AY392" t="inlineStr">
        <is>
          <t>991003061329702656</t>
        </is>
      </c>
      <c r="AZ392" t="inlineStr">
        <is>
          <t>991003061329702656</t>
        </is>
      </c>
      <c r="BA392" t="inlineStr">
        <is>
          <t>2272205810002656</t>
        </is>
      </c>
      <c r="BB392" t="inlineStr">
        <is>
          <t>BOOK</t>
        </is>
      </c>
      <c r="BD392" t="inlineStr">
        <is>
          <t>9780394472317</t>
        </is>
      </c>
      <c r="BE392" t="inlineStr">
        <is>
          <t>32285000138676</t>
        </is>
      </c>
      <c r="BF392" t="inlineStr">
        <is>
          <t>893717275</t>
        </is>
      </c>
    </row>
    <row r="393">
      <c r="B393" t="inlineStr">
        <is>
          <t>CURAL</t>
        </is>
      </c>
      <c r="C393" t="inlineStr">
        <is>
          <t>SHELVES</t>
        </is>
      </c>
      <c r="D393" t="inlineStr">
        <is>
          <t>KF9227.C2 N35 1987</t>
        </is>
      </c>
      <c r="E393" t="inlineStr">
        <is>
          <t>0                      KF 9227000C  2                  N  35          1987</t>
        </is>
      </c>
      <c r="F393" t="inlineStr">
        <is>
          <t>The arbitrariness of the death penalty / Barry Nakell and Kenneth A. Hardy.</t>
        </is>
      </c>
      <c r="H393" t="inlineStr">
        <is>
          <t>No</t>
        </is>
      </c>
      <c r="I393" t="inlineStr">
        <is>
          <t>1</t>
        </is>
      </c>
      <c r="J393" t="inlineStr">
        <is>
          <t>No</t>
        </is>
      </c>
      <c r="K393" t="inlineStr">
        <is>
          <t>No</t>
        </is>
      </c>
      <c r="L393" t="inlineStr">
        <is>
          <t>0</t>
        </is>
      </c>
      <c r="M393" t="inlineStr">
        <is>
          <t>Nakell, Barry.</t>
        </is>
      </c>
      <c r="N393" t="inlineStr">
        <is>
          <t>Philadelphia : Temple University Press, 1987.</t>
        </is>
      </c>
      <c r="O393" t="inlineStr">
        <is>
          <t>1987</t>
        </is>
      </c>
      <c r="Q393" t="inlineStr">
        <is>
          <t>eng</t>
        </is>
      </c>
      <c r="R393" t="inlineStr">
        <is>
          <t>pau</t>
        </is>
      </c>
      <c r="T393" t="inlineStr">
        <is>
          <t xml:space="preserve">KF </t>
        </is>
      </c>
      <c r="U393" t="n">
        <v>36</v>
      </c>
      <c r="V393" t="n">
        <v>36</v>
      </c>
      <c r="W393" t="inlineStr">
        <is>
          <t>2010-03-24</t>
        </is>
      </c>
      <c r="X393" t="inlineStr">
        <is>
          <t>2010-03-24</t>
        </is>
      </c>
      <c r="Y393" t="inlineStr">
        <is>
          <t>1990-04-17</t>
        </is>
      </c>
      <c r="Z393" t="inlineStr">
        <is>
          <t>1990-04-17</t>
        </is>
      </c>
      <c r="AA393" t="n">
        <v>624</v>
      </c>
      <c r="AB393" t="n">
        <v>578</v>
      </c>
      <c r="AC393" t="n">
        <v>584</v>
      </c>
      <c r="AD393" t="n">
        <v>3</v>
      </c>
      <c r="AE393" t="n">
        <v>3</v>
      </c>
      <c r="AF393" t="n">
        <v>34</v>
      </c>
      <c r="AG393" t="n">
        <v>34</v>
      </c>
      <c r="AH393" t="n">
        <v>9</v>
      </c>
      <c r="AI393" t="n">
        <v>9</v>
      </c>
      <c r="AJ393" t="n">
        <v>3</v>
      </c>
      <c r="AK393" t="n">
        <v>3</v>
      </c>
      <c r="AL393" t="n">
        <v>9</v>
      </c>
      <c r="AM393" t="n">
        <v>9</v>
      </c>
      <c r="AN393" t="n">
        <v>2</v>
      </c>
      <c r="AO393" t="n">
        <v>2</v>
      </c>
      <c r="AP393" t="n">
        <v>15</v>
      </c>
      <c r="AQ393" t="n">
        <v>15</v>
      </c>
      <c r="AR393" t="inlineStr">
        <is>
          <t>No</t>
        </is>
      </c>
      <c r="AS393" t="inlineStr">
        <is>
          <t>No</t>
        </is>
      </c>
      <c r="AU393">
        <f>HYPERLINK("https://creighton-primo.hosted.exlibrisgroup.com/primo-explore/search?tab=default_tab&amp;search_scope=EVERYTHING&amp;vid=01CRU&amp;lang=en_US&amp;offset=0&amp;query=any,contains,991000850129702656","Catalog Record")</f>
        <v/>
      </c>
      <c r="AV393">
        <f>HYPERLINK("http://www.worldcat.org/oclc/13581878","WorldCat Record")</f>
        <v/>
      </c>
      <c r="AW393" t="inlineStr">
        <is>
          <t>7524591:eng</t>
        </is>
      </c>
      <c r="AX393" t="inlineStr">
        <is>
          <t>13581878</t>
        </is>
      </c>
      <c r="AY393" t="inlineStr">
        <is>
          <t>991000850129702656</t>
        </is>
      </c>
      <c r="AZ393" t="inlineStr">
        <is>
          <t>991000850129702656</t>
        </is>
      </c>
      <c r="BA393" t="inlineStr">
        <is>
          <t>2259515400002656</t>
        </is>
      </c>
      <c r="BB393" t="inlineStr">
        <is>
          <t>BOOK</t>
        </is>
      </c>
      <c r="BD393" t="inlineStr">
        <is>
          <t>9780877224433</t>
        </is>
      </c>
      <c r="BE393" t="inlineStr">
        <is>
          <t>32285000102656</t>
        </is>
      </c>
      <c r="BF393" t="inlineStr">
        <is>
          <t>893522070</t>
        </is>
      </c>
    </row>
    <row r="394">
      <c r="B394" t="inlineStr">
        <is>
          <t>CURAL</t>
        </is>
      </c>
      <c r="C394" t="inlineStr">
        <is>
          <t>SHELVES</t>
        </is>
      </c>
      <c r="D394" t="inlineStr">
        <is>
          <t>KF9240 .F56</t>
        </is>
      </c>
      <c r="E394" t="inlineStr">
        <is>
          <t>0                      KF 9240000F  56</t>
        </is>
      </c>
      <c r="F394" t="inlineStr">
        <is>
          <t>Mental disabilities and criminal responsibility / Herbert Fingarette, Ann Fingarette Hasse.</t>
        </is>
      </c>
      <c r="H394" t="inlineStr">
        <is>
          <t>No</t>
        </is>
      </c>
      <c r="I394" t="inlineStr">
        <is>
          <t>1</t>
        </is>
      </c>
      <c r="J394" t="inlineStr">
        <is>
          <t>Yes</t>
        </is>
      </c>
      <c r="K394" t="inlineStr">
        <is>
          <t>No</t>
        </is>
      </c>
      <c r="L394" t="inlineStr">
        <is>
          <t>0</t>
        </is>
      </c>
      <c r="M394" t="inlineStr">
        <is>
          <t>Fingarette, Herbert.</t>
        </is>
      </c>
      <c r="N394" t="inlineStr">
        <is>
          <t>Berkeley : University of California Press, c1979.</t>
        </is>
      </c>
      <c r="O394" t="inlineStr">
        <is>
          <t>1979</t>
        </is>
      </c>
      <c r="Q394" t="inlineStr">
        <is>
          <t>eng</t>
        </is>
      </c>
      <c r="R394" t="inlineStr">
        <is>
          <t>cau</t>
        </is>
      </c>
      <c r="T394" t="inlineStr">
        <is>
          <t xml:space="preserve">KF </t>
        </is>
      </c>
      <c r="U394" t="n">
        <v>14</v>
      </c>
      <c r="V394" t="n">
        <v>14</v>
      </c>
      <c r="W394" t="inlineStr">
        <is>
          <t>2003-03-07</t>
        </is>
      </c>
      <c r="X394" t="inlineStr">
        <is>
          <t>2003-03-07</t>
        </is>
      </c>
      <c r="Y394" t="inlineStr">
        <is>
          <t>1990-04-26</t>
        </is>
      </c>
      <c r="Z394" t="inlineStr">
        <is>
          <t>2004-06-23</t>
        </is>
      </c>
      <c r="AA394" t="n">
        <v>642</v>
      </c>
      <c r="AB394" t="n">
        <v>533</v>
      </c>
      <c r="AC394" t="n">
        <v>534</v>
      </c>
      <c r="AD394" t="n">
        <v>5</v>
      </c>
      <c r="AE394" t="n">
        <v>5</v>
      </c>
      <c r="AF394" t="n">
        <v>36</v>
      </c>
      <c r="AG394" t="n">
        <v>36</v>
      </c>
      <c r="AH394" t="n">
        <v>5</v>
      </c>
      <c r="AI394" t="n">
        <v>5</v>
      </c>
      <c r="AJ394" t="n">
        <v>5</v>
      </c>
      <c r="AK394" t="n">
        <v>5</v>
      </c>
      <c r="AL394" t="n">
        <v>7</v>
      </c>
      <c r="AM394" t="n">
        <v>7</v>
      </c>
      <c r="AN394" t="n">
        <v>3</v>
      </c>
      <c r="AO394" t="n">
        <v>3</v>
      </c>
      <c r="AP394" t="n">
        <v>18</v>
      </c>
      <c r="AQ394" t="n">
        <v>18</v>
      </c>
      <c r="AR394" t="inlineStr">
        <is>
          <t>No</t>
        </is>
      </c>
      <c r="AS394" t="inlineStr">
        <is>
          <t>No</t>
        </is>
      </c>
      <c r="AU394">
        <f>HYPERLINK("https://creighton-primo.hosted.exlibrisgroup.com/primo-explore/search?tab=default_tab&amp;search_scope=EVERYTHING&amp;vid=01CRU&amp;lang=en_US&amp;offset=0&amp;query=any,contains,991001805529702656","Catalog Record")</f>
        <v/>
      </c>
      <c r="AV394">
        <f>HYPERLINK("http://www.worldcat.org/oclc/5107099","WorldCat Record")</f>
        <v/>
      </c>
      <c r="AW394" t="inlineStr">
        <is>
          <t>501727:eng</t>
        </is>
      </c>
      <c r="AX394" t="inlineStr">
        <is>
          <t>5107099</t>
        </is>
      </c>
      <c r="AY394" t="inlineStr">
        <is>
          <t>991001805529702656</t>
        </is>
      </c>
      <c r="AZ394" t="inlineStr">
        <is>
          <t>991001805529702656</t>
        </is>
      </c>
      <c r="BA394" t="inlineStr">
        <is>
          <t>2271434480002656</t>
        </is>
      </c>
      <c r="BB394" t="inlineStr">
        <is>
          <t>BOOK</t>
        </is>
      </c>
      <c r="BD394" t="inlineStr">
        <is>
          <t>9780520036307</t>
        </is>
      </c>
      <c r="BE394" t="inlineStr">
        <is>
          <t>32285000134592</t>
        </is>
      </c>
      <c r="BF394" t="inlineStr">
        <is>
          <t>893879201</t>
        </is>
      </c>
    </row>
    <row r="395">
      <c r="B395" t="inlineStr">
        <is>
          <t>CURAL</t>
        </is>
      </c>
      <c r="C395" t="inlineStr">
        <is>
          <t>SHELVES</t>
        </is>
      </c>
      <c r="D395" t="inlineStr">
        <is>
          <t>KF9242 .A72 1983</t>
        </is>
      </c>
      <c r="E395" t="inlineStr">
        <is>
          <t>0                      KF 9242000A  72          1983</t>
        </is>
      </c>
      <c r="F395" t="inlineStr">
        <is>
          <t>The mind of the accused : a psychiatrist in the courtroom / David Abrahamsen.</t>
        </is>
      </c>
      <c r="H395" t="inlineStr">
        <is>
          <t>No</t>
        </is>
      </c>
      <c r="I395" t="inlineStr">
        <is>
          <t>1</t>
        </is>
      </c>
      <c r="J395" t="inlineStr">
        <is>
          <t>No</t>
        </is>
      </c>
      <c r="K395" t="inlineStr">
        <is>
          <t>No</t>
        </is>
      </c>
      <c r="L395" t="inlineStr">
        <is>
          <t>0</t>
        </is>
      </c>
      <c r="M395" t="inlineStr">
        <is>
          <t>Abrahamsen, David, 1903-2002.</t>
        </is>
      </c>
      <c r="N395" t="inlineStr">
        <is>
          <t>New York : Simon and Schuster, c1983.</t>
        </is>
      </c>
      <c r="O395" t="inlineStr">
        <is>
          <t>1983</t>
        </is>
      </c>
      <c r="Q395" t="inlineStr">
        <is>
          <t>eng</t>
        </is>
      </c>
      <c r="R395" t="inlineStr">
        <is>
          <t>nyu</t>
        </is>
      </c>
      <c r="T395" t="inlineStr">
        <is>
          <t xml:space="preserve">KF </t>
        </is>
      </c>
      <c r="U395" t="n">
        <v>21</v>
      </c>
      <c r="V395" t="n">
        <v>21</v>
      </c>
      <c r="W395" t="inlineStr">
        <is>
          <t>2001-10-30</t>
        </is>
      </c>
      <c r="X395" t="inlineStr">
        <is>
          <t>2001-10-30</t>
        </is>
      </c>
      <c r="Y395" t="inlineStr">
        <is>
          <t>1992-07-27</t>
        </is>
      </c>
      <c r="Z395" t="inlineStr">
        <is>
          <t>1992-07-27</t>
        </is>
      </c>
      <c r="AA395" t="n">
        <v>607</v>
      </c>
      <c r="AB395" t="n">
        <v>577</v>
      </c>
      <c r="AC395" t="n">
        <v>583</v>
      </c>
      <c r="AD395" t="n">
        <v>6</v>
      </c>
      <c r="AE395" t="n">
        <v>6</v>
      </c>
      <c r="AF395" t="n">
        <v>25</v>
      </c>
      <c r="AG395" t="n">
        <v>25</v>
      </c>
      <c r="AH395" t="n">
        <v>4</v>
      </c>
      <c r="AI395" t="n">
        <v>4</v>
      </c>
      <c r="AJ395" t="n">
        <v>1</v>
      </c>
      <c r="AK395" t="n">
        <v>1</v>
      </c>
      <c r="AL395" t="n">
        <v>4</v>
      </c>
      <c r="AM395" t="n">
        <v>4</v>
      </c>
      <c r="AN395" t="n">
        <v>3</v>
      </c>
      <c r="AO395" t="n">
        <v>3</v>
      </c>
      <c r="AP395" t="n">
        <v>16</v>
      </c>
      <c r="AQ395" t="n">
        <v>16</v>
      </c>
      <c r="AR395" t="inlineStr">
        <is>
          <t>No</t>
        </is>
      </c>
      <c r="AS395" t="inlineStr">
        <is>
          <t>No</t>
        </is>
      </c>
      <c r="AU395">
        <f>HYPERLINK("https://creighton-primo.hosted.exlibrisgroup.com/primo-explore/search?tab=default_tab&amp;search_scope=EVERYTHING&amp;vid=01CRU&amp;lang=en_US&amp;offset=0&amp;query=any,contains,991000257189702656","Catalog Record")</f>
        <v/>
      </c>
      <c r="AV395">
        <f>HYPERLINK("http://www.worldcat.org/oclc/9783918","WorldCat Record")</f>
        <v/>
      </c>
      <c r="AW395" t="inlineStr">
        <is>
          <t>941663625:eng</t>
        </is>
      </c>
      <c r="AX395" t="inlineStr">
        <is>
          <t>9783918</t>
        </is>
      </c>
      <c r="AY395" t="inlineStr">
        <is>
          <t>991000257189702656</t>
        </is>
      </c>
      <c r="AZ395" t="inlineStr">
        <is>
          <t>991000257189702656</t>
        </is>
      </c>
      <c r="BA395" t="inlineStr">
        <is>
          <t>2266876550002656</t>
        </is>
      </c>
      <c r="BB395" t="inlineStr">
        <is>
          <t>BOOK</t>
        </is>
      </c>
      <c r="BD395" t="inlineStr">
        <is>
          <t>9780671470531</t>
        </is>
      </c>
      <c r="BE395" t="inlineStr">
        <is>
          <t>32285001230704</t>
        </is>
      </c>
      <c r="BF395" t="inlineStr">
        <is>
          <t>893502367</t>
        </is>
      </c>
    </row>
    <row r="396">
      <c r="B396" t="inlineStr">
        <is>
          <t>CURAL</t>
        </is>
      </c>
      <c r="C396" t="inlineStr">
        <is>
          <t>SHELVES</t>
        </is>
      </c>
      <c r="D396" t="inlineStr">
        <is>
          <t>KF9242 .G69 1988</t>
        </is>
      </c>
      <c r="E396" t="inlineStr">
        <is>
          <t>0                      KF 9242000G  69          1988</t>
        </is>
      </c>
      <c r="F396" t="inlineStr">
        <is>
          <t>Competency to stand trial evaluations : a manual for practice / Thomas Grisso.</t>
        </is>
      </c>
      <c r="H396" t="inlineStr">
        <is>
          <t>No</t>
        </is>
      </c>
      <c r="I396" t="inlineStr">
        <is>
          <t>1</t>
        </is>
      </c>
      <c r="J396" t="inlineStr">
        <is>
          <t>Yes</t>
        </is>
      </c>
      <c r="K396" t="inlineStr">
        <is>
          <t>No</t>
        </is>
      </c>
      <c r="L396" t="inlineStr">
        <is>
          <t>0</t>
        </is>
      </c>
      <c r="M396" t="inlineStr">
        <is>
          <t>Grisso, Thomas.</t>
        </is>
      </c>
      <c r="N396" t="inlineStr">
        <is>
          <t>Sarasota, FL : Professional Resource Exchange, 1988.</t>
        </is>
      </c>
      <c r="O396" t="inlineStr">
        <is>
          <t>1988</t>
        </is>
      </c>
      <c r="Q396" t="inlineStr">
        <is>
          <t>eng</t>
        </is>
      </c>
      <c r="R396" t="inlineStr">
        <is>
          <t>flu</t>
        </is>
      </c>
      <c r="T396" t="inlineStr">
        <is>
          <t xml:space="preserve">KF </t>
        </is>
      </c>
      <c r="U396" t="n">
        <v>18</v>
      </c>
      <c r="V396" t="n">
        <v>25</v>
      </c>
      <c r="W396" t="inlineStr">
        <is>
          <t>2007-03-28</t>
        </is>
      </c>
      <c r="X396" t="inlineStr">
        <is>
          <t>2007-03-28</t>
        </is>
      </c>
      <c r="Y396" t="inlineStr">
        <is>
          <t>1991-01-03</t>
        </is>
      </c>
      <c r="Z396" t="inlineStr">
        <is>
          <t>1992-06-04</t>
        </is>
      </c>
      <c r="AA396" t="n">
        <v>116</v>
      </c>
      <c r="AB396" t="n">
        <v>104</v>
      </c>
      <c r="AC396" t="n">
        <v>104</v>
      </c>
      <c r="AD396" t="n">
        <v>2</v>
      </c>
      <c r="AE396" t="n">
        <v>2</v>
      </c>
      <c r="AF396" t="n">
        <v>10</v>
      </c>
      <c r="AG396" t="n">
        <v>10</v>
      </c>
      <c r="AH396" t="n">
        <v>1</v>
      </c>
      <c r="AI396" t="n">
        <v>1</v>
      </c>
      <c r="AJ396" t="n">
        <v>1</v>
      </c>
      <c r="AK396" t="n">
        <v>1</v>
      </c>
      <c r="AL396" t="n">
        <v>3</v>
      </c>
      <c r="AM396" t="n">
        <v>3</v>
      </c>
      <c r="AN396" t="n">
        <v>0</v>
      </c>
      <c r="AO396" t="n">
        <v>0</v>
      </c>
      <c r="AP396" t="n">
        <v>6</v>
      </c>
      <c r="AQ396" t="n">
        <v>6</v>
      </c>
      <c r="AR396" t="inlineStr">
        <is>
          <t>No</t>
        </is>
      </c>
      <c r="AS396" t="inlineStr">
        <is>
          <t>No</t>
        </is>
      </c>
      <c r="AU396">
        <f>HYPERLINK("https://creighton-primo.hosted.exlibrisgroup.com/primo-explore/search?tab=default_tab&amp;search_scope=EVERYTHING&amp;vid=01CRU&amp;lang=en_US&amp;offset=0&amp;query=any,contains,991001640999702656","Catalog Record")</f>
        <v/>
      </c>
      <c r="AV396">
        <f>HYPERLINK("http://www.worldcat.org/oclc/19378828","WorldCat Record")</f>
        <v/>
      </c>
      <c r="AW396" t="inlineStr">
        <is>
          <t>21595524:eng</t>
        </is>
      </c>
      <c r="AX396" t="inlineStr">
        <is>
          <t>19378828</t>
        </is>
      </c>
      <c r="AY396" t="inlineStr">
        <is>
          <t>991001640999702656</t>
        </is>
      </c>
      <c r="AZ396" t="inlineStr">
        <is>
          <t>991001640999702656</t>
        </is>
      </c>
      <c r="BA396" t="inlineStr">
        <is>
          <t>2270077100002656</t>
        </is>
      </c>
      <c r="BB396" t="inlineStr">
        <is>
          <t>BOOK</t>
        </is>
      </c>
      <c r="BD396" t="inlineStr">
        <is>
          <t>9780943158518</t>
        </is>
      </c>
      <c r="BE396" t="inlineStr">
        <is>
          <t>32285000406818</t>
        </is>
      </c>
      <c r="BF396" t="inlineStr">
        <is>
          <t>893351943</t>
        </is>
      </c>
    </row>
    <row r="397">
      <c r="B397" t="inlineStr">
        <is>
          <t>CURAL</t>
        </is>
      </c>
      <c r="C397" t="inlineStr">
        <is>
          <t>SHELVES</t>
        </is>
      </c>
      <c r="D397" t="inlineStr">
        <is>
          <t>KF9242 .H47 1983</t>
        </is>
      </c>
      <c r="E397" t="inlineStr">
        <is>
          <t>0                      KF 9242000H  47          1983</t>
        </is>
      </c>
      <c r="F397" t="inlineStr">
        <is>
          <t>The insanity defense : philosophical, historical, and legal perspectives / by Donald H.J. Hermann.</t>
        </is>
      </c>
      <c r="H397" t="inlineStr">
        <is>
          <t>No</t>
        </is>
      </c>
      <c r="I397" t="inlineStr">
        <is>
          <t>1</t>
        </is>
      </c>
      <c r="J397" t="inlineStr">
        <is>
          <t>No</t>
        </is>
      </c>
      <c r="K397" t="inlineStr">
        <is>
          <t>No</t>
        </is>
      </c>
      <c r="L397" t="inlineStr">
        <is>
          <t>0</t>
        </is>
      </c>
      <c r="M397" t="inlineStr">
        <is>
          <t>Hermann, Donald H. J.</t>
        </is>
      </c>
      <c r="N397" t="inlineStr">
        <is>
          <t>Springfield, Ill. : Thomas, c1983.</t>
        </is>
      </c>
      <c r="O397" t="inlineStr">
        <is>
          <t>1983</t>
        </is>
      </c>
      <c r="Q397" t="inlineStr">
        <is>
          <t>eng</t>
        </is>
      </c>
      <c r="R397" t="inlineStr">
        <is>
          <t>ilu</t>
        </is>
      </c>
      <c r="T397" t="inlineStr">
        <is>
          <t xml:space="preserve">KF </t>
        </is>
      </c>
      <c r="U397" t="n">
        <v>29</v>
      </c>
      <c r="V397" t="n">
        <v>29</v>
      </c>
      <c r="W397" t="inlineStr">
        <is>
          <t>2006-11-14</t>
        </is>
      </c>
      <c r="X397" t="inlineStr">
        <is>
          <t>2006-11-14</t>
        </is>
      </c>
      <c r="Y397" t="inlineStr">
        <is>
          <t>1992-04-14</t>
        </is>
      </c>
      <c r="Z397" t="inlineStr">
        <is>
          <t>1992-04-14</t>
        </is>
      </c>
      <c r="AA397" t="n">
        <v>420</v>
      </c>
      <c r="AB397" t="n">
        <v>383</v>
      </c>
      <c r="AC397" t="n">
        <v>384</v>
      </c>
      <c r="AD397" t="n">
        <v>4</v>
      </c>
      <c r="AE397" t="n">
        <v>4</v>
      </c>
      <c r="AF397" t="n">
        <v>26</v>
      </c>
      <c r="AG397" t="n">
        <v>26</v>
      </c>
      <c r="AH397" t="n">
        <v>4</v>
      </c>
      <c r="AI397" t="n">
        <v>4</v>
      </c>
      <c r="AJ397" t="n">
        <v>3</v>
      </c>
      <c r="AK397" t="n">
        <v>3</v>
      </c>
      <c r="AL397" t="n">
        <v>5</v>
      </c>
      <c r="AM397" t="n">
        <v>5</v>
      </c>
      <c r="AN397" t="n">
        <v>2</v>
      </c>
      <c r="AO397" t="n">
        <v>2</v>
      </c>
      <c r="AP397" t="n">
        <v>16</v>
      </c>
      <c r="AQ397" t="n">
        <v>16</v>
      </c>
      <c r="AR397" t="inlineStr">
        <is>
          <t>No</t>
        </is>
      </c>
      <c r="AS397" t="inlineStr">
        <is>
          <t>Yes</t>
        </is>
      </c>
      <c r="AT397">
        <f>HYPERLINK("http://catalog.hathitrust.org/Record/000239785","HathiTrust Record")</f>
        <v/>
      </c>
      <c r="AU397">
        <f>HYPERLINK("https://creighton-primo.hosted.exlibrisgroup.com/primo-explore/search?tab=default_tab&amp;search_scope=EVERYTHING&amp;vid=01CRU&amp;lang=en_US&amp;offset=0&amp;query=any,contains,991000092549702656","Catalog Record")</f>
        <v/>
      </c>
      <c r="AV397">
        <f>HYPERLINK("http://www.worldcat.org/oclc/8907439","WorldCat Record")</f>
        <v/>
      </c>
      <c r="AW397" t="inlineStr">
        <is>
          <t>427657886:eng</t>
        </is>
      </c>
      <c r="AX397" t="inlineStr">
        <is>
          <t>8907439</t>
        </is>
      </c>
      <c r="AY397" t="inlineStr">
        <is>
          <t>991000092549702656</t>
        </is>
      </c>
      <c r="AZ397" t="inlineStr">
        <is>
          <t>991000092549702656</t>
        </is>
      </c>
      <c r="BA397" t="inlineStr">
        <is>
          <t>2262880720002656</t>
        </is>
      </c>
      <c r="BB397" t="inlineStr">
        <is>
          <t>BOOK</t>
        </is>
      </c>
      <c r="BD397" t="inlineStr">
        <is>
          <t>9780398047962</t>
        </is>
      </c>
      <c r="BE397" t="inlineStr">
        <is>
          <t>32285001068245</t>
        </is>
      </c>
      <c r="BF397" t="inlineStr">
        <is>
          <t>893790226</t>
        </is>
      </c>
    </row>
    <row r="398">
      <c r="B398" t="inlineStr">
        <is>
          <t>CURAL</t>
        </is>
      </c>
      <c r="C398" t="inlineStr">
        <is>
          <t>SHELVES</t>
        </is>
      </c>
      <c r="D398" t="inlineStr">
        <is>
          <t>KF9242 .L48 1984</t>
        </is>
      </c>
      <c r="E398" t="inlineStr">
        <is>
          <t>0                      KF 9242000L  48          1984</t>
        </is>
      </c>
      <c r="F398" t="inlineStr">
        <is>
          <t>Insanity &amp; incompetence : case studies in forensic psychology / Albert Levitt, David Lester.</t>
        </is>
      </c>
      <c r="H398" t="inlineStr">
        <is>
          <t>No</t>
        </is>
      </c>
      <c r="I398" t="inlineStr">
        <is>
          <t>1</t>
        </is>
      </c>
      <c r="J398" t="inlineStr">
        <is>
          <t>No</t>
        </is>
      </c>
      <c r="K398" t="inlineStr">
        <is>
          <t>No</t>
        </is>
      </c>
      <c r="L398" t="inlineStr">
        <is>
          <t>0</t>
        </is>
      </c>
      <c r="M398" t="inlineStr">
        <is>
          <t>Levitt, Albert.</t>
        </is>
      </c>
      <c r="N398" t="inlineStr">
        <is>
          <t>Cincinnati, Ohio : Pilgrimage, c1984.</t>
        </is>
      </c>
      <c r="O398" t="inlineStr">
        <is>
          <t>1984</t>
        </is>
      </c>
      <c r="Q398" t="inlineStr">
        <is>
          <t>eng</t>
        </is>
      </c>
      <c r="R398" t="inlineStr">
        <is>
          <t>ohu</t>
        </is>
      </c>
      <c r="S398" t="inlineStr">
        <is>
          <t>Criminal justice studies</t>
        </is>
      </c>
      <c r="T398" t="inlineStr">
        <is>
          <t xml:space="preserve">KF </t>
        </is>
      </c>
      <c r="U398" t="n">
        <v>17</v>
      </c>
      <c r="V398" t="n">
        <v>17</v>
      </c>
      <c r="W398" t="inlineStr">
        <is>
          <t>2009-04-21</t>
        </is>
      </c>
      <c r="X398" t="inlineStr">
        <is>
          <t>2009-04-21</t>
        </is>
      </c>
      <c r="Y398" t="inlineStr">
        <is>
          <t>1990-03-02</t>
        </is>
      </c>
      <c r="Z398" t="inlineStr">
        <is>
          <t>1990-03-02</t>
        </is>
      </c>
      <c r="AA398" t="n">
        <v>98</v>
      </c>
      <c r="AB398" t="n">
        <v>87</v>
      </c>
      <c r="AC398" t="n">
        <v>89</v>
      </c>
      <c r="AD398" t="n">
        <v>3</v>
      </c>
      <c r="AE398" t="n">
        <v>3</v>
      </c>
      <c r="AF398" t="n">
        <v>7</v>
      </c>
      <c r="AG398" t="n">
        <v>7</v>
      </c>
      <c r="AH398" t="n">
        <v>1</v>
      </c>
      <c r="AI398" t="n">
        <v>1</v>
      </c>
      <c r="AJ398" t="n">
        <v>1</v>
      </c>
      <c r="AK398" t="n">
        <v>1</v>
      </c>
      <c r="AL398" t="n">
        <v>1</v>
      </c>
      <c r="AM398" t="n">
        <v>1</v>
      </c>
      <c r="AN398" t="n">
        <v>2</v>
      </c>
      <c r="AO398" t="n">
        <v>2</v>
      </c>
      <c r="AP398" t="n">
        <v>3</v>
      </c>
      <c r="AQ398" t="n">
        <v>3</v>
      </c>
      <c r="AR398" t="inlineStr">
        <is>
          <t>No</t>
        </is>
      </c>
      <c r="AS398" t="inlineStr">
        <is>
          <t>Yes</t>
        </is>
      </c>
      <c r="AT398">
        <f>HYPERLINK("http://catalog.hathitrust.org/Record/008307050","HathiTrust Record")</f>
        <v/>
      </c>
      <c r="AU398">
        <f>HYPERLINK("https://creighton-primo.hosted.exlibrisgroup.com/primo-explore/search?tab=default_tab&amp;search_scope=EVERYTHING&amp;vid=01CRU&amp;lang=en_US&amp;offset=0&amp;query=any,contains,991000339719702656","Catalog Record")</f>
        <v/>
      </c>
      <c r="AV398">
        <f>HYPERLINK("http://www.worldcat.org/oclc/10251619","WorldCat Record")</f>
        <v/>
      </c>
      <c r="AW398" t="inlineStr">
        <is>
          <t>997923081:eng</t>
        </is>
      </c>
      <c r="AX398" t="inlineStr">
        <is>
          <t>10251619</t>
        </is>
      </c>
      <c r="AY398" t="inlineStr">
        <is>
          <t>991000339719702656</t>
        </is>
      </c>
      <c r="AZ398" t="inlineStr">
        <is>
          <t>991000339719702656</t>
        </is>
      </c>
      <c r="BA398" t="inlineStr">
        <is>
          <t>2264457980002656</t>
        </is>
      </c>
      <c r="BB398" t="inlineStr">
        <is>
          <t>BOOK</t>
        </is>
      </c>
      <c r="BD398" t="inlineStr">
        <is>
          <t>9780932930576</t>
        </is>
      </c>
      <c r="BE398" t="inlineStr">
        <is>
          <t>32285000075597</t>
        </is>
      </c>
      <c r="BF398" t="inlineStr">
        <is>
          <t>893714502</t>
        </is>
      </c>
    </row>
    <row r="399">
      <c r="B399" t="inlineStr">
        <is>
          <t>CURAL</t>
        </is>
      </c>
      <c r="C399" t="inlineStr">
        <is>
          <t>SHELVES</t>
        </is>
      </c>
      <c r="D399" t="inlineStr">
        <is>
          <t>KF9242 .M28 1985</t>
        </is>
      </c>
      <c r="E399" t="inlineStr">
        <is>
          <t>0                      KF 9242000M  28          1985</t>
        </is>
      </c>
      <c r="F399" t="inlineStr">
        <is>
          <t>Crime and madness : the origins and evolution of the insanity defense / Thomas Maeder.</t>
        </is>
      </c>
      <c r="H399" t="inlineStr">
        <is>
          <t>No</t>
        </is>
      </c>
      <c r="I399" t="inlineStr">
        <is>
          <t>1</t>
        </is>
      </c>
      <c r="J399" t="inlineStr">
        <is>
          <t>Yes</t>
        </is>
      </c>
      <c r="K399" t="inlineStr">
        <is>
          <t>No</t>
        </is>
      </c>
      <c r="L399" t="inlineStr">
        <is>
          <t>0</t>
        </is>
      </c>
      <c r="M399" t="inlineStr">
        <is>
          <t>Maeder, Thomas.</t>
        </is>
      </c>
      <c r="N399" t="inlineStr">
        <is>
          <t>New York : Harper &amp; Row, c1985.</t>
        </is>
      </c>
      <c r="O399" t="inlineStr">
        <is>
          <t>1985</t>
        </is>
      </c>
      <c r="P399" t="inlineStr">
        <is>
          <t>1st ed.</t>
        </is>
      </c>
      <c r="Q399" t="inlineStr">
        <is>
          <t>eng</t>
        </is>
      </c>
      <c r="R399" t="inlineStr">
        <is>
          <t>nyu</t>
        </is>
      </c>
      <c r="T399" t="inlineStr">
        <is>
          <t xml:space="preserve">KF </t>
        </is>
      </c>
      <c r="U399" t="n">
        <v>27</v>
      </c>
      <c r="V399" t="n">
        <v>31</v>
      </c>
      <c r="W399" t="inlineStr">
        <is>
          <t>2009-04-21</t>
        </is>
      </c>
      <c r="X399" t="inlineStr">
        <is>
          <t>2009-04-21</t>
        </is>
      </c>
      <c r="Y399" t="inlineStr">
        <is>
          <t>1992-03-31</t>
        </is>
      </c>
      <c r="Z399" t="inlineStr">
        <is>
          <t>1995-09-27</t>
        </is>
      </c>
      <c r="AA399" t="n">
        <v>939</v>
      </c>
      <c r="AB399" t="n">
        <v>882</v>
      </c>
      <c r="AC399" t="n">
        <v>885</v>
      </c>
      <c r="AD399" t="n">
        <v>5</v>
      </c>
      <c r="AE399" t="n">
        <v>5</v>
      </c>
      <c r="AF399" t="n">
        <v>35</v>
      </c>
      <c r="AG399" t="n">
        <v>35</v>
      </c>
      <c r="AH399" t="n">
        <v>9</v>
      </c>
      <c r="AI399" t="n">
        <v>9</v>
      </c>
      <c r="AJ399" t="n">
        <v>4</v>
      </c>
      <c r="AK399" t="n">
        <v>4</v>
      </c>
      <c r="AL399" t="n">
        <v>8</v>
      </c>
      <c r="AM399" t="n">
        <v>8</v>
      </c>
      <c r="AN399" t="n">
        <v>3</v>
      </c>
      <c r="AO399" t="n">
        <v>3</v>
      </c>
      <c r="AP399" t="n">
        <v>16</v>
      </c>
      <c r="AQ399" t="n">
        <v>16</v>
      </c>
      <c r="AR399" t="inlineStr">
        <is>
          <t>No</t>
        </is>
      </c>
      <c r="AS399" t="inlineStr">
        <is>
          <t>Yes</t>
        </is>
      </c>
      <c r="AT399">
        <f>HYPERLINK("http://catalog.hathitrust.org/Record/000608923","HathiTrust Record")</f>
        <v/>
      </c>
      <c r="AU399">
        <f>HYPERLINK("https://creighton-primo.hosted.exlibrisgroup.com/primo-explore/search?tab=default_tab&amp;search_scope=EVERYTHING&amp;vid=01CRU&amp;lang=en_US&amp;offset=0&amp;query=any,contains,991001630039702656","Catalog Record")</f>
        <v/>
      </c>
      <c r="AV399">
        <f>HYPERLINK("http://www.worldcat.org/oclc/11842551","WorldCat Record")</f>
        <v/>
      </c>
      <c r="AW399" t="inlineStr">
        <is>
          <t>429820652:eng</t>
        </is>
      </c>
      <c r="AX399" t="inlineStr">
        <is>
          <t>11842551</t>
        </is>
      </c>
      <c r="AY399" t="inlineStr">
        <is>
          <t>991001630039702656</t>
        </is>
      </c>
      <c r="AZ399" t="inlineStr">
        <is>
          <t>991001630039702656</t>
        </is>
      </c>
      <c r="BA399" t="inlineStr">
        <is>
          <t>2264630260002656</t>
        </is>
      </c>
      <c r="BB399" t="inlineStr">
        <is>
          <t>BOOK</t>
        </is>
      </c>
      <c r="BD399" t="inlineStr">
        <is>
          <t>9780060154356</t>
        </is>
      </c>
      <c r="BE399" t="inlineStr">
        <is>
          <t>32285001031185</t>
        </is>
      </c>
      <c r="BF399" t="inlineStr">
        <is>
          <t>893244255</t>
        </is>
      </c>
    </row>
    <row r="400">
      <c r="B400" t="inlineStr">
        <is>
          <t>CURAL</t>
        </is>
      </c>
      <c r="C400" t="inlineStr">
        <is>
          <t>SHELVES</t>
        </is>
      </c>
      <c r="D400" t="inlineStr">
        <is>
          <t>KF9345.N44 L5</t>
        </is>
      </c>
      <c r="E400" t="inlineStr">
        <is>
          <t>0                      KF 9345000N  44                 L  5</t>
        </is>
      </c>
      <c r="F400" t="inlineStr">
        <is>
          <t>Libel in news of congressional investigating committees / by Harold L. Nelson.</t>
        </is>
      </c>
      <c r="H400" t="inlineStr">
        <is>
          <t>No</t>
        </is>
      </c>
      <c r="I400" t="inlineStr">
        <is>
          <t>1</t>
        </is>
      </c>
      <c r="J400" t="inlineStr">
        <is>
          <t>Yes</t>
        </is>
      </c>
      <c r="K400" t="inlineStr">
        <is>
          <t>No</t>
        </is>
      </c>
      <c r="L400" t="inlineStr">
        <is>
          <t>0</t>
        </is>
      </c>
      <c r="M400" t="inlineStr">
        <is>
          <t>Nelson, Harold L. (Harold Lewis)</t>
        </is>
      </c>
      <c r="N400" t="inlineStr">
        <is>
          <t>Minneapolis : University of Minnesota Press, c1961.</t>
        </is>
      </c>
      <c r="O400" t="inlineStr">
        <is>
          <t>1961</t>
        </is>
      </c>
      <c r="Q400" t="inlineStr">
        <is>
          <t>eng</t>
        </is>
      </c>
      <c r="R400" t="inlineStr">
        <is>
          <t>mnu</t>
        </is>
      </c>
      <c r="T400" t="inlineStr">
        <is>
          <t xml:space="preserve">KF </t>
        </is>
      </c>
      <c r="U400" t="n">
        <v>1</v>
      </c>
      <c r="V400" t="n">
        <v>1</v>
      </c>
      <c r="W400" t="inlineStr">
        <is>
          <t>2004-09-13</t>
        </is>
      </c>
      <c r="X400" t="inlineStr">
        <is>
          <t>2004-09-13</t>
        </is>
      </c>
      <c r="Y400" t="inlineStr">
        <is>
          <t>1997-04-21</t>
        </is>
      </c>
      <c r="Z400" t="inlineStr">
        <is>
          <t>2006-05-15</t>
        </is>
      </c>
      <c r="AA400" t="n">
        <v>396</v>
      </c>
      <c r="AB400" t="n">
        <v>363</v>
      </c>
      <c r="AC400" t="n">
        <v>833</v>
      </c>
      <c r="AD400" t="n">
        <v>5</v>
      </c>
      <c r="AE400" t="n">
        <v>9</v>
      </c>
      <c r="AF400" t="n">
        <v>26</v>
      </c>
      <c r="AG400" t="n">
        <v>53</v>
      </c>
      <c r="AH400" t="n">
        <v>5</v>
      </c>
      <c r="AI400" t="n">
        <v>17</v>
      </c>
      <c r="AJ400" t="n">
        <v>3</v>
      </c>
      <c r="AK400" t="n">
        <v>9</v>
      </c>
      <c r="AL400" t="n">
        <v>8</v>
      </c>
      <c r="AM400" t="n">
        <v>17</v>
      </c>
      <c r="AN400" t="n">
        <v>2</v>
      </c>
      <c r="AO400" t="n">
        <v>6</v>
      </c>
      <c r="AP400" t="n">
        <v>12</v>
      </c>
      <c r="AQ400" t="n">
        <v>13</v>
      </c>
      <c r="AR400" t="inlineStr">
        <is>
          <t>No</t>
        </is>
      </c>
      <c r="AS400" t="inlineStr">
        <is>
          <t>No</t>
        </is>
      </c>
      <c r="AT400">
        <f>HYPERLINK("http://catalog.hathitrust.org/Record/001142447","HathiTrust Record")</f>
        <v/>
      </c>
      <c r="AU400">
        <f>HYPERLINK("https://creighton-primo.hosted.exlibrisgroup.com/primo-explore/search?tab=default_tab&amp;search_scope=EVERYTHING&amp;vid=01CRU&amp;lang=en_US&amp;offset=0&amp;query=any,contains,991001628569702656","Catalog Record")</f>
        <v/>
      </c>
      <c r="AV400">
        <f>HYPERLINK("http://www.worldcat.org/oclc/264998","WorldCat Record")</f>
        <v/>
      </c>
      <c r="AW400" t="inlineStr">
        <is>
          <t>1381197:eng</t>
        </is>
      </c>
      <c r="AX400" t="inlineStr">
        <is>
          <t>264998</t>
        </is>
      </c>
      <c r="AY400" t="inlineStr">
        <is>
          <t>991001628569702656</t>
        </is>
      </c>
      <c r="AZ400" t="inlineStr">
        <is>
          <t>991001628569702656</t>
        </is>
      </c>
      <c r="BA400" t="inlineStr">
        <is>
          <t>2268077080002656</t>
        </is>
      </c>
      <c r="BB400" t="inlineStr">
        <is>
          <t>BOOK</t>
        </is>
      </c>
      <c r="BE400" t="inlineStr">
        <is>
          <t>32285002554029</t>
        </is>
      </c>
      <c r="BF400" t="inlineStr">
        <is>
          <t>893891684</t>
        </is>
      </c>
    </row>
    <row r="401">
      <c r="B401" t="inlineStr">
        <is>
          <t>CURAL</t>
        </is>
      </c>
      <c r="C401" t="inlineStr">
        <is>
          <t>SHELVES</t>
        </is>
      </c>
      <c r="D401" t="inlineStr">
        <is>
          <t>KF9390 .B37 1985</t>
        </is>
      </c>
      <c r="E401" t="inlineStr">
        <is>
          <t>0                      KF 9390000B  37          1985</t>
        </is>
      </c>
      <c r="F401" t="inlineStr">
        <is>
          <t>Protesters on trial : criminal justice in the Southern civil rights and Vietnam antiwar movements / Steven E. Barkan.</t>
        </is>
      </c>
      <c r="H401" t="inlineStr">
        <is>
          <t>No</t>
        </is>
      </c>
      <c r="I401" t="inlineStr">
        <is>
          <t>1</t>
        </is>
      </c>
      <c r="J401" t="inlineStr">
        <is>
          <t>No</t>
        </is>
      </c>
      <c r="K401" t="inlineStr">
        <is>
          <t>No</t>
        </is>
      </c>
      <c r="L401" t="inlineStr">
        <is>
          <t>0</t>
        </is>
      </c>
      <c r="M401" t="inlineStr">
        <is>
          <t>Barkan, Steven E., 1951-</t>
        </is>
      </c>
      <c r="N401" t="inlineStr">
        <is>
          <t>New Brunswick, N.J. : Rutgers University Press, c1985.</t>
        </is>
      </c>
      <c r="O401" t="inlineStr">
        <is>
          <t>1985</t>
        </is>
      </c>
      <c r="Q401" t="inlineStr">
        <is>
          <t>eng</t>
        </is>
      </c>
      <c r="R401" t="inlineStr">
        <is>
          <t>nju</t>
        </is>
      </c>
      <c r="S401" t="inlineStr">
        <is>
          <t>Crime, law, and deviance series</t>
        </is>
      </c>
      <c r="T401" t="inlineStr">
        <is>
          <t xml:space="preserve">KF </t>
        </is>
      </c>
      <c r="U401" t="n">
        <v>1</v>
      </c>
      <c r="V401" t="n">
        <v>1</v>
      </c>
      <c r="W401" t="inlineStr">
        <is>
          <t>2004-04-27</t>
        </is>
      </c>
      <c r="X401" t="inlineStr">
        <is>
          <t>2004-04-27</t>
        </is>
      </c>
      <c r="Y401" t="inlineStr">
        <is>
          <t>1992-07-27</t>
        </is>
      </c>
      <c r="Z401" t="inlineStr">
        <is>
          <t>1992-07-27</t>
        </is>
      </c>
      <c r="AA401" t="n">
        <v>546</v>
      </c>
      <c r="AB401" t="n">
        <v>501</v>
      </c>
      <c r="AC401" t="n">
        <v>502</v>
      </c>
      <c r="AD401" t="n">
        <v>3</v>
      </c>
      <c r="AE401" t="n">
        <v>3</v>
      </c>
      <c r="AF401" t="n">
        <v>36</v>
      </c>
      <c r="AG401" t="n">
        <v>36</v>
      </c>
      <c r="AH401" t="n">
        <v>8</v>
      </c>
      <c r="AI401" t="n">
        <v>8</v>
      </c>
      <c r="AJ401" t="n">
        <v>9</v>
      </c>
      <c r="AK401" t="n">
        <v>9</v>
      </c>
      <c r="AL401" t="n">
        <v>10</v>
      </c>
      <c r="AM401" t="n">
        <v>10</v>
      </c>
      <c r="AN401" t="n">
        <v>2</v>
      </c>
      <c r="AO401" t="n">
        <v>2</v>
      </c>
      <c r="AP401" t="n">
        <v>16</v>
      </c>
      <c r="AQ401" t="n">
        <v>16</v>
      </c>
      <c r="AR401" t="inlineStr">
        <is>
          <t>No</t>
        </is>
      </c>
      <c r="AS401" t="inlineStr">
        <is>
          <t>No</t>
        </is>
      </c>
      <c r="AU401">
        <f>HYPERLINK("https://creighton-primo.hosted.exlibrisgroup.com/primo-explore/search?tab=default_tab&amp;search_scope=EVERYTHING&amp;vid=01CRU&amp;lang=en_US&amp;offset=0&amp;query=any,contains,991000584209702656","Catalog Record")</f>
        <v/>
      </c>
      <c r="AV401">
        <f>HYPERLINK("http://www.worldcat.org/oclc/11755697","WorldCat Record")</f>
        <v/>
      </c>
      <c r="AW401" t="inlineStr">
        <is>
          <t>141336830:eng</t>
        </is>
      </c>
      <c r="AX401" t="inlineStr">
        <is>
          <t>11755697</t>
        </is>
      </c>
      <c r="AY401" t="inlineStr">
        <is>
          <t>991000584209702656</t>
        </is>
      </c>
      <c r="AZ401" t="inlineStr">
        <is>
          <t>991000584209702656</t>
        </is>
      </c>
      <c r="BA401" t="inlineStr">
        <is>
          <t>2270734330002656</t>
        </is>
      </c>
      <c r="BB401" t="inlineStr">
        <is>
          <t>BOOK</t>
        </is>
      </c>
      <c r="BD401" t="inlineStr">
        <is>
          <t>9780813511085</t>
        </is>
      </c>
      <c r="BE401" t="inlineStr">
        <is>
          <t>32285001230779</t>
        </is>
      </c>
      <c r="BF401" t="inlineStr">
        <is>
          <t>893695966</t>
        </is>
      </c>
    </row>
    <row r="402">
      <c r="B402" t="inlineStr">
        <is>
          <t>CURAL</t>
        </is>
      </c>
      <c r="C402" t="inlineStr">
        <is>
          <t>SHELVES</t>
        </is>
      </c>
      <c r="D402" t="inlineStr">
        <is>
          <t>KF9392 .C43</t>
        </is>
      </c>
      <c r="E402" t="inlineStr">
        <is>
          <t>0                      KF 9392000C  43</t>
        </is>
      </c>
      <c r="F402" t="inlineStr">
        <is>
          <t>The American law of treason : revolutionary and early national origins / Bradley Cahpin.</t>
        </is>
      </c>
      <c r="H402" t="inlineStr">
        <is>
          <t>No</t>
        </is>
      </c>
      <c r="I402" t="inlineStr">
        <is>
          <t>1</t>
        </is>
      </c>
      <c r="J402" t="inlineStr">
        <is>
          <t>Yes</t>
        </is>
      </c>
      <c r="K402" t="inlineStr">
        <is>
          <t>No</t>
        </is>
      </c>
      <c r="L402" t="inlineStr">
        <is>
          <t>0</t>
        </is>
      </c>
      <c r="M402" t="inlineStr">
        <is>
          <t>Chapin, Bradley.</t>
        </is>
      </c>
      <c r="N402" t="inlineStr">
        <is>
          <t>Seattle : University of Washington Press, c1964.</t>
        </is>
      </c>
      <c r="O402" t="inlineStr">
        <is>
          <t>1964</t>
        </is>
      </c>
      <c r="Q402" t="inlineStr">
        <is>
          <t>eng</t>
        </is>
      </c>
      <c r="R402" t="inlineStr">
        <is>
          <t>wau</t>
        </is>
      </c>
      <c r="S402" t="inlineStr">
        <is>
          <t>University of Washington publications in history</t>
        </is>
      </c>
      <c r="T402" t="inlineStr">
        <is>
          <t xml:space="preserve">KF </t>
        </is>
      </c>
      <c r="U402" t="n">
        <v>6</v>
      </c>
      <c r="V402" t="n">
        <v>6</v>
      </c>
      <c r="W402" t="inlineStr">
        <is>
          <t>2003-03-08</t>
        </is>
      </c>
      <c r="X402" t="inlineStr">
        <is>
          <t>2003-03-08</t>
        </is>
      </c>
      <c r="Y402" t="inlineStr">
        <is>
          <t>1997-09-04</t>
        </is>
      </c>
      <c r="Z402" t="inlineStr">
        <is>
          <t>2006-05-15</t>
        </is>
      </c>
      <c r="AA402" t="n">
        <v>716</v>
      </c>
      <c r="AB402" t="n">
        <v>649</v>
      </c>
      <c r="AC402" t="n">
        <v>662</v>
      </c>
      <c r="AD402" t="n">
        <v>6</v>
      </c>
      <c r="AE402" t="n">
        <v>6</v>
      </c>
      <c r="AF402" t="n">
        <v>41</v>
      </c>
      <c r="AG402" t="n">
        <v>41</v>
      </c>
      <c r="AH402" t="n">
        <v>6</v>
      </c>
      <c r="AI402" t="n">
        <v>6</v>
      </c>
      <c r="AJ402" t="n">
        <v>7</v>
      </c>
      <c r="AK402" t="n">
        <v>7</v>
      </c>
      <c r="AL402" t="n">
        <v>14</v>
      </c>
      <c r="AM402" t="n">
        <v>14</v>
      </c>
      <c r="AN402" t="n">
        <v>4</v>
      </c>
      <c r="AO402" t="n">
        <v>4</v>
      </c>
      <c r="AP402" t="n">
        <v>16</v>
      </c>
      <c r="AQ402" t="n">
        <v>16</v>
      </c>
      <c r="AR402" t="inlineStr">
        <is>
          <t>No</t>
        </is>
      </c>
      <c r="AS402" t="inlineStr">
        <is>
          <t>No</t>
        </is>
      </c>
      <c r="AU402">
        <f>HYPERLINK("https://creighton-primo.hosted.exlibrisgroup.com/primo-explore/search?tab=default_tab&amp;search_scope=EVERYTHING&amp;vid=01CRU&amp;lang=en_US&amp;offset=0&amp;query=any,contains,991001629179702656","Catalog Record")</f>
        <v/>
      </c>
      <c r="AV402">
        <f>HYPERLINK("http://www.worldcat.org/oclc/272691","WorldCat Record")</f>
        <v/>
      </c>
      <c r="AW402" t="inlineStr">
        <is>
          <t>1403473:eng</t>
        </is>
      </c>
      <c r="AX402" t="inlineStr">
        <is>
          <t>272691</t>
        </is>
      </c>
      <c r="AY402" t="inlineStr">
        <is>
          <t>991001629179702656</t>
        </is>
      </c>
      <c r="AZ402" t="inlineStr">
        <is>
          <t>991001629179702656</t>
        </is>
      </c>
      <c r="BA402" t="inlineStr">
        <is>
          <t>2262450650002656</t>
        </is>
      </c>
      <c r="BB402" t="inlineStr">
        <is>
          <t>BOOK</t>
        </is>
      </c>
      <c r="BE402" t="inlineStr">
        <is>
          <t>32285003162277</t>
        </is>
      </c>
      <c r="BF402" t="inlineStr">
        <is>
          <t>893879001</t>
        </is>
      </c>
    </row>
    <row r="403">
      <c r="B403" t="inlineStr">
        <is>
          <t>CURAL</t>
        </is>
      </c>
      <c r="C403" t="inlineStr">
        <is>
          <t>SHELVES</t>
        </is>
      </c>
      <c r="D403" t="inlineStr">
        <is>
          <t>KF9444 .L48</t>
        </is>
      </c>
      <c r="E403" t="inlineStr">
        <is>
          <t>0                      KF 9444000L  48</t>
        </is>
      </c>
      <c r="F403" t="inlineStr">
        <is>
          <t>Literature, obscenity, &amp; law / by Felice Flanery Lewis.</t>
        </is>
      </c>
      <c r="H403" t="inlineStr">
        <is>
          <t>No</t>
        </is>
      </c>
      <c r="I403" t="inlineStr">
        <is>
          <t>1</t>
        </is>
      </c>
      <c r="J403" t="inlineStr">
        <is>
          <t>Yes</t>
        </is>
      </c>
      <c r="K403" t="inlineStr">
        <is>
          <t>No</t>
        </is>
      </c>
      <c r="L403" t="inlineStr">
        <is>
          <t>0</t>
        </is>
      </c>
      <c r="M403" t="inlineStr">
        <is>
          <t>Lewis, Felice Flanery.</t>
        </is>
      </c>
      <c r="N403" t="inlineStr">
        <is>
          <t>Carbondale : Southern Illinois University Press, c1976.</t>
        </is>
      </c>
      <c r="O403" t="inlineStr">
        <is>
          <t>1976</t>
        </is>
      </c>
      <c r="Q403" t="inlineStr">
        <is>
          <t>eng</t>
        </is>
      </c>
      <c r="R403" t="inlineStr">
        <is>
          <t>ilu</t>
        </is>
      </c>
      <c r="T403" t="inlineStr">
        <is>
          <t xml:space="preserve">KF </t>
        </is>
      </c>
      <c r="U403" t="n">
        <v>6</v>
      </c>
      <c r="V403" t="n">
        <v>9</v>
      </c>
      <c r="W403" t="inlineStr">
        <is>
          <t>2006-05-01</t>
        </is>
      </c>
      <c r="X403" t="inlineStr">
        <is>
          <t>2006-05-01</t>
        </is>
      </c>
      <c r="Y403" t="inlineStr">
        <is>
          <t>1992-11-24</t>
        </is>
      </c>
      <c r="Z403" t="inlineStr">
        <is>
          <t>1993-01-12</t>
        </is>
      </c>
      <c r="AA403" t="n">
        <v>945</v>
      </c>
      <c r="AB403" t="n">
        <v>850</v>
      </c>
      <c r="AC403" t="n">
        <v>861</v>
      </c>
      <c r="AD403" t="n">
        <v>6</v>
      </c>
      <c r="AE403" t="n">
        <v>6</v>
      </c>
      <c r="AF403" t="n">
        <v>44</v>
      </c>
      <c r="AG403" t="n">
        <v>46</v>
      </c>
      <c r="AH403" t="n">
        <v>11</v>
      </c>
      <c r="AI403" t="n">
        <v>12</v>
      </c>
      <c r="AJ403" t="n">
        <v>5</v>
      </c>
      <c r="AK403" t="n">
        <v>5</v>
      </c>
      <c r="AL403" t="n">
        <v>14</v>
      </c>
      <c r="AM403" t="n">
        <v>15</v>
      </c>
      <c r="AN403" t="n">
        <v>4</v>
      </c>
      <c r="AO403" t="n">
        <v>4</v>
      </c>
      <c r="AP403" t="n">
        <v>15</v>
      </c>
      <c r="AQ403" t="n">
        <v>16</v>
      </c>
      <c r="AR403" t="inlineStr">
        <is>
          <t>No</t>
        </is>
      </c>
      <c r="AS403" t="inlineStr">
        <is>
          <t>Yes</t>
        </is>
      </c>
      <c r="AT403">
        <f>HYPERLINK("http://catalog.hathitrust.org/Record/000710669","HathiTrust Record")</f>
        <v/>
      </c>
      <c r="AU403">
        <f>HYPERLINK("https://creighton-primo.hosted.exlibrisgroup.com/primo-explore/search?tab=default_tab&amp;search_scope=EVERYTHING&amp;vid=01CRU&amp;lang=en_US&amp;offset=0&amp;query=any,contains,991001740089702656","Catalog Record")</f>
        <v/>
      </c>
      <c r="AV403">
        <f>HYPERLINK("http://www.worldcat.org/oclc/1959650","WorldCat Record")</f>
        <v/>
      </c>
      <c r="AW403" t="inlineStr">
        <is>
          <t>466965:eng</t>
        </is>
      </c>
      <c r="AX403" t="inlineStr">
        <is>
          <t>1959650</t>
        </is>
      </c>
      <c r="AY403" t="inlineStr">
        <is>
          <t>991001740089702656</t>
        </is>
      </c>
      <c r="AZ403" t="inlineStr">
        <is>
          <t>991001740089702656</t>
        </is>
      </c>
      <c r="BA403" t="inlineStr">
        <is>
          <t>2266132530002656</t>
        </is>
      </c>
      <c r="BB403" t="inlineStr">
        <is>
          <t>BOOK</t>
        </is>
      </c>
      <c r="BD403" t="inlineStr">
        <is>
          <t>9780809307494</t>
        </is>
      </c>
      <c r="BE403" t="inlineStr">
        <is>
          <t>32285001408730</t>
        </is>
      </c>
      <c r="BF403" t="inlineStr">
        <is>
          <t>893797784</t>
        </is>
      </c>
    </row>
    <row r="404">
      <c r="B404" t="inlineStr">
        <is>
          <t>CURAL</t>
        </is>
      </c>
      <c r="C404" t="inlineStr">
        <is>
          <t>SHELVES</t>
        </is>
      </c>
      <c r="D404" t="inlineStr">
        <is>
          <t>KF9444 .R4</t>
        </is>
      </c>
      <c r="E404" t="inlineStr">
        <is>
          <t>0                      KF 9444000R  4</t>
        </is>
      </c>
      <c r="F404" t="inlineStr">
        <is>
          <t>The end of obscenity : the trials of Lady Chatterley, Tropic of Cancer, and Fanny Hill.</t>
        </is>
      </c>
      <c r="H404" t="inlineStr">
        <is>
          <t>No</t>
        </is>
      </c>
      <c r="I404" t="inlineStr">
        <is>
          <t>1</t>
        </is>
      </c>
      <c r="J404" t="inlineStr">
        <is>
          <t>No</t>
        </is>
      </c>
      <c r="K404" t="inlineStr">
        <is>
          <t>Yes</t>
        </is>
      </c>
      <c r="L404" t="inlineStr">
        <is>
          <t>0</t>
        </is>
      </c>
      <c r="M404" t="inlineStr">
        <is>
          <t>Rembar, Charles.</t>
        </is>
      </c>
      <c r="N404" t="inlineStr">
        <is>
          <t>New York : Random House, [c1968]</t>
        </is>
      </c>
      <c r="O404" t="inlineStr">
        <is>
          <t>1968</t>
        </is>
      </c>
      <c r="Q404" t="inlineStr">
        <is>
          <t>eng</t>
        </is>
      </c>
      <c r="R404" t="inlineStr">
        <is>
          <t>nyu</t>
        </is>
      </c>
      <c r="T404" t="inlineStr">
        <is>
          <t xml:space="preserve">KF </t>
        </is>
      </c>
      <c r="U404" t="n">
        <v>1</v>
      </c>
      <c r="V404" t="n">
        <v>1</v>
      </c>
      <c r="W404" t="inlineStr">
        <is>
          <t>2006-05-01</t>
        </is>
      </c>
      <c r="X404" t="inlineStr">
        <is>
          <t>2006-05-01</t>
        </is>
      </c>
      <c r="Y404" t="inlineStr">
        <is>
          <t>1994-07-21</t>
        </is>
      </c>
      <c r="Z404" t="inlineStr">
        <is>
          <t>1994-07-21</t>
        </is>
      </c>
      <c r="AA404" t="n">
        <v>1198</v>
      </c>
      <c r="AB404" t="n">
        <v>1108</v>
      </c>
      <c r="AC404" t="n">
        <v>1271</v>
      </c>
      <c r="AD404" t="n">
        <v>9</v>
      </c>
      <c r="AE404" t="n">
        <v>10</v>
      </c>
      <c r="AF404" t="n">
        <v>58</v>
      </c>
      <c r="AG404" t="n">
        <v>65</v>
      </c>
      <c r="AH404" t="n">
        <v>19</v>
      </c>
      <c r="AI404" t="n">
        <v>23</v>
      </c>
      <c r="AJ404" t="n">
        <v>7</v>
      </c>
      <c r="AK404" t="n">
        <v>7</v>
      </c>
      <c r="AL404" t="n">
        <v>18</v>
      </c>
      <c r="AM404" t="n">
        <v>20</v>
      </c>
      <c r="AN404" t="n">
        <v>5</v>
      </c>
      <c r="AO404" t="n">
        <v>5</v>
      </c>
      <c r="AP404" t="n">
        <v>20</v>
      </c>
      <c r="AQ404" t="n">
        <v>22</v>
      </c>
      <c r="AR404" t="inlineStr">
        <is>
          <t>No</t>
        </is>
      </c>
      <c r="AS404" t="inlineStr">
        <is>
          <t>Yes</t>
        </is>
      </c>
      <c r="AT404">
        <f>HYPERLINK("http://catalog.hathitrust.org/Record/001107332","HathiTrust Record")</f>
        <v/>
      </c>
      <c r="AU404">
        <f>HYPERLINK("https://creighton-primo.hosted.exlibrisgroup.com/primo-explore/search?tab=default_tab&amp;search_scope=EVERYTHING&amp;vid=01CRU&amp;lang=en_US&amp;offset=0&amp;query=any,contains,991001527579702656","Catalog Record")</f>
        <v/>
      </c>
      <c r="AV404">
        <f>HYPERLINK("http://www.worldcat.org/oclc/232256","WorldCat Record")</f>
        <v/>
      </c>
      <c r="AW404" t="inlineStr">
        <is>
          <t>1225832:eng</t>
        </is>
      </c>
      <c r="AX404" t="inlineStr">
        <is>
          <t>232256</t>
        </is>
      </c>
      <c r="AY404" t="inlineStr">
        <is>
          <t>991001527579702656</t>
        </is>
      </c>
      <c r="AZ404" t="inlineStr">
        <is>
          <t>991001527579702656</t>
        </is>
      </c>
      <c r="BA404" t="inlineStr">
        <is>
          <t>2258540700002656</t>
        </is>
      </c>
      <c r="BB404" t="inlineStr">
        <is>
          <t>BOOK</t>
        </is>
      </c>
      <c r="BE404" t="inlineStr">
        <is>
          <t>32285001937118</t>
        </is>
      </c>
      <c r="BF404" t="inlineStr">
        <is>
          <t>893866296</t>
        </is>
      </c>
    </row>
    <row r="405">
      <c r="B405" t="inlineStr">
        <is>
          <t>CURAL</t>
        </is>
      </c>
      <c r="C405" t="inlineStr">
        <is>
          <t>SHELVES</t>
        </is>
      </c>
      <c r="D405" t="inlineStr">
        <is>
          <t>KF9444 .S3</t>
        </is>
      </c>
      <c r="E405" t="inlineStr">
        <is>
          <t>0                      KF 9444000S  3</t>
        </is>
      </c>
      <c r="F405" t="inlineStr">
        <is>
          <t>The law of obscenity / Frederick F. Schauer.</t>
        </is>
      </c>
      <c r="H405" t="inlineStr">
        <is>
          <t>No</t>
        </is>
      </c>
      <c r="I405" t="inlineStr">
        <is>
          <t>1</t>
        </is>
      </c>
      <c r="J405" t="inlineStr">
        <is>
          <t>Yes</t>
        </is>
      </c>
      <c r="K405" t="inlineStr">
        <is>
          <t>No</t>
        </is>
      </c>
      <c r="L405" t="inlineStr">
        <is>
          <t>0</t>
        </is>
      </c>
      <c r="M405" t="inlineStr">
        <is>
          <t>Schauer, Frederick F.</t>
        </is>
      </c>
      <c r="N405" t="inlineStr">
        <is>
          <t>Washington : Bureau of National Affairs, 1976.</t>
        </is>
      </c>
      <c r="O405" t="inlineStr">
        <is>
          <t>1976</t>
        </is>
      </c>
      <c r="Q405" t="inlineStr">
        <is>
          <t>eng</t>
        </is>
      </c>
      <c r="R405" t="inlineStr">
        <is>
          <t>dcu</t>
        </is>
      </c>
      <c r="T405" t="inlineStr">
        <is>
          <t xml:space="preserve">KF </t>
        </is>
      </c>
      <c r="U405" t="n">
        <v>10</v>
      </c>
      <c r="V405" t="n">
        <v>14</v>
      </c>
      <c r="W405" t="inlineStr">
        <is>
          <t>2006-05-01</t>
        </is>
      </c>
      <c r="X405" t="inlineStr">
        <is>
          <t>2006-05-01</t>
        </is>
      </c>
      <c r="Y405" t="inlineStr">
        <is>
          <t>1992-05-04</t>
        </is>
      </c>
      <c r="Z405" t="inlineStr">
        <is>
          <t>1993-01-12</t>
        </is>
      </c>
      <c r="AA405" t="n">
        <v>496</v>
      </c>
      <c r="AB405" t="n">
        <v>451</v>
      </c>
      <c r="AC405" t="n">
        <v>458</v>
      </c>
      <c r="AD405" t="n">
        <v>5</v>
      </c>
      <c r="AE405" t="n">
        <v>5</v>
      </c>
      <c r="AF405" t="n">
        <v>32</v>
      </c>
      <c r="AG405" t="n">
        <v>32</v>
      </c>
      <c r="AH405" t="n">
        <v>6</v>
      </c>
      <c r="AI405" t="n">
        <v>6</v>
      </c>
      <c r="AJ405" t="n">
        <v>5</v>
      </c>
      <c r="AK405" t="n">
        <v>5</v>
      </c>
      <c r="AL405" t="n">
        <v>7</v>
      </c>
      <c r="AM405" t="n">
        <v>7</v>
      </c>
      <c r="AN405" t="n">
        <v>2</v>
      </c>
      <c r="AO405" t="n">
        <v>2</v>
      </c>
      <c r="AP405" t="n">
        <v>18</v>
      </c>
      <c r="AQ405" t="n">
        <v>18</v>
      </c>
      <c r="AR405" t="inlineStr">
        <is>
          <t>No</t>
        </is>
      </c>
      <c r="AS405" t="inlineStr">
        <is>
          <t>Yes</t>
        </is>
      </c>
      <c r="AT405">
        <f>HYPERLINK("http://catalog.hathitrust.org/Record/004510082","HathiTrust Record")</f>
        <v/>
      </c>
      <c r="AU405">
        <f>HYPERLINK("https://creighton-primo.hosted.exlibrisgroup.com/primo-explore/search?tab=default_tab&amp;search_scope=EVERYTHING&amp;vid=01CRU&amp;lang=en_US&amp;offset=0&amp;query=any,contains,991001761009702656","Catalog Record")</f>
        <v/>
      </c>
      <c r="AV405">
        <f>HYPERLINK("http://www.worldcat.org/oclc/2372658","WorldCat Record")</f>
        <v/>
      </c>
      <c r="AW405" t="inlineStr">
        <is>
          <t>4746982:eng</t>
        </is>
      </c>
      <c r="AX405" t="inlineStr">
        <is>
          <t>2372658</t>
        </is>
      </c>
      <c r="AY405" t="inlineStr">
        <is>
          <t>991001761009702656</t>
        </is>
      </c>
      <c r="AZ405" t="inlineStr">
        <is>
          <t>991001761009702656</t>
        </is>
      </c>
      <c r="BA405" t="inlineStr">
        <is>
          <t>2255332450002656</t>
        </is>
      </c>
      <c r="BB405" t="inlineStr">
        <is>
          <t>BOOK</t>
        </is>
      </c>
      <c r="BD405" t="inlineStr">
        <is>
          <t>9780871792549</t>
        </is>
      </c>
      <c r="BE405" t="inlineStr">
        <is>
          <t>32285001096576</t>
        </is>
      </c>
      <c r="BF405" t="inlineStr">
        <is>
          <t>893408331</t>
        </is>
      </c>
    </row>
    <row r="406">
      <c r="B406" t="inlineStr">
        <is>
          <t>CURAL</t>
        </is>
      </c>
      <c r="C406" t="inlineStr">
        <is>
          <t>SHELVES</t>
        </is>
      </c>
      <c r="D406" t="inlineStr">
        <is>
          <t>KF9444 .S85</t>
        </is>
      </c>
      <c r="E406" t="inlineStr">
        <is>
          <t>0                      KF 9444000S  85</t>
        </is>
      </c>
      <c r="F406" t="inlineStr">
        <is>
          <t>Obscenity : the Court, the Congress and the President's Commission / Lane V. Sunderland.</t>
        </is>
      </c>
      <c r="H406" t="inlineStr">
        <is>
          <t>No</t>
        </is>
      </c>
      <c r="I406" t="inlineStr">
        <is>
          <t>1</t>
        </is>
      </c>
      <c r="J406" t="inlineStr">
        <is>
          <t>No</t>
        </is>
      </c>
      <c r="K406" t="inlineStr">
        <is>
          <t>No</t>
        </is>
      </c>
      <c r="L406" t="inlineStr">
        <is>
          <t>0</t>
        </is>
      </c>
      <c r="M406" t="inlineStr">
        <is>
          <t>Sunderland, Lane V.</t>
        </is>
      </c>
      <c r="N406" t="inlineStr">
        <is>
          <t>Washington : American Enterprise Institute for Public Policy Research, 1975, c1974.</t>
        </is>
      </c>
      <c r="O406" t="inlineStr">
        <is>
          <t>1975</t>
        </is>
      </c>
      <c r="Q406" t="inlineStr">
        <is>
          <t>eng</t>
        </is>
      </c>
      <c r="R406" t="inlineStr">
        <is>
          <t>dcu</t>
        </is>
      </c>
      <c r="S406" t="inlineStr">
        <is>
          <t>Domestic affairs studies ; 27</t>
        </is>
      </c>
      <c r="T406" t="inlineStr">
        <is>
          <t xml:space="preserve">KF </t>
        </is>
      </c>
      <c r="U406" t="n">
        <v>1</v>
      </c>
      <c r="V406" t="n">
        <v>1</v>
      </c>
      <c r="W406" t="inlineStr">
        <is>
          <t>2006-05-01</t>
        </is>
      </c>
      <c r="X406" t="inlineStr">
        <is>
          <t>2006-05-01</t>
        </is>
      </c>
      <c r="Y406" t="inlineStr">
        <is>
          <t>1997-04-21</t>
        </is>
      </c>
      <c r="Z406" t="inlineStr">
        <is>
          <t>1997-04-21</t>
        </is>
      </c>
      <c r="AA406" t="n">
        <v>605</v>
      </c>
      <c r="AB406" t="n">
        <v>554</v>
      </c>
      <c r="AC406" t="n">
        <v>595</v>
      </c>
      <c r="AD406" t="n">
        <v>4</v>
      </c>
      <c r="AE406" t="n">
        <v>4</v>
      </c>
      <c r="AF406" t="n">
        <v>34</v>
      </c>
      <c r="AG406" t="n">
        <v>35</v>
      </c>
      <c r="AH406" t="n">
        <v>5</v>
      </c>
      <c r="AI406" t="n">
        <v>5</v>
      </c>
      <c r="AJ406" t="n">
        <v>6</v>
      </c>
      <c r="AK406" t="n">
        <v>6</v>
      </c>
      <c r="AL406" t="n">
        <v>9</v>
      </c>
      <c r="AM406" t="n">
        <v>9</v>
      </c>
      <c r="AN406" t="n">
        <v>3</v>
      </c>
      <c r="AO406" t="n">
        <v>3</v>
      </c>
      <c r="AP406" t="n">
        <v>15</v>
      </c>
      <c r="AQ406" t="n">
        <v>16</v>
      </c>
      <c r="AR406" t="inlineStr">
        <is>
          <t>No</t>
        </is>
      </c>
      <c r="AS406" t="inlineStr">
        <is>
          <t>Yes</t>
        </is>
      </c>
      <c r="AT406">
        <f>HYPERLINK("http://catalog.hathitrust.org/Record/001109897","HathiTrust Record")</f>
        <v/>
      </c>
      <c r="AU406">
        <f>HYPERLINK("https://creighton-primo.hosted.exlibrisgroup.com/primo-explore/search?tab=default_tab&amp;search_scope=EVERYTHING&amp;vid=01CRU&amp;lang=en_US&amp;offset=0&amp;query=any,contains,991003652319702656","Catalog Record")</f>
        <v/>
      </c>
      <c r="AV406">
        <f>HYPERLINK("http://www.worldcat.org/oclc/1256108","WorldCat Record")</f>
        <v/>
      </c>
      <c r="AW406" t="inlineStr">
        <is>
          <t>290944294:eng</t>
        </is>
      </c>
      <c r="AX406" t="inlineStr">
        <is>
          <t>1256108</t>
        </is>
      </c>
      <c r="AY406" t="inlineStr">
        <is>
          <t>991003652319702656</t>
        </is>
      </c>
      <c r="AZ406" t="inlineStr">
        <is>
          <t>991003652319702656</t>
        </is>
      </c>
      <c r="BA406" t="inlineStr">
        <is>
          <t>2258195370002656</t>
        </is>
      </c>
      <c r="BB406" t="inlineStr">
        <is>
          <t>BOOK</t>
        </is>
      </c>
      <c r="BD406" t="inlineStr">
        <is>
          <t>9780844731490</t>
        </is>
      </c>
      <c r="BE406" t="inlineStr">
        <is>
          <t>32285002554060</t>
        </is>
      </c>
      <c r="BF406" t="inlineStr">
        <is>
          <t>893810095</t>
        </is>
      </c>
    </row>
    <row r="407">
      <c r="B407" t="inlineStr">
        <is>
          <t>CURAL</t>
        </is>
      </c>
      <c r="C407" t="inlineStr">
        <is>
          <t>SHELVES</t>
        </is>
      </c>
      <c r="D407" t="inlineStr">
        <is>
          <t>KF946.A65 C66 1997</t>
        </is>
      </c>
      <c r="E407" t="inlineStr">
        <is>
          <t>0                      KF 0946000A  65                 C  66          1997</t>
        </is>
      </c>
      <c r="F407" t="inlineStr">
        <is>
          <t>Complete book of equipment leasing agreements, forms, worksheets &amp; checklists / Richard M. Contino.</t>
        </is>
      </c>
      <c r="H407" t="inlineStr">
        <is>
          <t>No</t>
        </is>
      </c>
      <c r="I407" t="inlineStr">
        <is>
          <t>1</t>
        </is>
      </c>
      <c r="J407" t="inlineStr">
        <is>
          <t>No</t>
        </is>
      </c>
      <c r="K407" t="inlineStr">
        <is>
          <t>No</t>
        </is>
      </c>
      <c r="L407" t="inlineStr">
        <is>
          <t>0</t>
        </is>
      </c>
      <c r="M407" t="inlineStr">
        <is>
          <t>Contino, Richard M., 1941-</t>
        </is>
      </c>
      <c r="N407" t="inlineStr">
        <is>
          <t>New York : American Management Assoc., c1997.</t>
        </is>
      </c>
      <c r="O407" t="inlineStr">
        <is>
          <t>1997</t>
        </is>
      </c>
      <c r="Q407" t="inlineStr">
        <is>
          <t>eng</t>
        </is>
      </c>
      <c r="R407" t="inlineStr">
        <is>
          <t>nyu</t>
        </is>
      </c>
      <c r="T407" t="inlineStr">
        <is>
          <t xml:space="preserve">KF </t>
        </is>
      </c>
      <c r="U407" t="n">
        <v>2</v>
      </c>
      <c r="V407" t="n">
        <v>2</v>
      </c>
      <c r="W407" t="inlineStr">
        <is>
          <t>2004-10-12</t>
        </is>
      </c>
      <c r="X407" t="inlineStr">
        <is>
          <t>2004-10-12</t>
        </is>
      </c>
      <c r="Y407" t="inlineStr">
        <is>
          <t>1997-06-03</t>
        </is>
      </c>
      <c r="Z407" t="inlineStr">
        <is>
          <t>1997-06-03</t>
        </is>
      </c>
      <c r="AA407" t="n">
        <v>84</v>
      </c>
      <c r="AB407" t="n">
        <v>79</v>
      </c>
      <c r="AC407" t="n">
        <v>79</v>
      </c>
      <c r="AD407" t="n">
        <v>2</v>
      </c>
      <c r="AE407" t="n">
        <v>2</v>
      </c>
      <c r="AF407" t="n">
        <v>3</v>
      </c>
      <c r="AG407" t="n">
        <v>3</v>
      </c>
      <c r="AH407" t="n">
        <v>1</v>
      </c>
      <c r="AI407" t="n">
        <v>1</v>
      </c>
      <c r="AJ407" t="n">
        <v>1</v>
      </c>
      <c r="AK407" t="n">
        <v>1</v>
      </c>
      <c r="AL407" t="n">
        <v>1</v>
      </c>
      <c r="AM407" t="n">
        <v>1</v>
      </c>
      <c r="AN407" t="n">
        <v>1</v>
      </c>
      <c r="AO407" t="n">
        <v>1</v>
      </c>
      <c r="AP407" t="n">
        <v>0</v>
      </c>
      <c r="AQ407" t="n">
        <v>0</v>
      </c>
      <c r="AR407" t="inlineStr">
        <is>
          <t>No</t>
        </is>
      </c>
      <c r="AS407" t="inlineStr">
        <is>
          <t>No</t>
        </is>
      </c>
      <c r="AU407">
        <f>HYPERLINK("https://creighton-primo.hosted.exlibrisgroup.com/primo-explore/search?tab=default_tab&amp;search_scope=EVERYTHING&amp;vid=01CRU&amp;lang=en_US&amp;offset=0&amp;query=any,contains,991002752539702656","Catalog Record")</f>
        <v/>
      </c>
      <c r="AV407">
        <f>HYPERLINK("http://www.worldcat.org/oclc/36121801","WorldCat Record")</f>
        <v/>
      </c>
      <c r="AW407" t="inlineStr">
        <is>
          <t>621138:eng</t>
        </is>
      </c>
      <c r="AX407" t="inlineStr">
        <is>
          <t>36121801</t>
        </is>
      </c>
      <c r="AY407" t="inlineStr">
        <is>
          <t>991002752539702656</t>
        </is>
      </c>
      <c r="AZ407" t="inlineStr">
        <is>
          <t>991002752539702656</t>
        </is>
      </c>
      <c r="BA407" t="inlineStr">
        <is>
          <t>2262186670002656</t>
        </is>
      </c>
      <c r="BB407" t="inlineStr">
        <is>
          <t>BOOK</t>
        </is>
      </c>
      <c r="BD407" t="inlineStr">
        <is>
          <t>9780814403389</t>
        </is>
      </c>
      <c r="BE407" t="inlineStr">
        <is>
          <t>32285002613825</t>
        </is>
      </c>
      <c r="BF407" t="inlineStr">
        <is>
          <t>893622679</t>
        </is>
      </c>
    </row>
    <row r="408">
      <c r="B408" t="inlineStr">
        <is>
          <t>CURAL</t>
        </is>
      </c>
      <c r="C408" t="inlineStr">
        <is>
          <t>SHELVES</t>
        </is>
      </c>
      <c r="D408" t="inlineStr">
        <is>
          <t>KF9619 .W34</t>
        </is>
      </c>
      <c r="E408" t="inlineStr">
        <is>
          <t>0                      KF 9619000W  34</t>
        </is>
      </c>
      <c r="F408" t="inlineStr">
        <is>
          <t>Denial of justice : criminal process in the United States / Lloyd L. Weinreb.</t>
        </is>
      </c>
      <c r="H408" t="inlineStr">
        <is>
          <t>No</t>
        </is>
      </c>
      <c r="I408" t="inlineStr">
        <is>
          <t>1</t>
        </is>
      </c>
      <c r="J408" t="inlineStr">
        <is>
          <t>Yes</t>
        </is>
      </c>
      <c r="K408" t="inlineStr">
        <is>
          <t>No</t>
        </is>
      </c>
      <c r="L408" t="inlineStr">
        <is>
          <t>0</t>
        </is>
      </c>
      <c r="M408" t="inlineStr">
        <is>
          <t>Weinreb, Lloyd L., 1936-</t>
        </is>
      </c>
      <c r="N408" t="inlineStr">
        <is>
          <t>New York : Free Press, c1977.</t>
        </is>
      </c>
      <c r="O408" t="inlineStr">
        <is>
          <t>1977</t>
        </is>
      </c>
      <c r="Q408" t="inlineStr">
        <is>
          <t>eng</t>
        </is>
      </c>
      <c r="R408" t="inlineStr">
        <is>
          <t>nyu</t>
        </is>
      </c>
      <c r="T408" t="inlineStr">
        <is>
          <t xml:space="preserve">KF </t>
        </is>
      </c>
      <c r="U408" t="n">
        <v>5</v>
      </c>
      <c r="V408" t="n">
        <v>5</v>
      </c>
      <c r="W408" t="inlineStr">
        <is>
          <t>2005-04-11</t>
        </is>
      </c>
      <c r="X408" t="inlineStr">
        <is>
          <t>2005-04-11</t>
        </is>
      </c>
      <c r="Y408" t="inlineStr">
        <is>
          <t>1990-12-28</t>
        </is>
      </c>
      <c r="Z408" t="inlineStr">
        <is>
          <t>2004-11-18</t>
        </is>
      </c>
      <c r="AA408" t="n">
        <v>878</v>
      </c>
      <c r="AB408" t="n">
        <v>793</v>
      </c>
      <c r="AC408" t="n">
        <v>817</v>
      </c>
      <c r="AD408" t="n">
        <v>6</v>
      </c>
      <c r="AE408" t="n">
        <v>6</v>
      </c>
      <c r="AF408" t="n">
        <v>40</v>
      </c>
      <c r="AG408" t="n">
        <v>41</v>
      </c>
      <c r="AH408" t="n">
        <v>5</v>
      </c>
      <c r="AI408" t="n">
        <v>5</v>
      </c>
      <c r="AJ408" t="n">
        <v>4</v>
      </c>
      <c r="AK408" t="n">
        <v>5</v>
      </c>
      <c r="AL408" t="n">
        <v>10</v>
      </c>
      <c r="AM408" t="n">
        <v>11</v>
      </c>
      <c r="AN408" t="n">
        <v>3</v>
      </c>
      <c r="AO408" t="n">
        <v>3</v>
      </c>
      <c r="AP408" t="n">
        <v>22</v>
      </c>
      <c r="AQ408" t="n">
        <v>22</v>
      </c>
      <c r="AR408" t="inlineStr">
        <is>
          <t>No</t>
        </is>
      </c>
      <c r="AS408" t="inlineStr">
        <is>
          <t>Yes</t>
        </is>
      </c>
      <c r="AT408">
        <f>HYPERLINK("http://catalog.hathitrust.org/Record/004510095","HathiTrust Record")</f>
        <v/>
      </c>
      <c r="AU408">
        <f>HYPERLINK("https://creighton-primo.hosted.exlibrisgroup.com/primo-explore/search?tab=default_tab&amp;search_scope=EVERYTHING&amp;vid=01CRU&amp;lang=en_US&amp;offset=0&amp;query=any,contains,991001655549702656","Catalog Record")</f>
        <v/>
      </c>
      <c r="AV408">
        <f>HYPERLINK("http://www.worldcat.org/oclc/2598067","WorldCat Record")</f>
        <v/>
      </c>
      <c r="AW408" t="inlineStr">
        <is>
          <t>400881:eng</t>
        </is>
      </c>
      <c r="AX408" t="inlineStr">
        <is>
          <t>2598067</t>
        </is>
      </c>
      <c r="AY408" t="inlineStr">
        <is>
          <t>991001655549702656</t>
        </is>
      </c>
      <c r="AZ408" t="inlineStr">
        <is>
          <t>991001655549702656</t>
        </is>
      </c>
      <c r="BA408" t="inlineStr">
        <is>
          <t>2265995440002656</t>
        </is>
      </c>
      <c r="BB408" t="inlineStr">
        <is>
          <t>BOOK</t>
        </is>
      </c>
      <c r="BD408" t="inlineStr">
        <is>
          <t>9780029349007</t>
        </is>
      </c>
      <c r="BE408" t="inlineStr">
        <is>
          <t>32285000426261</t>
        </is>
      </c>
      <c r="BF408" t="inlineStr">
        <is>
          <t>893256385</t>
        </is>
      </c>
    </row>
    <row r="409">
      <c r="B409" t="inlineStr">
        <is>
          <t>CURAL</t>
        </is>
      </c>
      <c r="C409" t="inlineStr">
        <is>
          <t>SHELVES</t>
        </is>
      </c>
      <c r="D409" t="inlineStr">
        <is>
          <t>KF9619.8.P65 K55 1999</t>
        </is>
      </c>
      <c r="E409" t="inlineStr">
        <is>
          <t>0                      KF 9619800P  65                 K  55          1999</t>
        </is>
      </c>
      <c r="F409" t="inlineStr">
        <is>
          <t>Legal guide for police : constitutional issues / John C. Klotter.</t>
        </is>
      </c>
      <c r="H409" t="inlineStr">
        <is>
          <t>No</t>
        </is>
      </c>
      <c r="I409" t="inlineStr">
        <is>
          <t>1</t>
        </is>
      </c>
      <c r="J409" t="inlineStr">
        <is>
          <t>No</t>
        </is>
      </c>
      <c r="K409" t="inlineStr">
        <is>
          <t>No</t>
        </is>
      </c>
      <c r="L409" t="inlineStr">
        <is>
          <t>0</t>
        </is>
      </c>
      <c r="M409" t="inlineStr">
        <is>
          <t>Klotter, John C.</t>
        </is>
      </c>
      <c r="N409" t="inlineStr">
        <is>
          <t>Cincinnati, OH : Anderson Pub. Co., c1999.</t>
        </is>
      </c>
      <c r="O409" t="inlineStr">
        <is>
          <t>1999</t>
        </is>
      </c>
      <c r="P409" t="inlineStr">
        <is>
          <t>5th ed.</t>
        </is>
      </c>
      <c r="Q409" t="inlineStr">
        <is>
          <t>eng</t>
        </is>
      </c>
      <c r="R409" t="inlineStr">
        <is>
          <t>ohu</t>
        </is>
      </c>
      <c r="T409" t="inlineStr">
        <is>
          <t xml:space="preserve">KF </t>
        </is>
      </c>
      <c r="U409" t="n">
        <v>3</v>
      </c>
      <c r="V409" t="n">
        <v>3</v>
      </c>
      <c r="W409" t="inlineStr">
        <is>
          <t>2004-04-26</t>
        </is>
      </c>
      <c r="X409" t="inlineStr">
        <is>
          <t>2004-04-26</t>
        </is>
      </c>
      <c r="Y409" t="inlineStr">
        <is>
          <t>1999-01-28</t>
        </is>
      </c>
      <c r="Z409" t="inlineStr">
        <is>
          <t>1999-01-28</t>
        </is>
      </c>
      <c r="AA409" t="n">
        <v>92</v>
      </c>
      <c r="AB409" t="n">
        <v>92</v>
      </c>
      <c r="AC409" t="n">
        <v>369</v>
      </c>
      <c r="AD409" t="n">
        <v>2</v>
      </c>
      <c r="AE409" t="n">
        <v>4</v>
      </c>
      <c r="AF409" t="n">
        <v>2</v>
      </c>
      <c r="AG409" t="n">
        <v>16</v>
      </c>
      <c r="AH409" t="n">
        <v>0</v>
      </c>
      <c r="AI409" t="n">
        <v>3</v>
      </c>
      <c r="AJ409" t="n">
        <v>0</v>
      </c>
      <c r="AK409" t="n">
        <v>1</v>
      </c>
      <c r="AL409" t="n">
        <v>0</v>
      </c>
      <c r="AM409" t="n">
        <v>3</v>
      </c>
      <c r="AN409" t="n">
        <v>1</v>
      </c>
      <c r="AO409" t="n">
        <v>3</v>
      </c>
      <c r="AP409" t="n">
        <v>1</v>
      </c>
      <c r="AQ409" t="n">
        <v>7</v>
      </c>
      <c r="AR409" t="inlineStr">
        <is>
          <t>No</t>
        </is>
      </c>
      <c r="AS409" t="inlineStr">
        <is>
          <t>No</t>
        </is>
      </c>
      <c r="AU409">
        <f>HYPERLINK("https://creighton-primo.hosted.exlibrisgroup.com/primo-explore/search?tab=default_tab&amp;search_scope=EVERYTHING&amp;vid=01CRU&amp;lang=en_US&amp;offset=0&amp;query=any,contains,991002949889702656","Catalog Record")</f>
        <v/>
      </c>
      <c r="AV409">
        <f>HYPERLINK("http://www.worldcat.org/oclc/39307421","WorldCat Record")</f>
        <v/>
      </c>
      <c r="AW409" t="inlineStr">
        <is>
          <t>793883605:eng</t>
        </is>
      </c>
      <c r="AX409" t="inlineStr">
        <is>
          <t>39307421</t>
        </is>
      </c>
      <c r="AY409" t="inlineStr">
        <is>
          <t>991002949889702656</t>
        </is>
      </c>
      <c r="AZ409" t="inlineStr">
        <is>
          <t>991002949889702656</t>
        </is>
      </c>
      <c r="BA409" t="inlineStr">
        <is>
          <t>2255517340002656</t>
        </is>
      </c>
      <c r="BB409" t="inlineStr">
        <is>
          <t>BOOK</t>
        </is>
      </c>
      <c r="BD409" t="inlineStr">
        <is>
          <t>9780870845345</t>
        </is>
      </c>
      <c r="BE409" t="inlineStr">
        <is>
          <t>32285003517017</t>
        </is>
      </c>
      <c r="BF409" t="inlineStr">
        <is>
          <t>893511397</t>
        </is>
      </c>
    </row>
    <row r="410">
      <c r="B410" t="inlineStr">
        <is>
          <t>CURAL</t>
        </is>
      </c>
      <c r="C410" t="inlineStr">
        <is>
          <t>SHELVES</t>
        </is>
      </c>
      <c r="D410" t="inlineStr">
        <is>
          <t>KF9625 .B35 1983</t>
        </is>
      </c>
      <c r="E410" t="inlineStr">
        <is>
          <t>0                      KF 9625000B  35          1983</t>
        </is>
      </c>
      <c r="F410" t="inlineStr">
        <is>
          <t>Miranda : crime, law, and politics / Liva Baker.</t>
        </is>
      </c>
      <c r="H410" t="inlineStr">
        <is>
          <t>No</t>
        </is>
      </c>
      <c r="I410" t="inlineStr">
        <is>
          <t>1</t>
        </is>
      </c>
      <c r="J410" t="inlineStr">
        <is>
          <t>No</t>
        </is>
      </c>
      <c r="K410" t="inlineStr">
        <is>
          <t>No</t>
        </is>
      </c>
      <c r="L410" t="inlineStr">
        <is>
          <t>0</t>
        </is>
      </c>
      <c r="M410" t="inlineStr">
        <is>
          <t>Baker, Liva.</t>
        </is>
      </c>
      <c r="N410" t="inlineStr">
        <is>
          <t>New York : Atheneum, 1983.</t>
        </is>
      </c>
      <c r="O410" t="inlineStr">
        <is>
          <t>1983</t>
        </is>
      </c>
      <c r="P410" t="inlineStr">
        <is>
          <t>1st ed.</t>
        </is>
      </c>
      <c r="Q410" t="inlineStr">
        <is>
          <t>eng</t>
        </is>
      </c>
      <c r="R410" t="inlineStr">
        <is>
          <t>nyu</t>
        </is>
      </c>
      <c r="T410" t="inlineStr">
        <is>
          <t xml:space="preserve">KF </t>
        </is>
      </c>
      <c r="U410" t="n">
        <v>3</v>
      </c>
      <c r="V410" t="n">
        <v>3</v>
      </c>
      <c r="W410" t="inlineStr">
        <is>
          <t>2005-03-29</t>
        </is>
      </c>
      <c r="X410" t="inlineStr">
        <is>
          <t>2005-03-29</t>
        </is>
      </c>
      <c r="Y410" t="inlineStr">
        <is>
          <t>1992-01-21</t>
        </is>
      </c>
      <c r="Z410" t="inlineStr">
        <is>
          <t>1992-01-21</t>
        </is>
      </c>
      <c r="AA410" t="n">
        <v>1050</v>
      </c>
      <c r="AB410" t="n">
        <v>995</v>
      </c>
      <c r="AC410" t="n">
        <v>1023</v>
      </c>
      <c r="AD410" t="n">
        <v>5</v>
      </c>
      <c r="AE410" t="n">
        <v>5</v>
      </c>
      <c r="AF410" t="n">
        <v>43</v>
      </c>
      <c r="AG410" t="n">
        <v>43</v>
      </c>
      <c r="AH410" t="n">
        <v>10</v>
      </c>
      <c r="AI410" t="n">
        <v>10</v>
      </c>
      <c r="AJ410" t="n">
        <v>5</v>
      </c>
      <c r="AK410" t="n">
        <v>5</v>
      </c>
      <c r="AL410" t="n">
        <v>10</v>
      </c>
      <c r="AM410" t="n">
        <v>10</v>
      </c>
      <c r="AN410" t="n">
        <v>3</v>
      </c>
      <c r="AO410" t="n">
        <v>3</v>
      </c>
      <c r="AP410" t="n">
        <v>19</v>
      </c>
      <c r="AQ410" t="n">
        <v>19</v>
      </c>
      <c r="AR410" t="inlineStr">
        <is>
          <t>No</t>
        </is>
      </c>
      <c r="AS410" t="inlineStr">
        <is>
          <t>No</t>
        </is>
      </c>
      <c r="AU410">
        <f>HYPERLINK("https://creighton-primo.hosted.exlibrisgroup.com/primo-explore/search?tab=default_tab&amp;search_scope=EVERYTHING&amp;vid=01CRU&amp;lang=en_US&amp;offset=0&amp;query=any,contains,991000123079702656","Catalog Record")</f>
        <v/>
      </c>
      <c r="AV410">
        <f>HYPERLINK("http://www.worldcat.org/oclc/9081250","WorldCat Record")</f>
        <v/>
      </c>
      <c r="AW410" t="inlineStr">
        <is>
          <t>437750:eng</t>
        </is>
      </c>
      <c r="AX410" t="inlineStr">
        <is>
          <t>9081250</t>
        </is>
      </c>
      <c r="AY410" t="inlineStr">
        <is>
          <t>991000123079702656</t>
        </is>
      </c>
      <c r="AZ410" t="inlineStr">
        <is>
          <t>991000123079702656</t>
        </is>
      </c>
      <c r="BA410" t="inlineStr">
        <is>
          <t>2255817810002656</t>
        </is>
      </c>
      <c r="BB410" t="inlineStr">
        <is>
          <t>BOOK</t>
        </is>
      </c>
      <c r="BD410" t="inlineStr">
        <is>
          <t>9780689112409</t>
        </is>
      </c>
      <c r="BE410" t="inlineStr">
        <is>
          <t>32285000916311</t>
        </is>
      </c>
      <c r="BF410" t="inlineStr">
        <is>
          <t>893406949</t>
        </is>
      </c>
    </row>
    <row r="411">
      <c r="B411" t="inlineStr">
        <is>
          <t>CURAL</t>
        </is>
      </c>
      <c r="C411" t="inlineStr">
        <is>
          <t>SHELVES</t>
        </is>
      </c>
      <c r="D411" t="inlineStr">
        <is>
          <t>KF9625 .F35 1958</t>
        </is>
      </c>
      <c r="E411" t="inlineStr">
        <is>
          <t>0                      KF 9625000F  35          1958</t>
        </is>
      </c>
      <c r="F411" t="inlineStr">
        <is>
          <t>The defendant's rights / David Fellman.</t>
        </is>
      </c>
      <c r="H411" t="inlineStr">
        <is>
          <t>No</t>
        </is>
      </c>
      <c r="I411" t="inlineStr">
        <is>
          <t>1</t>
        </is>
      </c>
      <c r="J411" t="inlineStr">
        <is>
          <t>No</t>
        </is>
      </c>
      <c r="K411" t="inlineStr">
        <is>
          <t>No</t>
        </is>
      </c>
      <c r="L411" t="inlineStr">
        <is>
          <t>0</t>
        </is>
      </c>
      <c r="M411" t="inlineStr">
        <is>
          <t>Fellman, David, 1907-2003.</t>
        </is>
      </c>
      <c r="N411" t="inlineStr">
        <is>
          <t>New York : Rinehart, c1958.</t>
        </is>
      </c>
      <c r="O411" t="inlineStr">
        <is>
          <t>1958</t>
        </is>
      </c>
      <c r="Q411" t="inlineStr">
        <is>
          <t>eng</t>
        </is>
      </c>
      <c r="R411" t="inlineStr">
        <is>
          <t>___</t>
        </is>
      </c>
      <c r="T411" t="inlineStr">
        <is>
          <t xml:space="preserve">KF </t>
        </is>
      </c>
      <c r="U411" t="n">
        <v>7</v>
      </c>
      <c r="V411" t="n">
        <v>7</v>
      </c>
      <c r="W411" t="inlineStr">
        <is>
          <t>2002-10-10</t>
        </is>
      </c>
      <c r="X411" t="inlineStr">
        <is>
          <t>2002-10-10</t>
        </is>
      </c>
      <c r="Y411" t="inlineStr">
        <is>
          <t>1990-04-25</t>
        </is>
      </c>
      <c r="Z411" t="inlineStr">
        <is>
          <t>1990-04-25</t>
        </is>
      </c>
      <c r="AA411" t="n">
        <v>379</v>
      </c>
      <c r="AB411" t="n">
        <v>351</v>
      </c>
      <c r="AC411" t="n">
        <v>365</v>
      </c>
      <c r="AD411" t="n">
        <v>3</v>
      </c>
      <c r="AE411" t="n">
        <v>3</v>
      </c>
      <c r="AF411" t="n">
        <v>21</v>
      </c>
      <c r="AG411" t="n">
        <v>21</v>
      </c>
      <c r="AH411" t="n">
        <v>3</v>
      </c>
      <c r="AI411" t="n">
        <v>3</v>
      </c>
      <c r="AJ411" t="n">
        <v>1</v>
      </c>
      <c r="AK411" t="n">
        <v>1</v>
      </c>
      <c r="AL411" t="n">
        <v>5</v>
      </c>
      <c r="AM411" t="n">
        <v>5</v>
      </c>
      <c r="AN411" t="n">
        <v>2</v>
      </c>
      <c r="AO411" t="n">
        <v>2</v>
      </c>
      <c r="AP411" t="n">
        <v>11</v>
      </c>
      <c r="AQ411" t="n">
        <v>11</v>
      </c>
      <c r="AR411" t="inlineStr">
        <is>
          <t>No</t>
        </is>
      </c>
      <c r="AS411" t="inlineStr">
        <is>
          <t>Yes</t>
        </is>
      </c>
      <c r="AT411">
        <f>HYPERLINK("http://catalog.hathitrust.org/Record/001120397","HathiTrust Record")</f>
        <v/>
      </c>
      <c r="AU411">
        <f>HYPERLINK("https://creighton-primo.hosted.exlibrisgroup.com/primo-explore/search?tab=default_tab&amp;search_scope=EVERYTHING&amp;vid=01CRU&amp;lang=en_US&amp;offset=0&amp;query=any,contains,991003633449702656","Catalog Record")</f>
        <v/>
      </c>
      <c r="AV411">
        <f>HYPERLINK("http://www.worldcat.org/oclc/1227493","WorldCat Record")</f>
        <v/>
      </c>
      <c r="AW411" t="inlineStr">
        <is>
          <t>3855355916:eng</t>
        </is>
      </c>
      <c r="AX411" t="inlineStr">
        <is>
          <t>1227493</t>
        </is>
      </c>
      <c r="AY411" t="inlineStr">
        <is>
          <t>991003633449702656</t>
        </is>
      </c>
      <c r="AZ411" t="inlineStr">
        <is>
          <t>991003633449702656</t>
        </is>
      </c>
      <c r="BA411" t="inlineStr">
        <is>
          <t>2268334410002656</t>
        </is>
      </c>
      <c r="BB411" t="inlineStr">
        <is>
          <t>BOOK</t>
        </is>
      </c>
      <c r="BE411" t="inlineStr">
        <is>
          <t>32285000133545</t>
        </is>
      </c>
      <c r="BF411" t="inlineStr">
        <is>
          <t>893874982</t>
        </is>
      </c>
    </row>
    <row r="412">
      <c r="B412" t="inlineStr">
        <is>
          <t>CURAL</t>
        </is>
      </c>
      <c r="C412" t="inlineStr">
        <is>
          <t>SHELVES</t>
        </is>
      </c>
      <c r="D412" t="inlineStr">
        <is>
          <t>KF9625.A75 N3</t>
        </is>
      </c>
      <c r="E412" t="inlineStr">
        <is>
          <t>0                      KF 9625000A  75                 N  3</t>
        </is>
      </c>
      <c r="F412" t="inlineStr">
        <is>
          <t>The rights of the accused in law and action / Stuart S. Nagel, editor.</t>
        </is>
      </c>
      <c r="H412" t="inlineStr">
        <is>
          <t>No</t>
        </is>
      </c>
      <c r="I412" t="inlineStr">
        <is>
          <t>1</t>
        </is>
      </c>
      <c r="J412" t="inlineStr">
        <is>
          <t>Yes</t>
        </is>
      </c>
      <c r="K412" t="inlineStr">
        <is>
          <t>No</t>
        </is>
      </c>
      <c r="L412" t="inlineStr">
        <is>
          <t>0</t>
        </is>
      </c>
      <c r="M412" t="inlineStr">
        <is>
          <t>Nagel, Stuart S., 1934- compiler.</t>
        </is>
      </c>
      <c r="N412" t="inlineStr">
        <is>
          <t>Beverly Hills, [Calif.] : Sage Publications, [1972]</t>
        </is>
      </c>
      <c r="O412" t="inlineStr">
        <is>
          <t>1972</t>
        </is>
      </c>
      <c r="Q412" t="inlineStr">
        <is>
          <t>eng</t>
        </is>
      </c>
      <c r="R412" t="inlineStr">
        <is>
          <t>cau</t>
        </is>
      </c>
      <c r="S412" t="inlineStr">
        <is>
          <t>Sage criminal justice system annuals ; v. 1</t>
        </is>
      </c>
      <c r="T412" t="inlineStr">
        <is>
          <t xml:space="preserve">KF </t>
        </is>
      </c>
      <c r="U412" t="n">
        <v>8</v>
      </c>
      <c r="V412" t="n">
        <v>9</v>
      </c>
      <c r="W412" t="inlineStr">
        <is>
          <t>2002-10-10</t>
        </is>
      </c>
      <c r="X412" t="inlineStr">
        <is>
          <t>2002-10-10</t>
        </is>
      </c>
      <c r="Y412" t="inlineStr">
        <is>
          <t>1990-12-28</t>
        </is>
      </c>
      <c r="Z412" t="inlineStr">
        <is>
          <t>1993-01-13</t>
        </is>
      </c>
      <c r="AA412" t="n">
        <v>631</v>
      </c>
      <c r="AB412" t="n">
        <v>546</v>
      </c>
      <c r="AC412" t="n">
        <v>552</v>
      </c>
      <c r="AD412" t="n">
        <v>5</v>
      </c>
      <c r="AE412" t="n">
        <v>5</v>
      </c>
      <c r="AF412" t="n">
        <v>30</v>
      </c>
      <c r="AG412" t="n">
        <v>30</v>
      </c>
      <c r="AH412" t="n">
        <v>10</v>
      </c>
      <c r="AI412" t="n">
        <v>10</v>
      </c>
      <c r="AJ412" t="n">
        <v>5</v>
      </c>
      <c r="AK412" t="n">
        <v>5</v>
      </c>
      <c r="AL412" t="n">
        <v>10</v>
      </c>
      <c r="AM412" t="n">
        <v>10</v>
      </c>
      <c r="AN412" t="n">
        <v>2</v>
      </c>
      <c r="AO412" t="n">
        <v>2</v>
      </c>
      <c r="AP412" t="n">
        <v>11</v>
      </c>
      <c r="AQ412" t="n">
        <v>11</v>
      </c>
      <c r="AR412" t="inlineStr">
        <is>
          <t>No</t>
        </is>
      </c>
      <c r="AS412" t="inlineStr">
        <is>
          <t>Yes</t>
        </is>
      </c>
      <c r="AT412">
        <f>HYPERLINK("http://catalog.hathitrust.org/Record/000007975","HathiTrust Record")</f>
        <v/>
      </c>
      <c r="AU412">
        <f>HYPERLINK("https://creighton-primo.hosted.exlibrisgroup.com/primo-explore/search?tab=default_tab&amp;search_scope=EVERYTHING&amp;vid=01CRU&amp;lang=en_US&amp;offset=0&amp;query=any,contains,991001658899702656","Catalog Record")</f>
        <v/>
      </c>
      <c r="AV412">
        <f>HYPERLINK("http://www.worldcat.org/oclc/589116","WorldCat Record")</f>
        <v/>
      </c>
      <c r="AW412" t="inlineStr">
        <is>
          <t>350273125:eng</t>
        </is>
      </c>
      <c r="AX412" t="inlineStr">
        <is>
          <t>589116</t>
        </is>
      </c>
      <c r="AY412" t="inlineStr">
        <is>
          <t>991001658899702656</t>
        </is>
      </c>
      <c r="AZ412" t="inlineStr">
        <is>
          <t>991001658899702656</t>
        </is>
      </c>
      <c r="BA412" t="inlineStr">
        <is>
          <t>2259287260002656</t>
        </is>
      </c>
      <c r="BB412" t="inlineStr">
        <is>
          <t>BOOK</t>
        </is>
      </c>
      <c r="BD412" t="inlineStr">
        <is>
          <t>9780803901315</t>
        </is>
      </c>
      <c r="BE412" t="inlineStr">
        <is>
          <t>32285000426279</t>
        </is>
      </c>
      <c r="BF412" t="inlineStr">
        <is>
          <t>893709435</t>
        </is>
      </c>
    </row>
    <row r="413">
      <c r="B413" t="inlineStr">
        <is>
          <t>CURAL</t>
        </is>
      </c>
      <c r="C413" t="inlineStr">
        <is>
          <t>SHELVES</t>
        </is>
      </c>
      <c r="D413" t="inlineStr">
        <is>
          <t>KF9630.Z9 R6 1987</t>
        </is>
      </c>
      <c r="E413" t="inlineStr">
        <is>
          <t>0                      KF 9630000Z  9                  R  6           1987</t>
        </is>
      </c>
      <c r="F413" t="inlineStr">
        <is>
          <t>Search and seizure in the public schools / Lawrence F. Rossow.</t>
        </is>
      </c>
      <c r="H413" t="inlineStr">
        <is>
          <t>No</t>
        </is>
      </c>
      <c r="I413" t="inlineStr">
        <is>
          <t>1</t>
        </is>
      </c>
      <c r="J413" t="inlineStr">
        <is>
          <t>No</t>
        </is>
      </c>
      <c r="K413" t="inlineStr">
        <is>
          <t>No</t>
        </is>
      </c>
      <c r="L413" t="inlineStr">
        <is>
          <t>0</t>
        </is>
      </c>
      <c r="M413" t="inlineStr">
        <is>
          <t>Rossow, Lawrence F.</t>
        </is>
      </c>
      <c r="N413" t="inlineStr">
        <is>
          <t>Topeka, Kan. : NOLPE, c1987.</t>
        </is>
      </c>
      <c r="O413" t="inlineStr">
        <is>
          <t>1987</t>
        </is>
      </c>
      <c r="Q413" t="inlineStr">
        <is>
          <t>eng</t>
        </is>
      </c>
      <c r="R413" t="inlineStr">
        <is>
          <t>ksu</t>
        </is>
      </c>
      <c r="T413" t="inlineStr">
        <is>
          <t xml:space="preserve">KF </t>
        </is>
      </c>
      <c r="U413" t="n">
        <v>8</v>
      </c>
      <c r="V413" t="n">
        <v>8</v>
      </c>
      <c r="W413" t="inlineStr">
        <is>
          <t>2005-05-23</t>
        </is>
      </c>
      <c r="X413" t="inlineStr">
        <is>
          <t>2005-05-23</t>
        </is>
      </c>
      <c r="Y413" t="inlineStr">
        <is>
          <t>1993-07-26</t>
        </is>
      </c>
      <c r="Z413" t="inlineStr">
        <is>
          <t>1993-07-26</t>
        </is>
      </c>
      <c r="AA413" t="n">
        <v>122</v>
      </c>
      <c r="AB413" t="n">
        <v>121</v>
      </c>
      <c r="AC413" t="n">
        <v>315</v>
      </c>
      <c r="AD413" t="n">
        <v>3</v>
      </c>
      <c r="AE413" t="n">
        <v>3</v>
      </c>
      <c r="AF413" t="n">
        <v>11</v>
      </c>
      <c r="AG413" t="n">
        <v>27</v>
      </c>
      <c r="AH413" t="n">
        <v>1</v>
      </c>
      <c r="AI413" t="n">
        <v>4</v>
      </c>
      <c r="AJ413" t="n">
        <v>0</v>
      </c>
      <c r="AK413" t="n">
        <v>1</v>
      </c>
      <c r="AL413" t="n">
        <v>1</v>
      </c>
      <c r="AM413" t="n">
        <v>4</v>
      </c>
      <c r="AN413" t="n">
        <v>2</v>
      </c>
      <c r="AO413" t="n">
        <v>2</v>
      </c>
      <c r="AP413" t="n">
        <v>7</v>
      </c>
      <c r="AQ413" t="n">
        <v>18</v>
      </c>
      <c r="AR413" t="inlineStr">
        <is>
          <t>No</t>
        </is>
      </c>
      <c r="AS413" t="inlineStr">
        <is>
          <t>Yes</t>
        </is>
      </c>
      <c r="AT413">
        <f>HYPERLINK("http://catalog.hathitrust.org/Record/009498067","HathiTrust Record")</f>
        <v/>
      </c>
      <c r="AU413">
        <f>HYPERLINK("https://creighton-primo.hosted.exlibrisgroup.com/primo-explore/search?tab=default_tab&amp;search_scope=EVERYTHING&amp;vid=01CRU&amp;lang=en_US&amp;offset=0&amp;query=any,contains,991001030089702656","Catalog Record")</f>
        <v/>
      </c>
      <c r="AV413">
        <f>HYPERLINK("http://www.worldcat.org/oclc/15494756","WorldCat Record")</f>
        <v/>
      </c>
      <c r="AW413" t="inlineStr">
        <is>
          <t>1086167:eng</t>
        </is>
      </c>
      <c r="AX413" t="inlineStr">
        <is>
          <t>15494756</t>
        </is>
      </c>
      <c r="AY413" t="inlineStr">
        <is>
          <t>991001030089702656</t>
        </is>
      </c>
      <c r="AZ413" t="inlineStr">
        <is>
          <t>991001030089702656</t>
        </is>
      </c>
      <c r="BA413" t="inlineStr">
        <is>
          <t>2256513430002656</t>
        </is>
      </c>
      <c r="BB413" t="inlineStr">
        <is>
          <t>BOOK</t>
        </is>
      </c>
      <c r="BE413" t="inlineStr">
        <is>
          <t>32285001745966</t>
        </is>
      </c>
      <c r="BF413" t="inlineStr">
        <is>
          <t>893351752</t>
        </is>
      </c>
    </row>
    <row r="414">
      <c r="B414" t="inlineStr">
        <is>
          <t>CURAL</t>
        </is>
      </c>
      <c r="C414" t="inlineStr">
        <is>
          <t>SHELVES</t>
        </is>
      </c>
      <c r="D414" t="inlineStr">
        <is>
          <t>KF9640 .E54</t>
        </is>
      </c>
      <c r="E414" t="inlineStr">
        <is>
          <t>0                      KF 9640000E  54</t>
        </is>
      </c>
      <c r="F414" t="inlineStr">
        <is>
          <t>Counsel for the United States : U.S. attorneys in the political and legal systems / James Eisenstein.</t>
        </is>
      </c>
      <c r="H414" t="inlineStr">
        <is>
          <t>No</t>
        </is>
      </c>
      <c r="I414" t="inlineStr">
        <is>
          <t>2</t>
        </is>
      </c>
      <c r="J414" t="inlineStr">
        <is>
          <t>No</t>
        </is>
      </c>
      <c r="K414" t="inlineStr">
        <is>
          <t>No</t>
        </is>
      </c>
      <c r="L414" t="inlineStr">
        <is>
          <t>0</t>
        </is>
      </c>
      <c r="M414" t="inlineStr">
        <is>
          <t>Eisenstein, James.</t>
        </is>
      </c>
      <c r="N414" t="inlineStr">
        <is>
          <t>Baltimore : Johns Hopkins University Press, c1978.</t>
        </is>
      </c>
      <c r="O414" t="inlineStr">
        <is>
          <t>1978</t>
        </is>
      </c>
      <c r="Q414" t="inlineStr">
        <is>
          <t>eng</t>
        </is>
      </c>
      <c r="R414" t="inlineStr">
        <is>
          <t>mdu</t>
        </is>
      </c>
      <c r="T414" t="inlineStr">
        <is>
          <t xml:space="preserve">KF </t>
        </is>
      </c>
      <c r="U414" t="n">
        <v>2</v>
      </c>
      <c r="V414" t="n">
        <v>2</v>
      </c>
      <c r="W414" t="inlineStr">
        <is>
          <t>2009-09-27</t>
        </is>
      </c>
      <c r="X414" t="inlineStr">
        <is>
          <t>2009-09-27</t>
        </is>
      </c>
      <c r="Y414" t="inlineStr">
        <is>
          <t>1990-12-19</t>
        </is>
      </c>
      <c r="Z414" t="inlineStr">
        <is>
          <t>1990-12-19</t>
        </is>
      </c>
      <c r="AA414" t="n">
        <v>641</v>
      </c>
      <c r="AB414" t="n">
        <v>580</v>
      </c>
      <c r="AC414" t="n">
        <v>581</v>
      </c>
      <c r="AD414" t="n">
        <v>4</v>
      </c>
      <c r="AE414" t="n">
        <v>4</v>
      </c>
      <c r="AF414" t="n">
        <v>43</v>
      </c>
      <c r="AG414" t="n">
        <v>43</v>
      </c>
      <c r="AH414" t="n">
        <v>12</v>
      </c>
      <c r="AI414" t="n">
        <v>12</v>
      </c>
      <c r="AJ414" t="n">
        <v>5</v>
      </c>
      <c r="AK414" t="n">
        <v>5</v>
      </c>
      <c r="AL414" t="n">
        <v>13</v>
      </c>
      <c r="AM414" t="n">
        <v>13</v>
      </c>
      <c r="AN414" t="n">
        <v>3</v>
      </c>
      <c r="AO414" t="n">
        <v>3</v>
      </c>
      <c r="AP414" t="n">
        <v>19</v>
      </c>
      <c r="AQ414" t="n">
        <v>19</v>
      </c>
      <c r="AR414" t="inlineStr">
        <is>
          <t>No</t>
        </is>
      </c>
      <c r="AS414" t="inlineStr">
        <is>
          <t>Yes</t>
        </is>
      </c>
      <c r="AT414">
        <f>HYPERLINK("http://catalog.hathitrust.org/Record/007883648","HathiTrust Record")</f>
        <v/>
      </c>
      <c r="AU414">
        <f>HYPERLINK("https://creighton-primo.hosted.exlibrisgroup.com/primo-explore/search?tab=default_tab&amp;search_scope=EVERYTHING&amp;vid=01CRU&amp;lang=en_US&amp;offset=0&amp;query=any,contains,991004375289702656","Catalog Record")</f>
        <v/>
      </c>
      <c r="AV414">
        <f>HYPERLINK("http://www.worldcat.org/oclc/3204537","WorldCat Record")</f>
        <v/>
      </c>
      <c r="AW414" t="inlineStr">
        <is>
          <t>1809457206:eng</t>
        </is>
      </c>
      <c r="AX414" t="inlineStr">
        <is>
          <t>3204537</t>
        </is>
      </c>
      <c r="AY414" t="inlineStr">
        <is>
          <t>991004375289702656</t>
        </is>
      </c>
      <c r="AZ414" t="inlineStr">
        <is>
          <t>991004375289702656</t>
        </is>
      </c>
      <c r="BA414" t="inlineStr">
        <is>
          <t>2269436330002656</t>
        </is>
      </c>
      <c r="BB414" t="inlineStr">
        <is>
          <t>BOOK</t>
        </is>
      </c>
      <c r="BD414" t="inlineStr">
        <is>
          <t>9780801819889</t>
        </is>
      </c>
      <c r="BE414" t="inlineStr">
        <is>
          <t>32285000406917</t>
        </is>
      </c>
      <c r="BF414" t="inlineStr">
        <is>
          <t>893526029</t>
        </is>
      </c>
    </row>
    <row r="415">
      <c r="B415" t="inlineStr">
        <is>
          <t>CURAL</t>
        </is>
      </c>
      <c r="C415" t="inlineStr">
        <is>
          <t>SHELVES</t>
        </is>
      </c>
      <c r="D415" t="inlineStr">
        <is>
          <t>KF9640.A75 P76</t>
        </is>
      </c>
      <c r="E415" t="inlineStr">
        <is>
          <t>0                      KF 9640000A  75                 P  76</t>
        </is>
      </c>
      <c r="F415" t="inlineStr">
        <is>
          <t>The Prosecutor / William F. McDonald, editor ; foreword by Thomas F. Eagleton.</t>
        </is>
      </c>
      <c r="H415" t="inlineStr">
        <is>
          <t>No</t>
        </is>
      </c>
      <c r="I415" t="inlineStr">
        <is>
          <t>1</t>
        </is>
      </c>
      <c r="J415" t="inlineStr">
        <is>
          <t>Yes</t>
        </is>
      </c>
      <c r="K415" t="inlineStr">
        <is>
          <t>No</t>
        </is>
      </c>
      <c r="L415" t="inlineStr">
        <is>
          <t>0</t>
        </is>
      </c>
      <c r="N415" t="inlineStr">
        <is>
          <t>Beverly Hills : Sage Publications, c1979.</t>
        </is>
      </c>
      <c r="O415" t="inlineStr">
        <is>
          <t>1979</t>
        </is>
      </c>
      <c r="Q415" t="inlineStr">
        <is>
          <t>eng</t>
        </is>
      </c>
      <c r="R415" t="inlineStr">
        <is>
          <t>cau</t>
        </is>
      </c>
      <c r="S415" t="inlineStr">
        <is>
          <t>Sage criminal justice system annuals ; v. 11</t>
        </is>
      </c>
      <c r="T415" t="inlineStr">
        <is>
          <t xml:space="preserve">KF </t>
        </is>
      </c>
      <c r="U415" t="n">
        <v>3</v>
      </c>
      <c r="V415" t="n">
        <v>9</v>
      </c>
      <c r="W415" t="inlineStr">
        <is>
          <t>2004-04-21</t>
        </is>
      </c>
      <c r="X415" t="inlineStr">
        <is>
          <t>2004-04-21</t>
        </is>
      </c>
      <c r="Y415" t="inlineStr">
        <is>
          <t>1990-05-03</t>
        </is>
      </c>
      <c r="Z415" t="inlineStr">
        <is>
          <t>1991-07-30</t>
        </is>
      </c>
      <c r="AA415" t="n">
        <v>541</v>
      </c>
      <c r="AB415" t="n">
        <v>469</v>
      </c>
      <c r="AC415" t="n">
        <v>475</v>
      </c>
      <c r="AD415" t="n">
        <v>5</v>
      </c>
      <c r="AE415" t="n">
        <v>5</v>
      </c>
      <c r="AF415" t="n">
        <v>29</v>
      </c>
      <c r="AG415" t="n">
        <v>29</v>
      </c>
      <c r="AH415" t="n">
        <v>6</v>
      </c>
      <c r="AI415" t="n">
        <v>6</v>
      </c>
      <c r="AJ415" t="n">
        <v>3</v>
      </c>
      <c r="AK415" t="n">
        <v>3</v>
      </c>
      <c r="AL415" t="n">
        <v>11</v>
      </c>
      <c r="AM415" t="n">
        <v>11</v>
      </c>
      <c r="AN415" t="n">
        <v>3</v>
      </c>
      <c r="AO415" t="n">
        <v>3</v>
      </c>
      <c r="AP415" t="n">
        <v>13</v>
      </c>
      <c r="AQ415" t="n">
        <v>13</v>
      </c>
      <c r="AR415" t="inlineStr">
        <is>
          <t>No</t>
        </is>
      </c>
      <c r="AS415" t="inlineStr">
        <is>
          <t>Yes</t>
        </is>
      </c>
      <c r="AT415">
        <f>HYPERLINK("http://catalog.hathitrust.org/Record/000703685","HathiTrust Record")</f>
        <v/>
      </c>
      <c r="AU415">
        <f>HYPERLINK("https://creighton-primo.hosted.exlibrisgroup.com/primo-explore/search?tab=default_tab&amp;search_scope=EVERYTHING&amp;vid=01CRU&amp;lang=en_US&amp;offset=0&amp;query=any,contains,991001801269702656","Catalog Record")</f>
        <v/>
      </c>
      <c r="AV415">
        <f>HYPERLINK("http://www.worldcat.org/oclc/4907858","WorldCat Record")</f>
        <v/>
      </c>
      <c r="AW415" t="inlineStr">
        <is>
          <t>355892970:eng</t>
        </is>
      </c>
      <c r="AX415" t="inlineStr">
        <is>
          <t>4907858</t>
        </is>
      </c>
      <c r="AY415" t="inlineStr">
        <is>
          <t>991001801269702656</t>
        </is>
      </c>
      <c r="AZ415" t="inlineStr">
        <is>
          <t>991001801269702656</t>
        </is>
      </c>
      <c r="BA415" t="inlineStr">
        <is>
          <t>2258716750002656</t>
        </is>
      </c>
      <c r="BB415" t="inlineStr">
        <is>
          <t>BOOK</t>
        </is>
      </c>
      <c r="BD415" t="inlineStr">
        <is>
          <t>9780803908154</t>
        </is>
      </c>
      <c r="BE415" t="inlineStr">
        <is>
          <t>32285000148675</t>
        </is>
      </c>
      <c r="BF415" t="inlineStr">
        <is>
          <t>893534682</t>
        </is>
      </c>
    </row>
    <row r="416">
      <c r="B416" t="inlineStr">
        <is>
          <t>CURAL</t>
        </is>
      </c>
      <c r="C416" t="inlineStr">
        <is>
          <t>SHELVES</t>
        </is>
      </c>
      <c r="D416" t="inlineStr">
        <is>
          <t>KF9654 .M38 1984</t>
        </is>
      </c>
      <c r="E416" t="inlineStr">
        <is>
          <t>0                      KF 9654000M  38          1984</t>
        </is>
      </c>
      <c r="F416" t="inlineStr">
        <is>
          <t>Inside plea bargaining : the language of negotiation / Douglas W. Maynard.</t>
        </is>
      </c>
      <c r="H416" t="inlineStr">
        <is>
          <t>No</t>
        </is>
      </c>
      <c r="I416" t="inlineStr">
        <is>
          <t>1</t>
        </is>
      </c>
      <c r="J416" t="inlineStr">
        <is>
          <t>No</t>
        </is>
      </c>
      <c r="K416" t="inlineStr">
        <is>
          <t>No</t>
        </is>
      </c>
      <c r="L416" t="inlineStr">
        <is>
          <t>0</t>
        </is>
      </c>
      <c r="M416" t="inlineStr">
        <is>
          <t>Maynard, Douglas W., 1946-</t>
        </is>
      </c>
      <c r="N416" t="inlineStr">
        <is>
          <t>New York : Plenum Press, c1984.</t>
        </is>
      </c>
      <c r="O416" t="inlineStr">
        <is>
          <t>1984</t>
        </is>
      </c>
      <c r="Q416" t="inlineStr">
        <is>
          <t>eng</t>
        </is>
      </c>
      <c r="R416" t="inlineStr">
        <is>
          <t>nyu</t>
        </is>
      </c>
      <c r="T416" t="inlineStr">
        <is>
          <t xml:space="preserve">KF </t>
        </is>
      </c>
      <c r="U416" t="n">
        <v>6</v>
      </c>
      <c r="V416" t="n">
        <v>6</v>
      </c>
      <c r="W416" t="inlineStr">
        <is>
          <t>2010-05-04</t>
        </is>
      </c>
      <c r="X416" t="inlineStr">
        <is>
          <t>2010-05-04</t>
        </is>
      </c>
      <c r="Y416" t="inlineStr">
        <is>
          <t>1992-07-27</t>
        </is>
      </c>
      <c r="Z416" t="inlineStr">
        <is>
          <t>1992-07-27</t>
        </is>
      </c>
      <c r="AA416" t="n">
        <v>500</v>
      </c>
      <c r="AB416" t="n">
        <v>401</v>
      </c>
      <c r="AC416" t="n">
        <v>407</v>
      </c>
      <c r="AD416" t="n">
        <v>5</v>
      </c>
      <c r="AE416" t="n">
        <v>5</v>
      </c>
      <c r="AF416" t="n">
        <v>30</v>
      </c>
      <c r="AG416" t="n">
        <v>30</v>
      </c>
      <c r="AH416" t="n">
        <v>5</v>
      </c>
      <c r="AI416" t="n">
        <v>5</v>
      </c>
      <c r="AJ416" t="n">
        <v>5</v>
      </c>
      <c r="AK416" t="n">
        <v>5</v>
      </c>
      <c r="AL416" t="n">
        <v>3</v>
      </c>
      <c r="AM416" t="n">
        <v>3</v>
      </c>
      <c r="AN416" t="n">
        <v>3</v>
      </c>
      <c r="AO416" t="n">
        <v>3</v>
      </c>
      <c r="AP416" t="n">
        <v>17</v>
      </c>
      <c r="AQ416" t="n">
        <v>17</v>
      </c>
      <c r="AR416" t="inlineStr">
        <is>
          <t>No</t>
        </is>
      </c>
      <c r="AS416" t="inlineStr">
        <is>
          <t>No</t>
        </is>
      </c>
      <c r="AU416">
        <f>HYPERLINK("https://creighton-primo.hosted.exlibrisgroup.com/primo-explore/search?tab=default_tab&amp;search_scope=EVERYTHING&amp;vid=01CRU&amp;lang=en_US&amp;offset=0&amp;query=any,contains,991000429069702656","Catalog Record")</f>
        <v/>
      </c>
      <c r="AV416">
        <f>HYPERLINK("http://www.worldcat.org/oclc/10777310","WorldCat Record")</f>
        <v/>
      </c>
      <c r="AW416" t="inlineStr">
        <is>
          <t>836665905:eng</t>
        </is>
      </c>
      <c r="AX416" t="inlineStr">
        <is>
          <t>10777310</t>
        </is>
      </c>
      <c r="AY416" t="inlineStr">
        <is>
          <t>991000429069702656</t>
        </is>
      </c>
      <c r="AZ416" t="inlineStr">
        <is>
          <t>991000429069702656</t>
        </is>
      </c>
      <c r="BA416" t="inlineStr">
        <is>
          <t>2265303190002656</t>
        </is>
      </c>
      <c r="BB416" t="inlineStr">
        <is>
          <t>BOOK</t>
        </is>
      </c>
      <c r="BD416" t="inlineStr">
        <is>
          <t>9780306415777</t>
        </is>
      </c>
      <c r="BE416" t="inlineStr">
        <is>
          <t>32285001230803</t>
        </is>
      </c>
      <c r="BF416" t="inlineStr">
        <is>
          <t>893790493</t>
        </is>
      </c>
    </row>
    <row r="417">
      <c r="B417" t="inlineStr">
        <is>
          <t>CURAL</t>
        </is>
      </c>
      <c r="C417" t="inlineStr">
        <is>
          <t>SHELVES</t>
        </is>
      </c>
      <c r="D417" t="inlineStr">
        <is>
          <t>KF9654 .R66</t>
        </is>
      </c>
      <c r="E417" t="inlineStr">
        <is>
          <t>0                      KF 9654000R  66</t>
        </is>
      </c>
      <c r="F417" t="inlineStr">
        <is>
          <t>Justice by consent : plea bargains in the American courthouse / Arthur Rosett, Donald R. Cressey.</t>
        </is>
      </c>
      <c r="H417" t="inlineStr">
        <is>
          <t>No</t>
        </is>
      </c>
      <c r="I417" t="inlineStr">
        <is>
          <t>1</t>
        </is>
      </c>
      <c r="J417" t="inlineStr">
        <is>
          <t>Yes</t>
        </is>
      </c>
      <c r="K417" t="inlineStr">
        <is>
          <t>No</t>
        </is>
      </c>
      <c r="L417" t="inlineStr">
        <is>
          <t>0</t>
        </is>
      </c>
      <c r="M417" t="inlineStr">
        <is>
          <t>Rosett, Arthur I. (Arthur Irwin), 1934-2011.</t>
        </is>
      </c>
      <c r="N417" t="inlineStr">
        <is>
          <t>Philadelphia : Lippincott, c1976.</t>
        </is>
      </c>
      <c r="O417" t="inlineStr">
        <is>
          <t>1976</t>
        </is>
      </c>
      <c r="Q417" t="inlineStr">
        <is>
          <t>eng</t>
        </is>
      </c>
      <c r="R417" t="inlineStr">
        <is>
          <t>pau</t>
        </is>
      </c>
      <c r="T417" t="inlineStr">
        <is>
          <t xml:space="preserve">KF </t>
        </is>
      </c>
      <c r="U417" t="n">
        <v>2</v>
      </c>
      <c r="V417" t="n">
        <v>6</v>
      </c>
      <c r="W417" t="inlineStr">
        <is>
          <t>2010-05-04</t>
        </is>
      </c>
      <c r="X417" t="inlineStr">
        <is>
          <t>2010-05-04</t>
        </is>
      </c>
      <c r="Y417" t="inlineStr">
        <is>
          <t>1992-11-04</t>
        </is>
      </c>
      <c r="Z417" t="inlineStr">
        <is>
          <t>1993-06-07</t>
        </is>
      </c>
      <c r="AA417" t="n">
        <v>1031</v>
      </c>
      <c r="AB417" t="n">
        <v>962</v>
      </c>
      <c r="AC417" t="n">
        <v>970</v>
      </c>
      <c r="AD417" t="n">
        <v>9</v>
      </c>
      <c r="AE417" t="n">
        <v>9</v>
      </c>
      <c r="AF417" t="n">
        <v>55</v>
      </c>
      <c r="AG417" t="n">
        <v>55</v>
      </c>
      <c r="AH417" t="n">
        <v>15</v>
      </c>
      <c r="AI417" t="n">
        <v>15</v>
      </c>
      <c r="AJ417" t="n">
        <v>8</v>
      </c>
      <c r="AK417" t="n">
        <v>8</v>
      </c>
      <c r="AL417" t="n">
        <v>14</v>
      </c>
      <c r="AM417" t="n">
        <v>14</v>
      </c>
      <c r="AN417" t="n">
        <v>6</v>
      </c>
      <c r="AO417" t="n">
        <v>6</v>
      </c>
      <c r="AP417" t="n">
        <v>21</v>
      </c>
      <c r="AQ417" t="n">
        <v>21</v>
      </c>
      <c r="AR417" t="inlineStr">
        <is>
          <t>No</t>
        </is>
      </c>
      <c r="AS417" t="inlineStr">
        <is>
          <t>Yes</t>
        </is>
      </c>
      <c r="AT417">
        <f>HYPERLINK("http://catalog.hathitrust.org/Record/000709182","HathiTrust Record")</f>
        <v/>
      </c>
      <c r="AU417">
        <f>HYPERLINK("https://creighton-primo.hosted.exlibrisgroup.com/primo-explore/search?tab=default_tab&amp;search_scope=EVERYTHING&amp;vid=01CRU&amp;lang=en_US&amp;offset=0&amp;query=any,contains,991001740019702656","Catalog Record")</f>
        <v/>
      </c>
      <c r="AV417">
        <f>HYPERLINK("http://www.worldcat.org/oclc/1958480","WorldCat Record")</f>
        <v/>
      </c>
      <c r="AW417" t="inlineStr">
        <is>
          <t>909792501:eng</t>
        </is>
      </c>
      <c r="AX417" t="inlineStr">
        <is>
          <t>1958480</t>
        </is>
      </c>
      <c r="AY417" t="inlineStr">
        <is>
          <t>991001740019702656</t>
        </is>
      </c>
      <c r="AZ417" t="inlineStr">
        <is>
          <t>991001740019702656</t>
        </is>
      </c>
      <c r="BA417" t="inlineStr">
        <is>
          <t>2263058050002656</t>
        </is>
      </c>
      <c r="BB417" t="inlineStr">
        <is>
          <t>BOOK</t>
        </is>
      </c>
      <c r="BD417" t="inlineStr">
        <is>
          <t>9780397473410</t>
        </is>
      </c>
      <c r="BE417" t="inlineStr">
        <is>
          <t>32285001381358</t>
        </is>
      </c>
      <c r="BF417" t="inlineStr">
        <is>
          <t>893238307</t>
        </is>
      </c>
    </row>
    <row r="418">
      <c r="B418" t="inlineStr">
        <is>
          <t>CURAL</t>
        </is>
      </c>
      <c r="C418" t="inlineStr">
        <is>
          <t>SHELVES</t>
        </is>
      </c>
      <c r="D418" t="inlineStr">
        <is>
          <t>KF9655 .W43</t>
        </is>
      </c>
      <c r="E418" t="inlineStr">
        <is>
          <t>0                      KF 9655000W  43</t>
        </is>
      </c>
      <c r="F418" t="inlineStr">
        <is>
          <t>Commonwealth vs. Sacco and Vanzetti / edited by Robert P. Weeks.</t>
        </is>
      </c>
      <c r="H418" t="inlineStr">
        <is>
          <t>No</t>
        </is>
      </c>
      <c r="I418" t="inlineStr">
        <is>
          <t>1</t>
        </is>
      </c>
      <c r="J418" t="inlineStr">
        <is>
          <t>No</t>
        </is>
      </c>
      <c r="K418" t="inlineStr">
        <is>
          <t>No</t>
        </is>
      </c>
      <c r="L418" t="inlineStr">
        <is>
          <t>0</t>
        </is>
      </c>
      <c r="N418" t="inlineStr">
        <is>
          <t>Englewood Cliffs, N.J. : Prentice-Hall, c1958.</t>
        </is>
      </c>
      <c r="O418" t="inlineStr">
        <is>
          <t>1958</t>
        </is>
      </c>
      <c r="Q418" t="inlineStr">
        <is>
          <t>eng</t>
        </is>
      </c>
      <c r="R418" t="inlineStr">
        <is>
          <t>nju</t>
        </is>
      </c>
      <c r="T418" t="inlineStr">
        <is>
          <t xml:space="preserve">KF </t>
        </is>
      </c>
      <c r="U418" t="n">
        <v>2</v>
      </c>
      <c r="V418" t="n">
        <v>2</v>
      </c>
      <c r="W418" t="inlineStr">
        <is>
          <t>2008-10-02</t>
        </is>
      </c>
      <c r="X418" t="inlineStr">
        <is>
          <t>2008-10-02</t>
        </is>
      </c>
      <c r="Y418" t="inlineStr">
        <is>
          <t>1997-04-21</t>
        </is>
      </c>
      <c r="Z418" t="inlineStr">
        <is>
          <t>1997-04-21</t>
        </is>
      </c>
      <c r="AA418" t="n">
        <v>666</v>
      </c>
      <c r="AB418" t="n">
        <v>635</v>
      </c>
      <c r="AC418" t="n">
        <v>692</v>
      </c>
      <c r="AD418" t="n">
        <v>2</v>
      </c>
      <c r="AE418" t="n">
        <v>3</v>
      </c>
      <c r="AF418" t="n">
        <v>28</v>
      </c>
      <c r="AG418" t="n">
        <v>32</v>
      </c>
      <c r="AH418" t="n">
        <v>9</v>
      </c>
      <c r="AI418" t="n">
        <v>9</v>
      </c>
      <c r="AJ418" t="n">
        <v>5</v>
      </c>
      <c r="AK418" t="n">
        <v>6</v>
      </c>
      <c r="AL418" t="n">
        <v>13</v>
      </c>
      <c r="AM418" t="n">
        <v>13</v>
      </c>
      <c r="AN418" t="n">
        <v>1</v>
      </c>
      <c r="AO418" t="n">
        <v>1</v>
      </c>
      <c r="AP418" t="n">
        <v>6</v>
      </c>
      <c r="AQ418" t="n">
        <v>9</v>
      </c>
      <c r="AR418" t="inlineStr">
        <is>
          <t>No</t>
        </is>
      </c>
      <c r="AS418" t="inlineStr">
        <is>
          <t>Yes</t>
        </is>
      </c>
      <c r="AT418">
        <f>HYPERLINK("http://catalog.hathitrust.org/Record/001134366","HathiTrust Record")</f>
        <v/>
      </c>
      <c r="AU418">
        <f>HYPERLINK("https://creighton-primo.hosted.exlibrisgroup.com/primo-explore/search?tab=default_tab&amp;search_scope=EVERYTHING&amp;vid=01CRU&amp;lang=en_US&amp;offset=0&amp;query=any,contains,991002426279702656","Catalog Record")</f>
        <v/>
      </c>
      <c r="AV418">
        <f>HYPERLINK("http://www.worldcat.org/oclc/344989","WorldCat Record")</f>
        <v/>
      </c>
      <c r="AW418" t="inlineStr">
        <is>
          <t>901274004:eng</t>
        </is>
      </c>
      <c r="AX418" t="inlineStr">
        <is>
          <t>344989</t>
        </is>
      </c>
      <c r="AY418" t="inlineStr">
        <is>
          <t>991002426279702656</t>
        </is>
      </c>
      <c r="AZ418" t="inlineStr">
        <is>
          <t>991002426279702656</t>
        </is>
      </c>
      <c r="BA418" t="inlineStr">
        <is>
          <t>2269960680002656</t>
        </is>
      </c>
      <c r="BB418" t="inlineStr">
        <is>
          <t>BOOK</t>
        </is>
      </c>
      <c r="BE418" t="inlineStr">
        <is>
          <t>32285002554185</t>
        </is>
      </c>
      <c r="BF418" t="inlineStr">
        <is>
          <t>893341421</t>
        </is>
      </c>
    </row>
    <row r="419">
      <c r="B419" t="inlineStr">
        <is>
          <t>CURAL</t>
        </is>
      </c>
      <c r="C419" t="inlineStr">
        <is>
          <t>SHELVES</t>
        </is>
      </c>
      <c r="D419" t="inlineStr">
        <is>
          <t>KF9668 .L4 1999</t>
        </is>
      </c>
      <c r="E419" t="inlineStr">
        <is>
          <t>0                      KF 9668000L  4           1999</t>
        </is>
      </c>
      <c r="F419" t="inlineStr">
        <is>
          <t>Origins of the Fifth Amendment : the right against self-incrimination / Leonard W. Levy.</t>
        </is>
      </c>
      <c r="H419" t="inlineStr">
        <is>
          <t>No</t>
        </is>
      </c>
      <c r="I419" t="inlineStr">
        <is>
          <t>1</t>
        </is>
      </c>
      <c r="J419" t="inlineStr">
        <is>
          <t>No</t>
        </is>
      </c>
      <c r="K419" t="inlineStr">
        <is>
          <t>Yes</t>
        </is>
      </c>
      <c r="L419" t="inlineStr">
        <is>
          <t>0</t>
        </is>
      </c>
      <c r="M419" t="inlineStr">
        <is>
          <t>Levy, Leonard W. (Leonard Williams), 1923-2006.</t>
        </is>
      </c>
      <c r="N419" t="inlineStr">
        <is>
          <t>Chicago, Ill : Ivan R. Dee, 1999.</t>
        </is>
      </c>
      <c r="O419" t="inlineStr">
        <is>
          <t>1999</t>
        </is>
      </c>
      <c r="P419" t="inlineStr">
        <is>
          <t>1st Ivan R. Dee paperback ed.</t>
        </is>
      </c>
      <c r="Q419" t="inlineStr">
        <is>
          <t>eng</t>
        </is>
      </c>
      <c r="R419" t="inlineStr">
        <is>
          <t>ilu</t>
        </is>
      </c>
      <c r="T419" t="inlineStr">
        <is>
          <t xml:space="preserve">KF </t>
        </is>
      </c>
      <c r="U419" t="n">
        <v>2</v>
      </c>
      <c r="V419" t="n">
        <v>2</v>
      </c>
      <c r="W419" t="inlineStr">
        <is>
          <t>2000-12-05</t>
        </is>
      </c>
      <c r="X419" t="inlineStr">
        <is>
          <t>2000-12-05</t>
        </is>
      </c>
      <c r="Y419" t="inlineStr">
        <is>
          <t>2000-12-05</t>
        </is>
      </c>
      <c r="Z419" t="inlineStr">
        <is>
          <t>2000-12-05</t>
        </is>
      </c>
      <c r="AA419" t="n">
        <v>175</v>
      </c>
      <c r="AB419" t="n">
        <v>163</v>
      </c>
      <c r="AC419" t="n">
        <v>1572</v>
      </c>
      <c r="AD419" t="n">
        <v>1</v>
      </c>
      <c r="AE419" t="n">
        <v>12</v>
      </c>
      <c r="AF419" t="n">
        <v>3</v>
      </c>
      <c r="AG419" t="n">
        <v>76</v>
      </c>
      <c r="AH419" t="n">
        <v>1</v>
      </c>
      <c r="AI419" t="n">
        <v>24</v>
      </c>
      <c r="AJ419" t="n">
        <v>0</v>
      </c>
      <c r="AK419" t="n">
        <v>9</v>
      </c>
      <c r="AL419" t="n">
        <v>1</v>
      </c>
      <c r="AM419" t="n">
        <v>24</v>
      </c>
      <c r="AN419" t="n">
        <v>0</v>
      </c>
      <c r="AO419" t="n">
        <v>8</v>
      </c>
      <c r="AP419" t="n">
        <v>1</v>
      </c>
      <c r="AQ419" t="n">
        <v>23</v>
      </c>
      <c r="AR419" t="inlineStr">
        <is>
          <t>No</t>
        </is>
      </c>
      <c r="AS419" t="inlineStr">
        <is>
          <t>No</t>
        </is>
      </c>
      <c r="AU419">
        <f>HYPERLINK("https://creighton-primo.hosted.exlibrisgroup.com/primo-explore/search?tab=default_tab&amp;search_scope=EVERYTHING&amp;vid=01CRU&amp;lang=en_US&amp;offset=0&amp;query=any,contains,991003345679702656","Catalog Record")</f>
        <v/>
      </c>
      <c r="AV419">
        <f>HYPERLINK("http://www.worldcat.org/oclc/41431753","WorldCat Record")</f>
        <v/>
      </c>
      <c r="AW419" t="inlineStr">
        <is>
          <t>214279587:eng</t>
        </is>
      </c>
      <c r="AX419" t="inlineStr">
        <is>
          <t>41431753</t>
        </is>
      </c>
      <c r="AY419" t="inlineStr">
        <is>
          <t>991003345679702656</t>
        </is>
      </c>
      <c r="AZ419" t="inlineStr">
        <is>
          <t>991003345679702656</t>
        </is>
      </c>
      <c r="BA419" t="inlineStr">
        <is>
          <t>2272023550002656</t>
        </is>
      </c>
      <c r="BB419" t="inlineStr">
        <is>
          <t>BOOK</t>
        </is>
      </c>
      <c r="BD419" t="inlineStr">
        <is>
          <t>9781566632706</t>
        </is>
      </c>
      <c r="BE419" t="inlineStr">
        <is>
          <t>32285004269972</t>
        </is>
      </c>
      <c r="BF419" t="inlineStr">
        <is>
          <t>893793551</t>
        </is>
      </c>
    </row>
    <row r="420">
      <c r="B420" t="inlineStr">
        <is>
          <t>CURAL</t>
        </is>
      </c>
      <c r="C420" t="inlineStr">
        <is>
          <t>SHELVES</t>
        </is>
      </c>
      <c r="D420" t="inlineStr">
        <is>
          <t>KF9670 .L37</t>
        </is>
      </c>
      <c r="E420" t="inlineStr">
        <is>
          <t>0                      KF 9670000L  37</t>
        </is>
      </c>
      <c r="F420" t="inlineStr">
        <is>
          <t>Eavesdropping on trial / [by] Edith J. Lapidus.</t>
        </is>
      </c>
      <c r="H420" t="inlineStr">
        <is>
          <t>No</t>
        </is>
      </c>
      <c r="I420" t="inlineStr">
        <is>
          <t>1</t>
        </is>
      </c>
      <c r="J420" t="inlineStr">
        <is>
          <t>No</t>
        </is>
      </c>
      <c r="K420" t="inlineStr">
        <is>
          <t>No</t>
        </is>
      </c>
      <c r="L420" t="inlineStr">
        <is>
          <t>0</t>
        </is>
      </c>
      <c r="M420" t="inlineStr">
        <is>
          <t>Lapidus, Edith J.</t>
        </is>
      </c>
      <c r="N420" t="inlineStr">
        <is>
          <t>Rochelle Park, N.J. : Hayden Book Co., [1973, c1974]</t>
        </is>
      </c>
      <c r="O420" t="inlineStr">
        <is>
          <t>1973</t>
        </is>
      </c>
      <c r="Q420" t="inlineStr">
        <is>
          <t>eng</t>
        </is>
      </c>
      <c r="R420" t="inlineStr">
        <is>
          <t>nju</t>
        </is>
      </c>
      <c r="T420" t="inlineStr">
        <is>
          <t xml:space="preserve">KF </t>
        </is>
      </c>
      <c r="U420" t="n">
        <v>1</v>
      </c>
      <c r="V420" t="n">
        <v>1</v>
      </c>
      <c r="W420" t="inlineStr">
        <is>
          <t>2002-05-03</t>
        </is>
      </c>
      <c r="X420" t="inlineStr">
        <is>
          <t>2002-05-03</t>
        </is>
      </c>
      <c r="Y420" t="inlineStr">
        <is>
          <t>1994-03-11</t>
        </is>
      </c>
      <c r="Z420" t="inlineStr">
        <is>
          <t>1994-03-11</t>
        </is>
      </c>
      <c r="AA420" t="n">
        <v>606</v>
      </c>
      <c r="AB420" t="n">
        <v>572</v>
      </c>
      <c r="AC420" t="n">
        <v>579</v>
      </c>
      <c r="AD420" t="n">
        <v>6</v>
      </c>
      <c r="AE420" t="n">
        <v>6</v>
      </c>
      <c r="AF420" t="n">
        <v>22</v>
      </c>
      <c r="AG420" t="n">
        <v>22</v>
      </c>
      <c r="AH420" t="n">
        <v>5</v>
      </c>
      <c r="AI420" t="n">
        <v>5</v>
      </c>
      <c r="AJ420" t="n">
        <v>2</v>
      </c>
      <c r="AK420" t="n">
        <v>2</v>
      </c>
      <c r="AL420" t="n">
        <v>8</v>
      </c>
      <c r="AM420" t="n">
        <v>8</v>
      </c>
      <c r="AN420" t="n">
        <v>4</v>
      </c>
      <c r="AO420" t="n">
        <v>4</v>
      </c>
      <c r="AP420" t="n">
        <v>6</v>
      </c>
      <c r="AQ420" t="n">
        <v>6</v>
      </c>
      <c r="AR420" t="inlineStr">
        <is>
          <t>No</t>
        </is>
      </c>
      <c r="AS420" t="inlineStr">
        <is>
          <t>Yes</t>
        </is>
      </c>
      <c r="AT420">
        <f>HYPERLINK("http://catalog.hathitrust.org/Record/007848110","HathiTrust Record")</f>
        <v/>
      </c>
      <c r="AU420">
        <f>HYPERLINK("https://creighton-primo.hosted.exlibrisgroup.com/primo-explore/search?tab=default_tab&amp;search_scope=EVERYTHING&amp;vid=01CRU&amp;lang=en_US&amp;offset=0&amp;query=any,contains,991003198469702656","Catalog Record")</f>
        <v/>
      </c>
      <c r="AV420">
        <f>HYPERLINK("http://www.worldcat.org/oclc/723040","WorldCat Record")</f>
        <v/>
      </c>
      <c r="AW420" t="inlineStr">
        <is>
          <t>1713066:eng</t>
        </is>
      </c>
      <c r="AX420" t="inlineStr">
        <is>
          <t>723040</t>
        </is>
      </c>
      <c r="AY420" t="inlineStr">
        <is>
          <t>991003198469702656</t>
        </is>
      </c>
      <c r="AZ420" t="inlineStr">
        <is>
          <t>991003198469702656</t>
        </is>
      </c>
      <c r="BA420" t="inlineStr">
        <is>
          <t>2256237130002656</t>
        </is>
      </c>
      <c r="BB420" t="inlineStr">
        <is>
          <t>BOOK</t>
        </is>
      </c>
      <c r="BE420" t="inlineStr">
        <is>
          <t>32285001853026</t>
        </is>
      </c>
      <c r="BF420" t="inlineStr">
        <is>
          <t>893610807</t>
        </is>
      </c>
    </row>
    <row r="421">
      <c r="B421" t="inlineStr">
        <is>
          <t>CURAL</t>
        </is>
      </c>
      <c r="C421" t="inlineStr">
        <is>
          <t>SHELVES</t>
        </is>
      </c>
      <c r="D421" t="inlineStr">
        <is>
          <t>KF9672 .L65 1991</t>
        </is>
      </c>
      <c r="E421" t="inlineStr">
        <is>
          <t>0                      KF 9672000L  65          1991</t>
        </is>
      </c>
      <c r="F421" t="inlineStr">
        <is>
          <t>Witness for the defense : the accused, the eyewitness, and the expert who puts memory on trial / Elizabeth Loftus and Katherine Ketcham.</t>
        </is>
      </c>
      <c r="H421" t="inlineStr">
        <is>
          <t>No</t>
        </is>
      </c>
      <c r="I421" t="inlineStr">
        <is>
          <t>1</t>
        </is>
      </c>
      <c r="J421" t="inlineStr">
        <is>
          <t>Yes</t>
        </is>
      </c>
      <c r="K421" t="inlineStr">
        <is>
          <t>No</t>
        </is>
      </c>
      <c r="L421" t="inlineStr">
        <is>
          <t>0</t>
        </is>
      </c>
      <c r="M421" t="inlineStr">
        <is>
          <t>Loftus, Elizabeth F., 1944-</t>
        </is>
      </c>
      <c r="N421" t="inlineStr">
        <is>
          <t>New York : St. Martin's Press, 1991.</t>
        </is>
      </c>
      <c r="O421" t="inlineStr">
        <is>
          <t>1991</t>
        </is>
      </c>
      <c r="P421" t="inlineStr">
        <is>
          <t>1st ed.</t>
        </is>
      </c>
      <c r="Q421" t="inlineStr">
        <is>
          <t>eng</t>
        </is>
      </c>
      <c r="R421" t="inlineStr">
        <is>
          <t>nyu</t>
        </is>
      </c>
      <c r="T421" t="inlineStr">
        <is>
          <t xml:space="preserve">KF </t>
        </is>
      </c>
      <c r="U421" t="n">
        <v>30</v>
      </c>
      <c r="V421" t="n">
        <v>34</v>
      </c>
      <c r="W421" t="inlineStr">
        <is>
          <t>2004-03-11</t>
        </is>
      </c>
      <c r="X421" t="inlineStr">
        <is>
          <t>2004-03-11</t>
        </is>
      </c>
      <c r="Y421" t="inlineStr">
        <is>
          <t>1991-07-30</t>
        </is>
      </c>
      <c r="Z421" t="inlineStr">
        <is>
          <t>1992-06-24</t>
        </is>
      </c>
      <c r="AA421" t="n">
        <v>816</v>
      </c>
      <c r="AB421" t="n">
        <v>739</v>
      </c>
      <c r="AC421" t="n">
        <v>807</v>
      </c>
      <c r="AD421" t="n">
        <v>4</v>
      </c>
      <c r="AE421" t="n">
        <v>5</v>
      </c>
      <c r="AF421" t="n">
        <v>33</v>
      </c>
      <c r="AG421" t="n">
        <v>34</v>
      </c>
      <c r="AH421" t="n">
        <v>7</v>
      </c>
      <c r="AI421" t="n">
        <v>7</v>
      </c>
      <c r="AJ421" t="n">
        <v>4</v>
      </c>
      <c r="AK421" t="n">
        <v>4</v>
      </c>
      <c r="AL421" t="n">
        <v>5</v>
      </c>
      <c r="AM421" t="n">
        <v>5</v>
      </c>
      <c r="AN421" t="n">
        <v>2</v>
      </c>
      <c r="AO421" t="n">
        <v>3</v>
      </c>
      <c r="AP421" t="n">
        <v>17</v>
      </c>
      <c r="AQ421" t="n">
        <v>17</v>
      </c>
      <c r="AR421" t="inlineStr">
        <is>
          <t>No</t>
        </is>
      </c>
      <c r="AS421" t="inlineStr">
        <is>
          <t>No</t>
        </is>
      </c>
      <c r="AU421">
        <f>HYPERLINK("https://creighton-primo.hosted.exlibrisgroup.com/primo-explore/search?tab=default_tab&amp;search_scope=EVERYTHING&amp;vid=01CRU&amp;lang=en_US&amp;offset=0&amp;query=any,contains,991001646729702656","Catalog Record")</f>
        <v/>
      </c>
      <c r="AV421">
        <f>HYPERLINK("http://www.worldcat.org/oclc/22489732","WorldCat Record")</f>
        <v/>
      </c>
      <c r="AW421" t="inlineStr">
        <is>
          <t>14422924:eng</t>
        </is>
      </c>
      <c r="AX421" t="inlineStr">
        <is>
          <t>22489732</t>
        </is>
      </c>
      <c r="AY421" t="inlineStr">
        <is>
          <t>991001646729702656</t>
        </is>
      </c>
      <c r="AZ421" t="inlineStr">
        <is>
          <t>991001646729702656</t>
        </is>
      </c>
      <c r="BA421" t="inlineStr">
        <is>
          <t>2271702790002656</t>
        </is>
      </c>
      <c r="BB421" t="inlineStr">
        <is>
          <t>BOOK</t>
        </is>
      </c>
      <c r="BD421" t="inlineStr">
        <is>
          <t>9780312055370</t>
        </is>
      </c>
      <c r="BE421" t="inlineStr">
        <is>
          <t>32285000663053</t>
        </is>
      </c>
      <c r="BF421" t="inlineStr">
        <is>
          <t>893866361</t>
        </is>
      </c>
    </row>
    <row r="422">
      <c r="B422" t="inlineStr">
        <is>
          <t>CURAL</t>
        </is>
      </c>
      <c r="C422" t="inlineStr">
        <is>
          <t>SHELVES</t>
        </is>
      </c>
      <c r="D422" t="inlineStr">
        <is>
          <t>KF9672 .P465 1991</t>
        </is>
      </c>
      <c r="E422" t="inlineStr">
        <is>
          <t>0                      KF 9672000P  465         1991</t>
        </is>
      </c>
      <c r="F422" t="inlineStr">
        <is>
          <t>The child witness : legal issues and dilemmas / Nancy Walker Perry, Lawrence S. Wrightsman.</t>
        </is>
      </c>
      <c r="H422" t="inlineStr">
        <is>
          <t>No</t>
        </is>
      </c>
      <c r="I422" t="inlineStr">
        <is>
          <t>1</t>
        </is>
      </c>
      <c r="J422" t="inlineStr">
        <is>
          <t>Yes</t>
        </is>
      </c>
      <c r="K422" t="inlineStr">
        <is>
          <t>No</t>
        </is>
      </c>
      <c r="L422" t="inlineStr">
        <is>
          <t>0</t>
        </is>
      </c>
      <c r="M422" t="inlineStr">
        <is>
          <t>Perry, Nancy W.</t>
        </is>
      </c>
      <c r="N422" t="inlineStr">
        <is>
          <t>Newbury Park, Calif. : Sage Publications, c1991.</t>
        </is>
      </c>
      <c r="O422" t="inlineStr">
        <is>
          <t>1991</t>
        </is>
      </c>
      <c r="Q422" t="inlineStr">
        <is>
          <t>eng</t>
        </is>
      </c>
      <c r="R422" t="inlineStr">
        <is>
          <t>cau</t>
        </is>
      </c>
      <c r="T422" t="inlineStr">
        <is>
          <t xml:space="preserve">KF </t>
        </is>
      </c>
      <c r="U422" t="n">
        <v>30</v>
      </c>
      <c r="V422" t="n">
        <v>50</v>
      </c>
      <c r="W422" t="inlineStr">
        <is>
          <t>2004-09-21</t>
        </is>
      </c>
      <c r="X422" t="inlineStr">
        <is>
          <t>2010-04-28</t>
        </is>
      </c>
      <c r="Y422" t="inlineStr">
        <is>
          <t>1991-08-06</t>
        </is>
      </c>
      <c r="Z422" t="inlineStr">
        <is>
          <t>1991-10-29</t>
        </is>
      </c>
      <c r="AA422" t="n">
        <v>568</v>
      </c>
      <c r="AB422" t="n">
        <v>431</v>
      </c>
      <c r="AC422" t="n">
        <v>436</v>
      </c>
      <c r="AD422" t="n">
        <v>4</v>
      </c>
      <c r="AE422" t="n">
        <v>4</v>
      </c>
      <c r="AF422" t="n">
        <v>35</v>
      </c>
      <c r="AG422" t="n">
        <v>35</v>
      </c>
      <c r="AH422" t="n">
        <v>6</v>
      </c>
      <c r="AI422" t="n">
        <v>6</v>
      </c>
      <c r="AJ422" t="n">
        <v>2</v>
      </c>
      <c r="AK422" t="n">
        <v>2</v>
      </c>
      <c r="AL422" t="n">
        <v>9</v>
      </c>
      <c r="AM422" t="n">
        <v>9</v>
      </c>
      <c r="AN422" t="n">
        <v>2</v>
      </c>
      <c r="AO422" t="n">
        <v>2</v>
      </c>
      <c r="AP422" t="n">
        <v>20</v>
      </c>
      <c r="AQ422" t="n">
        <v>20</v>
      </c>
      <c r="AR422" t="inlineStr">
        <is>
          <t>No</t>
        </is>
      </c>
      <c r="AS422" t="inlineStr">
        <is>
          <t>Yes</t>
        </is>
      </c>
      <c r="AT422">
        <f>HYPERLINK("http://catalog.hathitrust.org/Record/002463615","HathiTrust Record")</f>
        <v/>
      </c>
      <c r="AU422">
        <f>HYPERLINK("https://creighton-primo.hosted.exlibrisgroup.com/primo-explore/search?tab=default_tab&amp;search_scope=EVERYTHING&amp;vid=01CRU&amp;lang=en_US&amp;offset=0&amp;query=any,contains,991001648199702656","Catalog Record")</f>
        <v/>
      </c>
      <c r="AV422">
        <f>HYPERLINK("http://www.worldcat.org/oclc/23143910","WorldCat Record")</f>
        <v/>
      </c>
      <c r="AW422" t="inlineStr">
        <is>
          <t>226800139:eng</t>
        </is>
      </c>
      <c r="AX422" t="inlineStr">
        <is>
          <t>23143910</t>
        </is>
      </c>
      <c r="AY422" t="inlineStr">
        <is>
          <t>991001648199702656</t>
        </is>
      </c>
      <c r="AZ422" t="inlineStr">
        <is>
          <t>991001648199702656</t>
        </is>
      </c>
      <c r="BA422" t="inlineStr">
        <is>
          <t>2265709030002656</t>
        </is>
      </c>
      <c r="BB422" t="inlineStr">
        <is>
          <t>BOOK</t>
        </is>
      </c>
      <c r="BD422" t="inlineStr">
        <is>
          <t>9780803937710</t>
        </is>
      </c>
      <c r="BE422" t="inlineStr">
        <is>
          <t>32285000664911</t>
        </is>
      </c>
      <c r="BF422" t="inlineStr">
        <is>
          <t>893509780</t>
        </is>
      </c>
    </row>
    <row r="423">
      <c r="B423" t="inlineStr">
        <is>
          <t>CURAL</t>
        </is>
      </c>
      <c r="C423" t="inlineStr">
        <is>
          <t>SHELVES</t>
        </is>
      </c>
      <c r="D423" t="inlineStr">
        <is>
          <t>KF9672 .P47 1989</t>
        </is>
      </c>
      <c r="E423" t="inlineStr">
        <is>
          <t>0                      KF 9672000P  47          1989</t>
        </is>
      </c>
      <c r="F423" t="inlineStr">
        <is>
          <t>Perspectives on children's testimony / S.J. Ceci, D.F. Ross, M.P. Toglia, editors.</t>
        </is>
      </c>
      <c r="H423" t="inlineStr">
        <is>
          <t>No</t>
        </is>
      </c>
      <c r="I423" t="inlineStr">
        <is>
          <t>1</t>
        </is>
      </c>
      <c r="J423" t="inlineStr">
        <is>
          <t>No</t>
        </is>
      </c>
      <c r="K423" t="inlineStr">
        <is>
          <t>No</t>
        </is>
      </c>
      <c r="L423" t="inlineStr">
        <is>
          <t>0</t>
        </is>
      </c>
      <c r="N423" t="inlineStr">
        <is>
          <t>New York : Springer-Verlag, c1989.</t>
        </is>
      </c>
      <c r="O423" t="inlineStr">
        <is>
          <t>1989</t>
        </is>
      </c>
      <c r="Q423" t="inlineStr">
        <is>
          <t>eng</t>
        </is>
      </c>
      <c r="R423" t="inlineStr">
        <is>
          <t>nyu</t>
        </is>
      </c>
      <c r="T423" t="inlineStr">
        <is>
          <t xml:space="preserve">KF </t>
        </is>
      </c>
      <c r="U423" t="n">
        <v>23</v>
      </c>
      <c r="V423" t="n">
        <v>23</v>
      </c>
      <c r="W423" t="inlineStr">
        <is>
          <t>2004-09-21</t>
        </is>
      </c>
      <c r="X423" t="inlineStr">
        <is>
          <t>2004-09-21</t>
        </is>
      </c>
      <c r="Y423" t="inlineStr">
        <is>
          <t>1991-06-14</t>
        </is>
      </c>
      <c r="Z423" t="inlineStr">
        <is>
          <t>1991-06-14</t>
        </is>
      </c>
      <c r="AA423" t="n">
        <v>333</v>
      </c>
      <c r="AB423" t="n">
        <v>246</v>
      </c>
      <c r="AC423" t="n">
        <v>275</v>
      </c>
      <c r="AD423" t="n">
        <v>3</v>
      </c>
      <c r="AE423" t="n">
        <v>3</v>
      </c>
      <c r="AF423" t="n">
        <v>15</v>
      </c>
      <c r="AG423" t="n">
        <v>17</v>
      </c>
      <c r="AH423" t="n">
        <v>2</v>
      </c>
      <c r="AI423" t="n">
        <v>4</v>
      </c>
      <c r="AJ423" t="n">
        <v>3</v>
      </c>
      <c r="AK423" t="n">
        <v>3</v>
      </c>
      <c r="AL423" t="n">
        <v>2</v>
      </c>
      <c r="AM423" t="n">
        <v>3</v>
      </c>
      <c r="AN423" t="n">
        <v>2</v>
      </c>
      <c r="AO423" t="n">
        <v>2</v>
      </c>
      <c r="AP423" t="n">
        <v>7</v>
      </c>
      <c r="AQ423" t="n">
        <v>7</v>
      </c>
      <c r="AR423" t="inlineStr">
        <is>
          <t>No</t>
        </is>
      </c>
      <c r="AS423" t="inlineStr">
        <is>
          <t>Yes</t>
        </is>
      </c>
      <c r="AT423">
        <f>HYPERLINK("http://catalog.hathitrust.org/Record/001528319","HathiTrust Record")</f>
        <v/>
      </c>
      <c r="AU423">
        <f>HYPERLINK("https://creighton-primo.hosted.exlibrisgroup.com/primo-explore/search?tab=default_tab&amp;search_scope=EVERYTHING&amp;vid=01CRU&amp;lang=en_US&amp;offset=0&amp;query=any,contains,991001359649702656","Catalog Record")</f>
        <v/>
      </c>
      <c r="AV423">
        <f>HYPERLINK("http://www.worldcat.org/oclc/18520237","WorldCat Record")</f>
        <v/>
      </c>
      <c r="AW423" t="inlineStr">
        <is>
          <t>349913655:eng</t>
        </is>
      </c>
      <c r="AX423" t="inlineStr">
        <is>
          <t>18520237</t>
        </is>
      </c>
      <c r="AY423" t="inlineStr">
        <is>
          <t>991001359649702656</t>
        </is>
      </c>
      <c r="AZ423" t="inlineStr">
        <is>
          <t>991001359649702656</t>
        </is>
      </c>
      <c r="BA423" t="inlineStr">
        <is>
          <t>2268565090002656</t>
        </is>
      </c>
      <c r="BB423" t="inlineStr">
        <is>
          <t>BOOK</t>
        </is>
      </c>
      <c r="BD423" t="inlineStr">
        <is>
          <t>9780387968643</t>
        </is>
      </c>
      <c r="BE423" t="inlineStr">
        <is>
          <t>32285000656792</t>
        </is>
      </c>
      <c r="BF423" t="inlineStr">
        <is>
          <t>893439072</t>
        </is>
      </c>
    </row>
    <row r="424">
      <c r="B424" t="inlineStr">
        <is>
          <t>CURAL</t>
        </is>
      </c>
      <c r="C424" t="inlineStr">
        <is>
          <t>SHELVES</t>
        </is>
      </c>
      <c r="D424" t="inlineStr">
        <is>
          <t>KF9672 .W34</t>
        </is>
      </c>
      <c r="E424" t="inlineStr">
        <is>
          <t>0                      KF 9672000W  34</t>
        </is>
      </c>
      <c r="F424" t="inlineStr">
        <is>
          <t>Eye-witness identification in criminal cases / by Patrick M. Wall ; with a foreword by Stephen P. Kennedy.</t>
        </is>
      </c>
      <c r="H424" t="inlineStr">
        <is>
          <t>No</t>
        </is>
      </c>
      <c r="I424" t="inlineStr">
        <is>
          <t>1</t>
        </is>
      </c>
      <c r="J424" t="inlineStr">
        <is>
          <t>No</t>
        </is>
      </c>
      <c r="K424" t="inlineStr">
        <is>
          <t>No</t>
        </is>
      </c>
      <c r="L424" t="inlineStr">
        <is>
          <t>0</t>
        </is>
      </c>
      <c r="M424" t="inlineStr">
        <is>
          <t>Wall, Patrick M., 1934-</t>
        </is>
      </c>
      <c r="N424" t="inlineStr">
        <is>
          <t>Springfield, Ill. : C.C. Thomas, [1965]</t>
        </is>
      </c>
      <c r="O424" t="inlineStr">
        <is>
          <t>1965</t>
        </is>
      </c>
      <c r="Q424" t="inlineStr">
        <is>
          <t>eng</t>
        </is>
      </c>
      <c r="R424" t="inlineStr">
        <is>
          <t>ilu</t>
        </is>
      </c>
      <c r="T424" t="inlineStr">
        <is>
          <t xml:space="preserve">KF </t>
        </is>
      </c>
      <c r="U424" t="n">
        <v>11</v>
      </c>
      <c r="V424" t="n">
        <v>11</v>
      </c>
      <c r="W424" t="inlineStr">
        <is>
          <t>2005-10-27</t>
        </is>
      </c>
      <c r="X424" t="inlineStr">
        <is>
          <t>2005-10-27</t>
        </is>
      </c>
      <c r="Y424" t="inlineStr">
        <is>
          <t>1992-12-10</t>
        </is>
      </c>
      <c r="Z424" t="inlineStr">
        <is>
          <t>1992-12-10</t>
        </is>
      </c>
      <c r="AA424" t="n">
        <v>338</v>
      </c>
      <c r="AB424" t="n">
        <v>305</v>
      </c>
      <c r="AC424" t="n">
        <v>501</v>
      </c>
      <c r="AD424" t="n">
        <v>3</v>
      </c>
      <c r="AE424" t="n">
        <v>3</v>
      </c>
      <c r="AF424" t="n">
        <v>22</v>
      </c>
      <c r="AG424" t="n">
        <v>32</v>
      </c>
      <c r="AH424" t="n">
        <v>3</v>
      </c>
      <c r="AI424" t="n">
        <v>5</v>
      </c>
      <c r="AJ424" t="n">
        <v>0</v>
      </c>
      <c r="AK424" t="n">
        <v>4</v>
      </c>
      <c r="AL424" t="n">
        <v>3</v>
      </c>
      <c r="AM424" t="n">
        <v>5</v>
      </c>
      <c r="AN424" t="n">
        <v>1</v>
      </c>
      <c r="AO424" t="n">
        <v>1</v>
      </c>
      <c r="AP424" t="n">
        <v>15</v>
      </c>
      <c r="AQ424" t="n">
        <v>19</v>
      </c>
      <c r="AR424" t="inlineStr">
        <is>
          <t>No</t>
        </is>
      </c>
      <c r="AS424" t="inlineStr">
        <is>
          <t>Yes</t>
        </is>
      </c>
      <c r="AT424">
        <f>HYPERLINK("http://catalog.hathitrust.org/Record/006750028","HathiTrust Record")</f>
        <v/>
      </c>
      <c r="AU424">
        <f>HYPERLINK("https://creighton-primo.hosted.exlibrisgroup.com/primo-explore/search?tab=default_tab&amp;search_scope=EVERYTHING&amp;vid=01CRU&amp;lang=en_US&amp;offset=0&amp;query=any,contains,991003249399702656","Catalog Record")</f>
        <v/>
      </c>
      <c r="AV424">
        <f>HYPERLINK("http://www.worldcat.org/oclc/774320","WorldCat Record")</f>
        <v/>
      </c>
      <c r="AW424" t="inlineStr">
        <is>
          <t>1683428:eng</t>
        </is>
      </c>
      <c r="AX424" t="inlineStr">
        <is>
          <t>774320</t>
        </is>
      </c>
      <c r="AY424" t="inlineStr">
        <is>
          <t>991003249399702656</t>
        </is>
      </c>
      <c r="AZ424" t="inlineStr">
        <is>
          <t>991003249399702656</t>
        </is>
      </c>
      <c r="BA424" t="inlineStr">
        <is>
          <t>2262774630002656</t>
        </is>
      </c>
      <c r="BB424" t="inlineStr">
        <is>
          <t>BOOK</t>
        </is>
      </c>
      <c r="BE424" t="inlineStr">
        <is>
          <t>32285001440162</t>
        </is>
      </c>
      <c r="BF424" t="inlineStr">
        <is>
          <t>893441070</t>
        </is>
      </c>
    </row>
    <row r="425">
      <c r="B425" t="inlineStr">
        <is>
          <t>CURAL</t>
        </is>
      </c>
      <c r="C425" t="inlineStr">
        <is>
          <t>SHELVES</t>
        </is>
      </c>
      <c r="D425" t="inlineStr">
        <is>
          <t>KF9680 .J87</t>
        </is>
      </c>
      <c r="E425" t="inlineStr">
        <is>
          <t>0                      KF 9680000J  87</t>
        </is>
      </c>
      <c r="F425" t="inlineStr">
        <is>
          <t>The jury system in America : a critical overview / Rita James Simon, editor. --</t>
        </is>
      </c>
      <c r="H425" t="inlineStr">
        <is>
          <t>No</t>
        </is>
      </c>
      <c r="I425" t="inlineStr">
        <is>
          <t>1</t>
        </is>
      </c>
      <c r="J425" t="inlineStr">
        <is>
          <t>Yes</t>
        </is>
      </c>
      <c r="K425" t="inlineStr">
        <is>
          <t>No</t>
        </is>
      </c>
      <c r="L425" t="inlineStr">
        <is>
          <t>0</t>
        </is>
      </c>
      <c r="M425" t="inlineStr">
        <is>
          <t>Simon, Rita J. (Rita James), 1931-2013, compiler.</t>
        </is>
      </c>
      <c r="N425" t="inlineStr">
        <is>
          <t>Beverly Hills ; London : Sage Publications, 1975.</t>
        </is>
      </c>
      <c r="O425" t="inlineStr">
        <is>
          <t>1975</t>
        </is>
      </c>
      <c r="Q425" t="inlineStr">
        <is>
          <t>eng</t>
        </is>
      </c>
      <c r="R425" t="inlineStr">
        <is>
          <t>cau</t>
        </is>
      </c>
      <c r="S425" t="inlineStr">
        <is>
          <t>Sage criminal justice system annuals ; v. 4</t>
        </is>
      </c>
      <c r="T425" t="inlineStr">
        <is>
          <t xml:space="preserve">KF </t>
        </is>
      </c>
      <c r="U425" t="n">
        <v>13</v>
      </c>
      <c r="V425" t="n">
        <v>13</v>
      </c>
      <c r="W425" t="inlineStr">
        <is>
          <t>2010-04-20</t>
        </is>
      </c>
      <c r="X425" t="inlineStr">
        <is>
          <t>2010-04-20</t>
        </is>
      </c>
      <c r="Y425" t="inlineStr">
        <is>
          <t>1992-07-27</t>
        </is>
      </c>
      <c r="Z425" t="inlineStr">
        <is>
          <t>1992-07-27</t>
        </is>
      </c>
      <c r="AA425" t="n">
        <v>733</v>
      </c>
      <c r="AB425" t="n">
        <v>657</v>
      </c>
      <c r="AC425" t="n">
        <v>670</v>
      </c>
      <c r="AD425" t="n">
        <v>5</v>
      </c>
      <c r="AE425" t="n">
        <v>5</v>
      </c>
      <c r="AF425" t="n">
        <v>37</v>
      </c>
      <c r="AG425" t="n">
        <v>37</v>
      </c>
      <c r="AH425" t="n">
        <v>12</v>
      </c>
      <c r="AI425" t="n">
        <v>12</v>
      </c>
      <c r="AJ425" t="n">
        <v>3</v>
      </c>
      <c r="AK425" t="n">
        <v>3</v>
      </c>
      <c r="AL425" t="n">
        <v>12</v>
      </c>
      <c r="AM425" t="n">
        <v>12</v>
      </c>
      <c r="AN425" t="n">
        <v>2</v>
      </c>
      <c r="AO425" t="n">
        <v>2</v>
      </c>
      <c r="AP425" t="n">
        <v>15</v>
      </c>
      <c r="AQ425" t="n">
        <v>15</v>
      </c>
      <c r="AR425" t="inlineStr">
        <is>
          <t>No</t>
        </is>
      </c>
      <c r="AS425" t="inlineStr">
        <is>
          <t>Yes</t>
        </is>
      </c>
      <c r="AT425">
        <f>HYPERLINK("http://catalog.hathitrust.org/Record/000225416","HathiTrust Record")</f>
        <v/>
      </c>
      <c r="AU425">
        <f>HYPERLINK("https://creighton-primo.hosted.exlibrisgroup.com/primo-explore/search?tab=default_tab&amp;search_scope=EVERYTHING&amp;vid=01CRU&amp;lang=en_US&amp;offset=0&amp;query=any,contains,991003886559702656","Catalog Record")</f>
        <v/>
      </c>
      <c r="AV425">
        <f>HYPERLINK("http://www.worldcat.org/oclc/1818890","WorldCat Record")</f>
        <v/>
      </c>
      <c r="AW425" t="inlineStr">
        <is>
          <t>889989873:eng</t>
        </is>
      </c>
      <c r="AX425" t="inlineStr">
        <is>
          <t>1818890</t>
        </is>
      </c>
      <c r="AY425" t="inlineStr">
        <is>
          <t>991003886559702656</t>
        </is>
      </c>
      <c r="AZ425" t="inlineStr">
        <is>
          <t>991003886559702656</t>
        </is>
      </c>
      <c r="BA425" t="inlineStr">
        <is>
          <t>2271118860002656</t>
        </is>
      </c>
      <c r="BB425" t="inlineStr">
        <is>
          <t>BOOK</t>
        </is>
      </c>
      <c r="BD425" t="inlineStr">
        <is>
          <t>9780803903821</t>
        </is>
      </c>
      <c r="BE425" t="inlineStr">
        <is>
          <t>32285001230852</t>
        </is>
      </c>
      <c r="BF425" t="inlineStr">
        <is>
          <t>893624046</t>
        </is>
      </c>
    </row>
    <row r="426">
      <c r="B426" t="inlineStr">
        <is>
          <t>CURAL</t>
        </is>
      </c>
      <c r="C426" t="inlineStr">
        <is>
          <t>SHELVES</t>
        </is>
      </c>
      <c r="D426" t="inlineStr">
        <is>
          <t>KF9680 .V35</t>
        </is>
      </c>
      <c r="E426" t="inlineStr">
        <is>
          <t>0                      KF 9680000V  35</t>
        </is>
      </c>
      <c r="F426" t="inlineStr">
        <is>
          <t>Jury selection procedures : our uncertain commitment to representative panels/ Jon M. Van Dyke.</t>
        </is>
      </c>
      <c r="H426" t="inlineStr">
        <is>
          <t>No</t>
        </is>
      </c>
      <c r="I426" t="inlineStr">
        <is>
          <t>1</t>
        </is>
      </c>
      <c r="J426" t="inlineStr">
        <is>
          <t>No</t>
        </is>
      </c>
      <c r="K426" t="inlineStr">
        <is>
          <t>No</t>
        </is>
      </c>
      <c r="L426" t="inlineStr">
        <is>
          <t>0</t>
        </is>
      </c>
      <c r="M426" t="inlineStr">
        <is>
          <t>Van Dyke, Jon M.</t>
        </is>
      </c>
      <c r="N426" t="inlineStr">
        <is>
          <t>Cambridge, Mass. : Ballinger Pub. Co., c1977.</t>
        </is>
      </c>
      <c r="O426" t="inlineStr">
        <is>
          <t>1977</t>
        </is>
      </c>
      <c r="Q426" t="inlineStr">
        <is>
          <t>eng</t>
        </is>
      </c>
      <c r="R426" t="inlineStr">
        <is>
          <t>mau</t>
        </is>
      </c>
      <c r="T426" t="inlineStr">
        <is>
          <t xml:space="preserve">KF </t>
        </is>
      </c>
      <c r="U426" t="n">
        <v>15</v>
      </c>
      <c r="V426" t="n">
        <v>15</v>
      </c>
      <c r="W426" t="inlineStr">
        <is>
          <t>2010-04-20</t>
        </is>
      </c>
      <c r="X426" t="inlineStr">
        <is>
          <t>2010-04-20</t>
        </is>
      </c>
      <c r="Y426" t="inlineStr">
        <is>
          <t>1992-01-08</t>
        </is>
      </c>
      <c r="Z426" t="inlineStr">
        <is>
          <t>1992-01-08</t>
        </is>
      </c>
      <c r="AA426" t="n">
        <v>635</v>
      </c>
      <c r="AB426" t="n">
        <v>583</v>
      </c>
      <c r="AC426" t="n">
        <v>588</v>
      </c>
      <c r="AD426" t="n">
        <v>4</v>
      </c>
      <c r="AE426" t="n">
        <v>4</v>
      </c>
      <c r="AF426" t="n">
        <v>36</v>
      </c>
      <c r="AG426" t="n">
        <v>36</v>
      </c>
      <c r="AH426" t="n">
        <v>8</v>
      </c>
      <c r="AI426" t="n">
        <v>8</v>
      </c>
      <c r="AJ426" t="n">
        <v>6</v>
      </c>
      <c r="AK426" t="n">
        <v>6</v>
      </c>
      <c r="AL426" t="n">
        <v>9</v>
      </c>
      <c r="AM426" t="n">
        <v>9</v>
      </c>
      <c r="AN426" t="n">
        <v>3</v>
      </c>
      <c r="AO426" t="n">
        <v>3</v>
      </c>
      <c r="AP426" t="n">
        <v>16</v>
      </c>
      <c r="AQ426" t="n">
        <v>16</v>
      </c>
      <c r="AR426" t="inlineStr">
        <is>
          <t>No</t>
        </is>
      </c>
      <c r="AS426" t="inlineStr">
        <is>
          <t>No</t>
        </is>
      </c>
      <c r="AU426">
        <f>HYPERLINK("https://creighton-primo.hosted.exlibrisgroup.com/primo-explore/search?tab=default_tab&amp;search_scope=EVERYTHING&amp;vid=01CRU&amp;lang=en_US&amp;offset=0&amp;query=any,contains,991004138719702656","Catalog Record")</f>
        <v/>
      </c>
      <c r="AV426">
        <f>HYPERLINK("http://www.worldcat.org/oclc/2493349","WorldCat Record")</f>
        <v/>
      </c>
      <c r="AW426" t="inlineStr">
        <is>
          <t>889465362:eng</t>
        </is>
      </c>
      <c r="AX426" t="inlineStr">
        <is>
          <t>2493349</t>
        </is>
      </c>
      <c r="AY426" t="inlineStr">
        <is>
          <t>991004138719702656</t>
        </is>
      </c>
      <c r="AZ426" t="inlineStr">
        <is>
          <t>991004138719702656</t>
        </is>
      </c>
      <c r="BA426" t="inlineStr">
        <is>
          <t>2256440540002656</t>
        </is>
      </c>
      <c r="BB426" t="inlineStr">
        <is>
          <t>BOOK</t>
        </is>
      </c>
      <c r="BD426" t="inlineStr">
        <is>
          <t>9780884102373</t>
        </is>
      </c>
      <c r="BE426" t="inlineStr">
        <is>
          <t>32285000884352</t>
        </is>
      </c>
      <c r="BF426" t="inlineStr">
        <is>
          <t>893446053</t>
        </is>
      </c>
    </row>
    <row r="427">
      <c r="B427" t="inlineStr">
        <is>
          <t>CURAL</t>
        </is>
      </c>
      <c r="C427" t="inlineStr">
        <is>
          <t>SHELVES</t>
        </is>
      </c>
      <c r="D427" t="inlineStr">
        <is>
          <t>KF9685 .S75 1998</t>
        </is>
      </c>
      <c r="E427" t="inlineStr">
        <is>
          <t>0                      KF 9685000S  75          1998</t>
        </is>
      </c>
      <c r="F427" t="inlineStr">
        <is>
          <t>Fear of judging : sentencing guidelines in the federal courts / Kate Stith and José A. Cabranes.</t>
        </is>
      </c>
      <c r="H427" t="inlineStr">
        <is>
          <t>No</t>
        </is>
      </c>
      <c r="I427" t="inlineStr">
        <is>
          <t>1</t>
        </is>
      </c>
      <c r="J427" t="inlineStr">
        <is>
          <t>Yes</t>
        </is>
      </c>
      <c r="K427" t="inlineStr">
        <is>
          <t>No</t>
        </is>
      </c>
      <c r="L427" t="inlineStr">
        <is>
          <t>0</t>
        </is>
      </c>
      <c r="M427" t="inlineStr">
        <is>
          <t>Stith, Kate.</t>
        </is>
      </c>
      <c r="N427" t="inlineStr">
        <is>
          <t>Chicago : University of Chicago Press, 1998.</t>
        </is>
      </c>
      <c r="O427" t="inlineStr">
        <is>
          <t>1998</t>
        </is>
      </c>
      <c r="Q427" t="inlineStr">
        <is>
          <t>eng</t>
        </is>
      </c>
      <c r="R427" t="inlineStr">
        <is>
          <t>ilu</t>
        </is>
      </c>
      <c r="T427" t="inlineStr">
        <is>
          <t xml:space="preserve">KF </t>
        </is>
      </c>
      <c r="U427" t="n">
        <v>4</v>
      </c>
      <c r="V427" t="n">
        <v>6</v>
      </c>
      <c r="W427" t="inlineStr">
        <is>
          <t>2009-03-29</t>
        </is>
      </c>
      <c r="X427" t="inlineStr">
        <is>
          <t>2010-11-09</t>
        </is>
      </c>
      <c r="Y427" t="inlineStr">
        <is>
          <t>2001-02-27</t>
        </is>
      </c>
      <c r="Z427" t="inlineStr">
        <is>
          <t>2001-02-27</t>
        </is>
      </c>
      <c r="AA427" t="n">
        <v>579</v>
      </c>
      <c r="AB427" t="n">
        <v>531</v>
      </c>
      <c r="AC427" t="n">
        <v>531</v>
      </c>
      <c r="AD427" t="n">
        <v>5</v>
      </c>
      <c r="AE427" t="n">
        <v>5</v>
      </c>
      <c r="AF427" t="n">
        <v>32</v>
      </c>
      <c r="AG427" t="n">
        <v>32</v>
      </c>
      <c r="AH427" t="n">
        <v>3</v>
      </c>
      <c r="AI427" t="n">
        <v>3</v>
      </c>
      <c r="AJ427" t="n">
        <v>5</v>
      </c>
      <c r="AK427" t="n">
        <v>5</v>
      </c>
      <c r="AL427" t="n">
        <v>9</v>
      </c>
      <c r="AM427" t="n">
        <v>9</v>
      </c>
      <c r="AN427" t="n">
        <v>2</v>
      </c>
      <c r="AO427" t="n">
        <v>2</v>
      </c>
      <c r="AP427" t="n">
        <v>18</v>
      </c>
      <c r="AQ427" t="n">
        <v>18</v>
      </c>
      <c r="AR427" t="inlineStr">
        <is>
          <t>No</t>
        </is>
      </c>
      <c r="AS427" t="inlineStr">
        <is>
          <t>No</t>
        </is>
      </c>
      <c r="AU427">
        <f>HYPERLINK("https://creighton-primo.hosted.exlibrisgroup.com/primo-explore/search?tab=default_tab&amp;search_scope=EVERYTHING&amp;vid=01CRU&amp;lang=en_US&amp;offset=0&amp;query=any,contains,991001677579702656","Catalog Record")</f>
        <v/>
      </c>
      <c r="AV427">
        <f>HYPERLINK("http://www.worldcat.org/oclc/38430738","WorldCat Record")</f>
        <v/>
      </c>
      <c r="AW427" t="inlineStr">
        <is>
          <t>365996559:eng</t>
        </is>
      </c>
      <c r="AX427" t="inlineStr">
        <is>
          <t>38430738</t>
        </is>
      </c>
      <c r="AY427" t="inlineStr">
        <is>
          <t>991001677579702656</t>
        </is>
      </c>
      <c r="AZ427" t="inlineStr">
        <is>
          <t>991001677579702656</t>
        </is>
      </c>
      <c r="BA427" t="inlineStr">
        <is>
          <t>2257293230002656</t>
        </is>
      </c>
      <c r="BB427" t="inlineStr">
        <is>
          <t>BOOK</t>
        </is>
      </c>
      <c r="BD427" t="inlineStr">
        <is>
          <t>9780226774855</t>
        </is>
      </c>
      <c r="BE427" t="inlineStr">
        <is>
          <t>32285004297908</t>
        </is>
      </c>
      <c r="BF427" t="inlineStr">
        <is>
          <t>893797733</t>
        </is>
      </c>
    </row>
    <row r="428">
      <c r="B428" t="inlineStr">
        <is>
          <t>CURAL</t>
        </is>
      </c>
      <c r="C428" t="inlineStr">
        <is>
          <t>SHELVES</t>
        </is>
      </c>
      <c r="D428" t="inlineStr">
        <is>
          <t>KF9750 .V66 1979</t>
        </is>
      </c>
      <c r="E428" t="inlineStr">
        <is>
          <t>0                      KF 9750000V  66          1979</t>
        </is>
      </c>
      <c r="F428" t="inlineStr">
        <is>
          <t>The question of parole : retention, reform, or abolition? / Andrew von Hirsch, Kathleen J. Hanrahan ; introd. by Sheldon L. Messinger.</t>
        </is>
      </c>
      <c r="H428" t="inlineStr">
        <is>
          <t>No</t>
        </is>
      </c>
      <c r="I428" t="inlineStr">
        <is>
          <t>1</t>
        </is>
      </c>
      <c r="J428" t="inlineStr">
        <is>
          <t>No</t>
        </is>
      </c>
      <c r="K428" t="inlineStr">
        <is>
          <t>No</t>
        </is>
      </c>
      <c r="L428" t="inlineStr">
        <is>
          <t>0</t>
        </is>
      </c>
      <c r="M428" t="inlineStr">
        <is>
          <t>Von Hirsch, Andrew.</t>
        </is>
      </c>
      <c r="N428" t="inlineStr">
        <is>
          <t>Cambridge, Mass. : Ballinger Pub. Co., c1979.</t>
        </is>
      </c>
      <c r="O428" t="inlineStr">
        <is>
          <t>1979</t>
        </is>
      </c>
      <c r="Q428" t="inlineStr">
        <is>
          <t>eng</t>
        </is>
      </c>
      <c r="R428" t="inlineStr">
        <is>
          <t>mau</t>
        </is>
      </c>
      <c r="T428" t="inlineStr">
        <is>
          <t xml:space="preserve">KF </t>
        </is>
      </c>
      <c r="U428" t="n">
        <v>5</v>
      </c>
      <c r="V428" t="n">
        <v>5</v>
      </c>
      <c r="W428" t="inlineStr">
        <is>
          <t>2004-11-20</t>
        </is>
      </c>
      <c r="X428" t="inlineStr">
        <is>
          <t>2004-11-20</t>
        </is>
      </c>
      <c r="Y428" t="inlineStr">
        <is>
          <t>1992-07-27</t>
        </is>
      </c>
      <c r="Z428" t="inlineStr">
        <is>
          <t>1992-07-27</t>
        </is>
      </c>
      <c r="AA428" t="n">
        <v>523</v>
      </c>
      <c r="AB428" t="n">
        <v>463</v>
      </c>
      <c r="AC428" t="n">
        <v>469</v>
      </c>
      <c r="AD428" t="n">
        <v>2</v>
      </c>
      <c r="AE428" t="n">
        <v>2</v>
      </c>
      <c r="AF428" t="n">
        <v>26</v>
      </c>
      <c r="AG428" t="n">
        <v>26</v>
      </c>
      <c r="AH428" t="n">
        <v>6</v>
      </c>
      <c r="AI428" t="n">
        <v>6</v>
      </c>
      <c r="AJ428" t="n">
        <v>3</v>
      </c>
      <c r="AK428" t="n">
        <v>3</v>
      </c>
      <c r="AL428" t="n">
        <v>10</v>
      </c>
      <c r="AM428" t="n">
        <v>10</v>
      </c>
      <c r="AN428" t="n">
        <v>1</v>
      </c>
      <c r="AO428" t="n">
        <v>1</v>
      </c>
      <c r="AP428" t="n">
        <v>10</v>
      </c>
      <c r="AQ428" t="n">
        <v>10</v>
      </c>
      <c r="AR428" t="inlineStr">
        <is>
          <t>No</t>
        </is>
      </c>
      <c r="AS428" t="inlineStr">
        <is>
          <t>Yes</t>
        </is>
      </c>
      <c r="AT428">
        <f>HYPERLINK("http://catalog.hathitrust.org/Record/000715305","HathiTrust Record")</f>
        <v/>
      </c>
      <c r="AU428">
        <f>HYPERLINK("https://creighton-primo.hosted.exlibrisgroup.com/primo-explore/search?tab=default_tab&amp;search_scope=EVERYTHING&amp;vid=01CRU&amp;lang=en_US&amp;offset=0&amp;query=any,contains,991004654999702656","Catalog Record")</f>
        <v/>
      </c>
      <c r="AV428">
        <f>HYPERLINK("http://www.worldcat.org/oclc/4495047","WorldCat Record")</f>
        <v/>
      </c>
      <c r="AW428" t="inlineStr">
        <is>
          <t>197584695:eng</t>
        </is>
      </c>
      <c r="AX428" t="inlineStr">
        <is>
          <t>4495047</t>
        </is>
      </c>
      <c r="AY428" t="inlineStr">
        <is>
          <t>991004654999702656</t>
        </is>
      </c>
      <c r="AZ428" t="inlineStr">
        <is>
          <t>991004654999702656</t>
        </is>
      </c>
      <c r="BA428" t="inlineStr">
        <is>
          <t>2268062750002656</t>
        </is>
      </c>
      <c r="BB428" t="inlineStr">
        <is>
          <t>BOOK</t>
        </is>
      </c>
      <c r="BD428" t="inlineStr">
        <is>
          <t>9780884107965</t>
        </is>
      </c>
      <c r="BE428" t="inlineStr">
        <is>
          <t>32285001230894</t>
        </is>
      </c>
      <c r="BF428" t="inlineStr">
        <is>
          <t>893810627</t>
        </is>
      </c>
    </row>
    <row r="429">
      <c r="B429" t="inlineStr">
        <is>
          <t>CURAL</t>
        </is>
      </c>
      <c r="C429" t="inlineStr">
        <is>
          <t>SHELVES</t>
        </is>
      </c>
      <c r="D429" t="inlineStr">
        <is>
          <t>KFC1155.Z9 W7</t>
        </is>
      </c>
      <c r="E429" t="inlineStr">
        <is>
          <t>0                      KFC1155000Z  9                  W  7</t>
        </is>
      </c>
      <c r="F429" t="inlineStr">
        <is>
          <t>The police officer and criminal justice [by] R. Gene Wright [and] John A. Marlo.</t>
        </is>
      </c>
      <c r="H429" t="inlineStr">
        <is>
          <t>No</t>
        </is>
      </c>
      <c r="I429" t="inlineStr">
        <is>
          <t>1</t>
        </is>
      </c>
      <c r="J429" t="inlineStr">
        <is>
          <t>No</t>
        </is>
      </c>
      <c r="K429" t="inlineStr">
        <is>
          <t>No</t>
        </is>
      </c>
      <c r="L429" t="inlineStr">
        <is>
          <t>0</t>
        </is>
      </c>
      <c r="M429" t="inlineStr">
        <is>
          <t>Wright, R. Gene (Robert Gene), 1930-</t>
        </is>
      </c>
      <c r="N429" t="inlineStr">
        <is>
          <t>New York, McGraw-Hill [1970]</t>
        </is>
      </c>
      <c r="O429" t="inlineStr">
        <is>
          <t>1970</t>
        </is>
      </c>
      <c r="Q429" t="inlineStr">
        <is>
          <t>eng</t>
        </is>
      </c>
      <c r="R429" t="inlineStr">
        <is>
          <t>nyu</t>
        </is>
      </c>
      <c r="T429" t="inlineStr">
        <is>
          <t>KFC</t>
        </is>
      </c>
      <c r="U429" t="n">
        <v>1</v>
      </c>
      <c r="V429" t="n">
        <v>1</v>
      </c>
      <c r="W429" t="inlineStr">
        <is>
          <t>2009-04-21</t>
        </is>
      </c>
      <c r="X429" t="inlineStr">
        <is>
          <t>2009-04-21</t>
        </is>
      </c>
      <c r="Y429" t="inlineStr">
        <is>
          <t>1997-04-21</t>
        </is>
      </c>
      <c r="Z429" t="inlineStr">
        <is>
          <t>1997-04-21</t>
        </is>
      </c>
      <c r="AA429" t="n">
        <v>359</v>
      </c>
      <c r="AB429" t="n">
        <v>322</v>
      </c>
      <c r="AC429" t="n">
        <v>323</v>
      </c>
      <c r="AD429" t="n">
        <v>5</v>
      </c>
      <c r="AE429" t="n">
        <v>5</v>
      </c>
      <c r="AF429" t="n">
        <v>16</v>
      </c>
      <c r="AG429" t="n">
        <v>16</v>
      </c>
      <c r="AH429" t="n">
        <v>4</v>
      </c>
      <c r="AI429" t="n">
        <v>4</v>
      </c>
      <c r="AJ429" t="n">
        <v>1</v>
      </c>
      <c r="AK429" t="n">
        <v>1</v>
      </c>
      <c r="AL429" t="n">
        <v>5</v>
      </c>
      <c r="AM429" t="n">
        <v>5</v>
      </c>
      <c r="AN429" t="n">
        <v>4</v>
      </c>
      <c r="AO429" t="n">
        <v>4</v>
      </c>
      <c r="AP429" t="n">
        <v>4</v>
      </c>
      <c r="AQ429" t="n">
        <v>4</v>
      </c>
      <c r="AR429" t="inlineStr">
        <is>
          <t>No</t>
        </is>
      </c>
      <c r="AS429" t="inlineStr">
        <is>
          <t>No</t>
        </is>
      </c>
      <c r="AU429">
        <f>HYPERLINK("https://creighton-primo.hosted.exlibrisgroup.com/primo-explore/search?tab=default_tab&amp;search_scope=EVERYTHING&amp;vid=01CRU&amp;lang=en_US&amp;offset=0&amp;query=any,contains,991000187989702656","Catalog Record")</f>
        <v/>
      </c>
      <c r="AV429">
        <f>HYPERLINK("http://www.worldcat.org/oclc/62958","WorldCat Record")</f>
        <v/>
      </c>
      <c r="AW429" t="inlineStr">
        <is>
          <t>1225834:eng</t>
        </is>
      </c>
      <c r="AX429" t="inlineStr">
        <is>
          <t>62958</t>
        </is>
      </c>
      <c r="AY429" t="inlineStr">
        <is>
          <t>991000187989702656</t>
        </is>
      </c>
      <c r="AZ429" t="inlineStr">
        <is>
          <t>991000187989702656</t>
        </is>
      </c>
      <c r="BA429" t="inlineStr">
        <is>
          <t>2254793630002656</t>
        </is>
      </c>
      <c r="BB429" t="inlineStr">
        <is>
          <t>BOOK</t>
        </is>
      </c>
      <c r="BE429" t="inlineStr">
        <is>
          <t>32285002554276</t>
        </is>
      </c>
      <c r="BF429" t="inlineStr">
        <is>
          <t>893601559</t>
        </is>
      </c>
    </row>
    <row r="430">
      <c r="B430" t="inlineStr">
        <is>
          <t>CURAL</t>
        </is>
      </c>
      <c r="C430" t="inlineStr">
        <is>
          <t>SHELVES</t>
        </is>
      </c>
      <c r="D430" t="inlineStr">
        <is>
          <t>KFI1799.C62 C725 1987</t>
        </is>
      </c>
      <c r="E430" t="inlineStr">
        <is>
          <t>0                      KFI1799000C  62                 C  725         1987</t>
        </is>
      </c>
      <c r="F430" t="inlineStr">
        <is>
          <t>The public defender : the practice of law in the shadows of repute / Lisa J. McIntyre.</t>
        </is>
      </c>
      <c r="H430" t="inlineStr">
        <is>
          <t>No</t>
        </is>
      </c>
      <c r="I430" t="inlineStr">
        <is>
          <t>1</t>
        </is>
      </c>
      <c r="J430" t="inlineStr">
        <is>
          <t>Yes</t>
        </is>
      </c>
      <c r="K430" t="inlineStr">
        <is>
          <t>No</t>
        </is>
      </c>
      <c r="L430" t="inlineStr">
        <is>
          <t>0</t>
        </is>
      </c>
      <c r="M430" t="inlineStr">
        <is>
          <t>McIntyre, Lisa J.</t>
        </is>
      </c>
      <c r="N430" t="inlineStr">
        <is>
          <t>Chicago : University of Chicago Press, c1987.</t>
        </is>
      </c>
      <c r="O430" t="inlineStr">
        <is>
          <t>1987</t>
        </is>
      </c>
      <c r="Q430" t="inlineStr">
        <is>
          <t>eng</t>
        </is>
      </c>
      <c r="R430" t="inlineStr">
        <is>
          <t>ilu</t>
        </is>
      </c>
      <c r="S430" t="inlineStr">
        <is>
          <t>Studies in crime and justice</t>
        </is>
      </c>
      <c r="T430" t="inlineStr">
        <is>
          <t>KFI</t>
        </is>
      </c>
      <c r="U430" t="n">
        <v>6</v>
      </c>
      <c r="V430" t="n">
        <v>7</v>
      </c>
      <c r="W430" t="inlineStr">
        <is>
          <t>2008-04-26</t>
        </is>
      </c>
      <c r="X430" t="inlineStr">
        <is>
          <t>2008-04-26</t>
        </is>
      </c>
      <c r="Y430" t="inlineStr">
        <is>
          <t>1992-07-27</t>
        </is>
      </c>
      <c r="Z430" t="inlineStr">
        <is>
          <t>1993-01-18</t>
        </is>
      </c>
      <c r="AA430" t="n">
        <v>514</v>
      </c>
      <c r="AB430" t="n">
        <v>475</v>
      </c>
      <c r="AC430" t="n">
        <v>480</v>
      </c>
      <c r="AD430" t="n">
        <v>4</v>
      </c>
      <c r="AE430" t="n">
        <v>4</v>
      </c>
      <c r="AF430" t="n">
        <v>31</v>
      </c>
      <c r="AG430" t="n">
        <v>31</v>
      </c>
      <c r="AH430" t="n">
        <v>4</v>
      </c>
      <c r="AI430" t="n">
        <v>4</v>
      </c>
      <c r="AJ430" t="n">
        <v>6</v>
      </c>
      <c r="AK430" t="n">
        <v>6</v>
      </c>
      <c r="AL430" t="n">
        <v>7</v>
      </c>
      <c r="AM430" t="n">
        <v>7</v>
      </c>
      <c r="AN430" t="n">
        <v>2</v>
      </c>
      <c r="AO430" t="n">
        <v>2</v>
      </c>
      <c r="AP430" t="n">
        <v>17</v>
      </c>
      <c r="AQ430" t="n">
        <v>17</v>
      </c>
      <c r="AR430" t="inlineStr">
        <is>
          <t>No</t>
        </is>
      </c>
      <c r="AS430" t="inlineStr">
        <is>
          <t>No</t>
        </is>
      </c>
      <c r="AU430">
        <f>HYPERLINK("https://creighton-primo.hosted.exlibrisgroup.com/primo-explore/search?tab=default_tab&amp;search_scope=EVERYTHING&amp;vid=01CRU&amp;lang=en_US&amp;offset=0&amp;query=any,contains,991001635719702656","Catalog Record")</f>
        <v/>
      </c>
      <c r="AV430">
        <f>HYPERLINK("http://www.worldcat.org/oclc/15224497","WorldCat Record")</f>
        <v/>
      </c>
      <c r="AW430" t="inlineStr">
        <is>
          <t>143865221:eng</t>
        </is>
      </c>
      <c r="AX430" t="inlineStr">
        <is>
          <t>15224497</t>
        </is>
      </c>
      <c r="AY430" t="inlineStr">
        <is>
          <t>991001635719702656</t>
        </is>
      </c>
      <c r="AZ430" t="inlineStr">
        <is>
          <t>991001635719702656</t>
        </is>
      </c>
      <c r="BA430" t="inlineStr">
        <is>
          <t>2268082390002656</t>
        </is>
      </c>
      <c r="BB430" t="inlineStr">
        <is>
          <t>BOOK</t>
        </is>
      </c>
      <c r="BD430" t="inlineStr">
        <is>
          <t>9780226559612</t>
        </is>
      </c>
      <c r="BE430" t="inlineStr">
        <is>
          <t>32285001231009</t>
        </is>
      </c>
      <c r="BF430" t="inlineStr">
        <is>
          <t>893721066</t>
        </is>
      </c>
    </row>
    <row r="431">
      <c r="B431" t="inlineStr">
        <is>
          <t>CURAL</t>
        </is>
      </c>
      <c r="C431" t="inlineStr">
        <is>
          <t>SHELVES</t>
        </is>
      </c>
      <c r="D431" t="inlineStr">
        <is>
          <t>KFM2962 .P69</t>
        </is>
      </c>
      <c r="E431" t="inlineStr">
        <is>
          <t>0                      KFM2962000P  69</t>
        </is>
      </c>
      <c r="F431" t="inlineStr">
        <is>
          <t>Crime and punishment in early Massachusetts, 1620-1692 : a documentary history.</t>
        </is>
      </c>
      <c r="H431" t="inlineStr">
        <is>
          <t>No</t>
        </is>
      </c>
      <c r="I431" t="inlineStr">
        <is>
          <t>1</t>
        </is>
      </c>
      <c r="J431" t="inlineStr">
        <is>
          <t>No</t>
        </is>
      </c>
      <c r="K431" t="inlineStr">
        <is>
          <t>No</t>
        </is>
      </c>
      <c r="L431" t="inlineStr">
        <is>
          <t>0</t>
        </is>
      </c>
      <c r="M431" t="inlineStr">
        <is>
          <t>Powers, Edwin.</t>
        </is>
      </c>
      <c r="N431" t="inlineStr">
        <is>
          <t>Boston : Beacon Press, [1966]</t>
        </is>
      </c>
      <c r="O431" t="inlineStr">
        <is>
          <t>1966</t>
        </is>
      </c>
      <c r="Q431" t="inlineStr">
        <is>
          <t>eng</t>
        </is>
      </c>
      <c r="R431" t="inlineStr">
        <is>
          <t>mau</t>
        </is>
      </c>
      <c r="T431" t="inlineStr">
        <is>
          <t>KFM</t>
        </is>
      </c>
      <c r="U431" t="n">
        <v>4</v>
      </c>
      <c r="V431" t="n">
        <v>4</v>
      </c>
      <c r="W431" t="inlineStr">
        <is>
          <t>2003-04-23</t>
        </is>
      </c>
      <c r="X431" t="inlineStr">
        <is>
          <t>2003-04-23</t>
        </is>
      </c>
      <c r="Y431" t="inlineStr">
        <is>
          <t>1993-04-01</t>
        </is>
      </c>
      <c r="Z431" t="inlineStr">
        <is>
          <t>1993-04-01</t>
        </is>
      </c>
      <c r="AA431" t="n">
        <v>918</v>
      </c>
      <c r="AB431" t="n">
        <v>866</v>
      </c>
      <c r="AC431" t="n">
        <v>871</v>
      </c>
      <c r="AD431" t="n">
        <v>5</v>
      </c>
      <c r="AE431" t="n">
        <v>5</v>
      </c>
      <c r="AF431" t="n">
        <v>42</v>
      </c>
      <c r="AG431" t="n">
        <v>42</v>
      </c>
      <c r="AH431" t="n">
        <v>13</v>
      </c>
      <c r="AI431" t="n">
        <v>13</v>
      </c>
      <c r="AJ431" t="n">
        <v>7</v>
      </c>
      <c r="AK431" t="n">
        <v>7</v>
      </c>
      <c r="AL431" t="n">
        <v>17</v>
      </c>
      <c r="AM431" t="n">
        <v>17</v>
      </c>
      <c r="AN431" t="n">
        <v>4</v>
      </c>
      <c r="AO431" t="n">
        <v>4</v>
      </c>
      <c r="AP431" t="n">
        <v>10</v>
      </c>
      <c r="AQ431" t="n">
        <v>10</v>
      </c>
      <c r="AR431" t="inlineStr">
        <is>
          <t>No</t>
        </is>
      </c>
      <c r="AS431" t="inlineStr">
        <is>
          <t>Yes</t>
        </is>
      </c>
      <c r="AT431">
        <f>HYPERLINK("http://catalog.hathitrust.org/Record/001134669","HathiTrust Record")</f>
        <v/>
      </c>
      <c r="AU431">
        <f>HYPERLINK("https://creighton-primo.hosted.exlibrisgroup.com/primo-explore/search?tab=default_tab&amp;search_scope=EVERYTHING&amp;vid=01CRU&amp;lang=en_US&amp;offset=0&amp;query=any,contains,991002723209702656","Catalog Record")</f>
        <v/>
      </c>
      <c r="AV431">
        <f>HYPERLINK("http://www.worldcat.org/oclc/413349","WorldCat Record")</f>
        <v/>
      </c>
      <c r="AW431" t="inlineStr">
        <is>
          <t>1465855:eng</t>
        </is>
      </c>
      <c r="AX431" t="inlineStr">
        <is>
          <t>413349</t>
        </is>
      </c>
      <c r="AY431" t="inlineStr">
        <is>
          <t>991002723209702656</t>
        </is>
      </c>
      <c r="AZ431" t="inlineStr">
        <is>
          <t>991002723209702656</t>
        </is>
      </c>
      <c r="BA431" t="inlineStr">
        <is>
          <t>2268271030002656</t>
        </is>
      </c>
      <c r="BB431" t="inlineStr">
        <is>
          <t>BOOK</t>
        </is>
      </c>
      <c r="BE431" t="inlineStr">
        <is>
          <t>32285001596591</t>
        </is>
      </c>
      <c r="BF431" t="inlineStr">
        <is>
          <t>893523969</t>
        </is>
      </c>
    </row>
    <row r="432">
      <c r="B432" t="inlineStr">
        <is>
          <t>CURAL</t>
        </is>
      </c>
      <c r="C432" t="inlineStr">
        <is>
          <t>SHELVES</t>
        </is>
      </c>
      <c r="D432" t="inlineStr">
        <is>
          <t>KFM2999.E8 K66</t>
        </is>
      </c>
      <c r="E432" t="inlineStr">
        <is>
          <t>0                      KFM2999000E  8                  K  66</t>
        </is>
      </c>
      <c r="F432" t="inlineStr">
        <is>
          <t>Law and society in Puritan Massachusetts : Essex County, 1629-1692 / by David Thomas Konig.</t>
        </is>
      </c>
      <c r="H432" t="inlineStr">
        <is>
          <t>No</t>
        </is>
      </c>
      <c r="I432" t="inlineStr">
        <is>
          <t>1</t>
        </is>
      </c>
      <c r="J432" t="inlineStr">
        <is>
          <t>Yes</t>
        </is>
      </c>
      <c r="K432" t="inlineStr">
        <is>
          <t>No</t>
        </is>
      </c>
      <c r="L432" t="inlineStr">
        <is>
          <t>0</t>
        </is>
      </c>
      <c r="M432" t="inlineStr">
        <is>
          <t>Konig, David Thomas, 1947-</t>
        </is>
      </c>
      <c r="N432" t="inlineStr">
        <is>
          <t>Chapel Hill : University of North Carolina Press, c1979.</t>
        </is>
      </c>
      <c r="O432" t="inlineStr">
        <is>
          <t>1979</t>
        </is>
      </c>
      <c r="Q432" t="inlineStr">
        <is>
          <t>eng</t>
        </is>
      </c>
      <c r="R432" t="inlineStr">
        <is>
          <t>ncu</t>
        </is>
      </c>
      <c r="S432" t="inlineStr">
        <is>
          <t>Studies in legal history</t>
        </is>
      </c>
      <c r="T432" t="inlineStr">
        <is>
          <t>KFM</t>
        </is>
      </c>
      <c r="U432" t="n">
        <v>5</v>
      </c>
      <c r="V432" t="n">
        <v>6</v>
      </c>
      <c r="W432" t="inlineStr">
        <is>
          <t>2003-04-23</t>
        </is>
      </c>
      <c r="X432" t="inlineStr">
        <is>
          <t>2003-04-23</t>
        </is>
      </c>
      <c r="Y432" t="inlineStr">
        <is>
          <t>1992-07-27</t>
        </is>
      </c>
      <c r="Z432" t="inlineStr">
        <is>
          <t>1994-08-04</t>
        </is>
      </c>
      <c r="AA432" t="n">
        <v>811</v>
      </c>
      <c r="AB432" t="n">
        <v>721</v>
      </c>
      <c r="AC432" t="n">
        <v>1313</v>
      </c>
      <c r="AD432" t="n">
        <v>4</v>
      </c>
      <c r="AE432" t="n">
        <v>32</v>
      </c>
      <c r="AF432" t="n">
        <v>43</v>
      </c>
      <c r="AG432" t="n">
        <v>70</v>
      </c>
      <c r="AH432" t="n">
        <v>10</v>
      </c>
      <c r="AI432" t="n">
        <v>17</v>
      </c>
      <c r="AJ432" t="n">
        <v>7</v>
      </c>
      <c r="AK432" t="n">
        <v>11</v>
      </c>
      <c r="AL432" t="n">
        <v>14</v>
      </c>
      <c r="AM432" t="n">
        <v>19</v>
      </c>
      <c r="AN432" t="n">
        <v>2</v>
      </c>
      <c r="AO432" t="n">
        <v>14</v>
      </c>
      <c r="AP432" t="n">
        <v>18</v>
      </c>
      <c r="AQ432" t="n">
        <v>20</v>
      </c>
      <c r="AR432" t="inlineStr">
        <is>
          <t>No</t>
        </is>
      </c>
      <c r="AS432" t="inlineStr">
        <is>
          <t>Yes</t>
        </is>
      </c>
      <c r="AT432">
        <f>HYPERLINK("http://catalog.hathitrust.org/Record/000255615","HathiTrust Record")</f>
        <v/>
      </c>
      <c r="AU432">
        <f>HYPERLINK("https://creighton-primo.hosted.exlibrisgroup.com/primo-explore/search?tab=default_tab&amp;search_scope=EVERYTHING&amp;vid=01CRU&amp;lang=en_US&amp;offset=0&amp;query=any,contains,991001793369702656","Catalog Record")</f>
        <v/>
      </c>
      <c r="AV432">
        <f>HYPERLINK("http://www.worldcat.org/oclc/4492771","WorldCat Record")</f>
        <v/>
      </c>
      <c r="AW432" t="inlineStr">
        <is>
          <t>465243:eng</t>
        </is>
      </c>
      <c r="AX432" t="inlineStr">
        <is>
          <t>4492771</t>
        </is>
      </c>
      <c r="AY432" t="inlineStr">
        <is>
          <t>991001793369702656</t>
        </is>
      </c>
      <c r="AZ432" t="inlineStr">
        <is>
          <t>991001793369702656</t>
        </is>
      </c>
      <c r="BA432" t="inlineStr">
        <is>
          <t>2263362890002656</t>
        </is>
      </c>
      <c r="BB432" t="inlineStr">
        <is>
          <t>BOOK</t>
        </is>
      </c>
      <c r="BD432" t="inlineStr">
        <is>
          <t>9780807813362</t>
        </is>
      </c>
      <c r="BE432" t="inlineStr">
        <is>
          <t>32285001231074</t>
        </is>
      </c>
      <c r="BF432" t="inlineStr">
        <is>
          <t>893596739</t>
        </is>
      </c>
    </row>
    <row r="433">
      <c r="B433" t="inlineStr">
        <is>
          <t>CURAL</t>
        </is>
      </c>
      <c r="C433" t="inlineStr">
        <is>
          <t>SHELVES</t>
        </is>
      </c>
      <c r="D433" t="inlineStr">
        <is>
          <t>KFN2280  .I5 (LAW)</t>
        </is>
      </c>
      <c r="E433" t="inlineStr">
        <is>
          <t>0                      KFN2280000I  5                                                       (LAW)</t>
        </is>
      </c>
      <c r="F433" t="inlineStr">
        <is>
          <t>In the matter of Karen Quinlan.</t>
        </is>
      </c>
      <c r="G433" t="inlineStr">
        <is>
          <t>V. 2</t>
        </is>
      </c>
      <c r="H433" t="inlineStr">
        <is>
          <t>Yes</t>
        </is>
      </c>
      <c r="I433" t="inlineStr">
        <is>
          <t>1</t>
        </is>
      </c>
      <c r="J433" t="inlineStr">
        <is>
          <t>Yes</t>
        </is>
      </c>
      <c r="K433" t="inlineStr">
        <is>
          <t>No</t>
        </is>
      </c>
      <c r="L433" t="inlineStr">
        <is>
          <t>0</t>
        </is>
      </c>
      <c r="N433" t="inlineStr">
        <is>
          <t>Arlington, Va. : University Publications of America, c1975-1976.</t>
        </is>
      </c>
      <c r="O433" t="inlineStr">
        <is>
          <t>1975</t>
        </is>
      </c>
      <c r="Q433" t="inlineStr">
        <is>
          <t>eng</t>
        </is>
      </c>
      <c r="R433" t="inlineStr">
        <is>
          <t>vau</t>
        </is>
      </c>
      <c r="T433" t="inlineStr">
        <is>
          <t>KFN</t>
        </is>
      </c>
      <c r="U433" t="n">
        <v>6</v>
      </c>
      <c r="V433" t="n">
        <v>11</v>
      </c>
      <c r="W433" t="inlineStr">
        <is>
          <t>1994-04-12</t>
        </is>
      </c>
      <c r="X433" t="inlineStr">
        <is>
          <t>1994-04-12</t>
        </is>
      </c>
      <c r="Y433" t="inlineStr">
        <is>
          <t>1990-04-10</t>
        </is>
      </c>
      <c r="Z433" t="inlineStr">
        <is>
          <t>1991-05-30</t>
        </is>
      </c>
      <c r="AA433" t="n">
        <v>466</v>
      </c>
      <c r="AB433" t="n">
        <v>446</v>
      </c>
      <c r="AC433" t="n">
        <v>450</v>
      </c>
      <c r="AD433" t="n">
        <v>4</v>
      </c>
      <c r="AE433" t="n">
        <v>4</v>
      </c>
      <c r="AF433" t="n">
        <v>37</v>
      </c>
      <c r="AG433" t="n">
        <v>37</v>
      </c>
      <c r="AH433" t="n">
        <v>9</v>
      </c>
      <c r="AI433" t="n">
        <v>9</v>
      </c>
      <c r="AJ433" t="n">
        <v>5</v>
      </c>
      <c r="AK433" t="n">
        <v>5</v>
      </c>
      <c r="AL433" t="n">
        <v>11</v>
      </c>
      <c r="AM433" t="n">
        <v>11</v>
      </c>
      <c r="AN433" t="n">
        <v>1</v>
      </c>
      <c r="AO433" t="n">
        <v>1</v>
      </c>
      <c r="AP433" t="n">
        <v>18</v>
      </c>
      <c r="AQ433" t="n">
        <v>18</v>
      </c>
      <c r="AR433" t="inlineStr">
        <is>
          <t>No</t>
        </is>
      </c>
      <c r="AS433" t="inlineStr">
        <is>
          <t>No</t>
        </is>
      </c>
      <c r="AU433">
        <f>HYPERLINK("https://creighton-primo.hosted.exlibrisgroup.com/primo-explore/search?tab=default_tab&amp;search_scope=EVERYTHING&amp;vid=01CRU&amp;lang=en_US&amp;offset=0&amp;query=any,contains,991001761109702656","Catalog Record")</f>
        <v/>
      </c>
      <c r="AV433">
        <f>HYPERLINK("http://www.worldcat.org/oclc/52721676","WorldCat Record")</f>
        <v/>
      </c>
      <c r="AW433" t="inlineStr">
        <is>
          <t>8909734732:eng</t>
        </is>
      </c>
      <c r="AX433" t="inlineStr">
        <is>
          <t>52721676</t>
        </is>
      </c>
      <c r="AY433" t="inlineStr">
        <is>
          <t>991001761109702656</t>
        </is>
      </c>
      <c r="AZ433" t="inlineStr">
        <is>
          <t>991001761109702656</t>
        </is>
      </c>
      <c r="BA433" t="inlineStr">
        <is>
          <t>2271844780002656</t>
        </is>
      </c>
      <c r="BB433" t="inlineStr">
        <is>
          <t>BOOK</t>
        </is>
      </c>
      <c r="BD433" t="inlineStr">
        <is>
          <t>9780890931004</t>
        </is>
      </c>
      <c r="BE433" t="inlineStr">
        <is>
          <t>32285000102805</t>
        </is>
      </c>
      <c r="BF433" t="inlineStr">
        <is>
          <t>893497343</t>
        </is>
      </c>
    </row>
    <row r="434">
      <c r="B434" t="inlineStr">
        <is>
          <t>CURAL</t>
        </is>
      </c>
      <c r="C434" t="inlineStr">
        <is>
          <t>SHELVES</t>
        </is>
      </c>
      <c r="D434" t="inlineStr">
        <is>
          <t>KFN2280  .I5 (LAW)</t>
        </is>
      </c>
      <c r="E434" t="inlineStr">
        <is>
          <t>0                      KFN2280000I  5                                                       (LAW)</t>
        </is>
      </c>
      <c r="F434" t="inlineStr">
        <is>
          <t>In the matter of Karen Quinlan.</t>
        </is>
      </c>
      <c r="G434" t="inlineStr">
        <is>
          <t>V. 1</t>
        </is>
      </c>
      <c r="H434" t="inlineStr">
        <is>
          <t>Yes</t>
        </is>
      </c>
      <c r="I434" t="inlineStr">
        <is>
          <t>1</t>
        </is>
      </c>
      <c r="J434" t="inlineStr">
        <is>
          <t>Yes</t>
        </is>
      </c>
      <c r="K434" t="inlineStr">
        <is>
          <t>No</t>
        </is>
      </c>
      <c r="L434" t="inlineStr">
        <is>
          <t>0</t>
        </is>
      </c>
      <c r="N434" t="inlineStr">
        <is>
          <t>Arlington, Va. : University Publications of America, c1975-1976.</t>
        </is>
      </c>
      <c r="O434" t="inlineStr">
        <is>
          <t>1975</t>
        </is>
      </c>
      <c r="Q434" t="inlineStr">
        <is>
          <t>eng</t>
        </is>
      </c>
      <c r="R434" t="inlineStr">
        <is>
          <t>vau</t>
        </is>
      </c>
      <c r="T434" t="inlineStr">
        <is>
          <t>KFN</t>
        </is>
      </c>
      <c r="U434" t="n">
        <v>5</v>
      </c>
      <c r="V434" t="n">
        <v>11</v>
      </c>
      <c r="W434" t="inlineStr">
        <is>
          <t>1994-03-24</t>
        </is>
      </c>
      <c r="X434" t="inlineStr">
        <is>
          <t>1994-04-12</t>
        </is>
      </c>
      <c r="Y434" t="inlineStr">
        <is>
          <t>1990-10-04</t>
        </is>
      </c>
      <c r="Z434" t="inlineStr">
        <is>
          <t>1991-05-30</t>
        </is>
      </c>
      <c r="AA434" t="n">
        <v>466</v>
      </c>
      <c r="AB434" t="n">
        <v>446</v>
      </c>
      <c r="AC434" t="n">
        <v>450</v>
      </c>
      <c r="AD434" t="n">
        <v>4</v>
      </c>
      <c r="AE434" t="n">
        <v>4</v>
      </c>
      <c r="AF434" t="n">
        <v>37</v>
      </c>
      <c r="AG434" t="n">
        <v>37</v>
      </c>
      <c r="AH434" t="n">
        <v>9</v>
      </c>
      <c r="AI434" t="n">
        <v>9</v>
      </c>
      <c r="AJ434" t="n">
        <v>5</v>
      </c>
      <c r="AK434" t="n">
        <v>5</v>
      </c>
      <c r="AL434" t="n">
        <v>11</v>
      </c>
      <c r="AM434" t="n">
        <v>11</v>
      </c>
      <c r="AN434" t="n">
        <v>1</v>
      </c>
      <c r="AO434" t="n">
        <v>1</v>
      </c>
      <c r="AP434" t="n">
        <v>18</v>
      </c>
      <c r="AQ434" t="n">
        <v>18</v>
      </c>
      <c r="AR434" t="inlineStr">
        <is>
          <t>No</t>
        </is>
      </c>
      <c r="AS434" t="inlineStr">
        <is>
          <t>No</t>
        </is>
      </c>
      <c r="AU434">
        <f>HYPERLINK("https://creighton-primo.hosted.exlibrisgroup.com/primo-explore/search?tab=default_tab&amp;search_scope=EVERYTHING&amp;vid=01CRU&amp;lang=en_US&amp;offset=0&amp;query=any,contains,991001761109702656","Catalog Record")</f>
        <v/>
      </c>
      <c r="AV434">
        <f>HYPERLINK("http://www.worldcat.org/oclc/52721676","WorldCat Record")</f>
        <v/>
      </c>
      <c r="AW434" t="inlineStr">
        <is>
          <t>8909734732:eng</t>
        </is>
      </c>
      <c r="AX434" t="inlineStr">
        <is>
          <t>52721676</t>
        </is>
      </c>
      <c r="AY434" t="inlineStr">
        <is>
          <t>991001761109702656</t>
        </is>
      </c>
      <c r="AZ434" t="inlineStr">
        <is>
          <t>991001761109702656</t>
        </is>
      </c>
      <c r="BA434" t="inlineStr">
        <is>
          <t>2271844780002656</t>
        </is>
      </c>
      <c r="BB434" t="inlineStr">
        <is>
          <t>BOOK</t>
        </is>
      </c>
      <c r="BD434" t="inlineStr">
        <is>
          <t>9780890931004</t>
        </is>
      </c>
      <c r="BE434" t="inlineStr">
        <is>
          <t>32285000332659</t>
        </is>
      </c>
      <c r="BF434" t="inlineStr">
        <is>
          <t>893503664</t>
        </is>
      </c>
    </row>
    <row r="435">
      <c r="B435" t="inlineStr">
        <is>
          <t>CURAL</t>
        </is>
      </c>
      <c r="C435" t="inlineStr">
        <is>
          <t>SHELVES</t>
        </is>
      </c>
      <c r="D435" t="inlineStr">
        <is>
          <t>KBD T55</t>
        </is>
      </c>
      <c r="E435" t="inlineStr">
        <is>
          <t>8KBD T55</t>
        </is>
      </c>
      <c r="F435" t="inlineStr">
        <is>
          <t>Textbook of Roman law / J. A. C. Thomas.</t>
        </is>
      </c>
      <c r="H435" t="inlineStr">
        <is>
          <t>No</t>
        </is>
      </c>
      <c r="I435" t="inlineStr">
        <is>
          <t>1</t>
        </is>
      </c>
      <c r="J435" t="inlineStr">
        <is>
          <t>Yes</t>
        </is>
      </c>
      <c r="K435" t="inlineStr">
        <is>
          <t>No</t>
        </is>
      </c>
      <c r="L435" t="inlineStr">
        <is>
          <t>0</t>
        </is>
      </c>
      <c r="M435" t="inlineStr">
        <is>
          <t>Thomas, J. A. C. (Joseph Anthony Charles), 1923-1981.</t>
        </is>
      </c>
      <c r="N435" t="inlineStr">
        <is>
          <t>Amsterdam ; New York : North-Holland Pub. Co., 1976.</t>
        </is>
      </c>
      <c r="O435" t="inlineStr">
        <is>
          <t>1976</t>
        </is>
      </c>
      <c r="Q435" t="inlineStr">
        <is>
          <t>eng</t>
        </is>
      </c>
      <c r="R435" t="inlineStr">
        <is>
          <t xml:space="preserve">ne </t>
        </is>
      </c>
      <c r="T435" t="inlineStr">
        <is>
          <t>KJA</t>
        </is>
      </c>
      <c r="U435" t="n">
        <v>4</v>
      </c>
      <c r="V435" t="n">
        <v>5</v>
      </c>
      <c r="W435" t="inlineStr">
        <is>
          <t>2005-12-12</t>
        </is>
      </c>
      <c r="X435" t="inlineStr">
        <is>
          <t>2005-12-12</t>
        </is>
      </c>
      <c r="Y435" t="inlineStr">
        <is>
          <t>1992-06-12</t>
        </is>
      </c>
      <c r="Z435" t="inlineStr">
        <is>
          <t>1992-06-12</t>
        </is>
      </c>
      <c r="AA435" t="n">
        <v>380</v>
      </c>
      <c r="AB435" t="n">
        <v>217</v>
      </c>
      <c r="AC435" t="n">
        <v>218</v>
      </c>
      <c r="AD435" t="n">
        <v>3</v>
      </c>
      <c r="AE435" t="n">
        <v>3</v>
      </c>
      <c r="AF435" t="n">
        <v>18</v>
      </c>
      <c r="AG435" t="n">
        <v>18</v>
      </c>
      <c r="AH435" t="n">
        <v>0</v>
      </c>
      <c r="AI435" t="n">
        <v>0</v>
      </c>
      <c r="AJ435" t="n">
        <v>1</v>
      </c>
      <c r="AK435" t="n">
        <v>1</v>
      </c>
      <c r="AL435" t="n">
        <v>3</v>
      </c>
      <c r="AM435" t="n">
        <v>3</v>
      </c>
      <c r="AN435" t="n">
        <v>1</v>
      </c>
      <c r="AO435" t="n">
        <v>1</v>
      </c>
      <c r="AP435" t="n">
        <v>13</v>
      </c>
      <c r="AQ435" t="n">
        <v>13</v>
      </c>
      <c r="AR435" t="inlineStr">
        <is>
          <t>No</t>
        </is>
      </c>
      <c r="AS435" t="inlineStr">
        <is>
          <t>Yes</t>
        </is>
      </c>
      <c r="AT435">
        <f>HYPERLINK("http://catalog.hathitrust.org/Record/102023251","HathiTrust Record")</f>
        <v/>
      </c>
      <c r="AU435">
        <f>HYPERLINK("https://creighton-primo.hosted.exlibrisgroup.com/primo-explore/search?tab=default_tab&amp;search_scope=EVERYTHING&amp;vid=01CRU&amp;lang=en_US&amp;offset=0&amp;query=any,contains,991001759629702656","Catalog Record")</f>
        <v/>
      </c>
      <c r="AV435">
        <f>HYPERLINK("http://www.worldcat.org/oclc/2284098","WorldCat Record")</f>
        <v/>
      </c>
      <c r="AW435" t="inlineStr">
        <is>
          <t>4606337:eng</t>
        </is>
      </c>
      <c r="AX435" t="inlineStr">
        <is>
          <t>2284098</t>
        </is>
      </c>
      <c r="AY435" t="inlineStr">
        <is>
          <t>991001759629702656</t>
        </is>
      </c>
      <c r="AZ435" t="inlineStr">
        <is>
          <t>991001759629702656</t>
        </is>
      </c>
      <c r="BA435" t="inlineStr">
        <is>
          <t>2266571320002656</t>
        </is>
      </c>
      <c r="BB435" t="inlineStr">
        <is>
          <t>BOOK</t>
        </is>
      </c>
      <c r="BD435" t="inlineStr">
        <is>
          <t>9780720405132</t>
        </is>
      </c>
      <c r="BE435" t="inlineStr">
        <is>
          <t>32285001171866</t>
        </is>
      </c>
      <c r="BF435" t="inlineStr">
        <is>
          <t>893615357</t>
        </is>
      </c>
    </row>
    <row r="436">
      <c r="B436" t="inlineStr">
        <is>
          <t>CURAL</t>
        </is>
      </c>
      <c r="C436" t="inlineStr">
        <is>
          <t>SHELVES</t>
        </is>
      </c>
      <c r="D436" t="inlineStr">
        <is>
          <t>KJA147 .S78 1986</t>
        </is>
      </c>
      <c r="E436" t="inlineStr">
        <is>
          <t>0                      KJA0147000S  78          1986</t>
        </is>
      </c>
      <c r="F436" t="inlineStr">
        <is>
          <t>Studies in Roman law in memory of A. Arthur Schiller / edited by Roger S. Bagnall and William V. Harris.</t>
        </is>
      </c>
      <c r="H436" t="inlineStr">
        <is>
          <t>No</t>
        </is>
      </c>
      <c r="I436" t="inlineStr">
        <is>
          <t>1</t>
        </is>
      </c>
      <c r="J436" t="inlineStr">
        <is>
          <t>No</t>
        </is>
      </c>
      <c r="K436" t="inlineStr">
        <is>
          <t>No</t>
        </is>
      </c>
      <c r="L436" t="inlineStr">
        <is>
          <t>0</t>
        </is>
      </c>
      <c r="N436" t="inlineStr">
        <is>
          <t>Leiden : E.J. Brill, 1986.</t>
        </is>
      </c>
      <c r="O436" t="inlineStr">
        <is>
          <t>1986</t>
        </is>
      </c>
      <c r="Q436" t="inlineStr">
        <is>
          <t>eng</t>
        </is>
      </c>
      <c r="R436" t="inlineStr">
        <is>
          <t xml:space="preserve">ne </t>
        </is>
      </c>
      <c r="S436" t="inlineStr">
        <is>
          <t>Columbia studies in the classical tradition ; v. 13</t>
        </is>
      </c>
      <c r="T436" t="inlineStr">
        <is>
          <t>KJA</t>
        </is>
      </c>
      <c r="U436" t="n">
        <v>2</v>
      </c>
      <c r="V436" t="n">
        <v>2</v>
      </c>
      <c r="W436" t="inlineStr">
        <is>
          <t>2005-01-13</t>
        </is>
      </c>
      <c r="X436" t="inlineStr">
        <is>
          <t>2005-01-13</t>
        </is>
      </c>
      <c r="Y436" t="inlineStr">
        <is>
          <t>1992-07-30</t>
        </is>
      </c>
      <c r="Z436" t="inlineStr">
        <is>
          <t>1992-07-30</t>
        </is>
      </c>
      <c r="AA436" t="n">
        <v>231</v>
      </c>
      <c r="AB436" t="n">
        <v>137</v>
      </c>
      <c r="AC436" t="n">
        <v>139</v>
      </c>
      <c r="AD436" t="n">
        <v>2</v>
      </c>
      <c r="AE436" t="n">
        <v>2</v>
      </c>
      <c r="AF436" t="n">
        <v>8</v>
      </c>
      <c r="AG436" t="n">
        <v>8</v>
      </c>
      <c r="AH436" t="n">
        <v>0</v>
      </c>
      <c r="AI436" t="n">
        <v>0</v>
      </c>
      <c r="AJ436" t="n">
        <v>3</v>
      </c>
      <c r="AK436" t="n">
        <v>3</v>
      </c>
      <c r="AL436" t="n">
        <v>5</v>
      </c>
      <c r="AM436" t="n">
        <v>5</v>
      </c>
      <c r="AN436" t="n">
        <v>1</v>
      </c>
      <c r="AO436" t="n">
        <v>1</v>
      </c>
      <c r="AP436" t="n">
        <v>0</v>
      </c>
      <c r="AQ436" t="n">
        <v>0</v>
      </c>
      <c r="AR436" t="inlineStr">
        <is>
          <t>No</t>
        </is>
      </c>
      <c r="AS436" t="inlineStr">
        <is>
          <t>Yes</t>
        </is>
      </c>
      <c r="AT436">
        <f>HYPERLINK("http://catalog.hathitrust.org/Record/000827450","HathiTrust Record")</f>
        <v/>
      </c>
      <c r="AU436">
        <f>HYPERLINK("https://creighton-primo.hosted.exlibrisgroup.com/primo-explore/search?tab=default_tab&amp;search_scope=EVERYTHING&amp;vid=01CRU&amp;lang=en_US&amp;offset=0&amp;query=any,contains,991000929919702656","Catalog Record")</f>
        <v/>
      </c>
      <c r="AV436">
        <f>HYPERLINK("http://www.worldcat.org/oclc/14258081","WorldCat Record")</f>
        <v/>
      </c>
      <c r="AW436" t="inlineStr">
        <is>
          <t>8084333:eng</t>
        </is>
      </c>
      <c r="AX436" t="inlineStr">
        <is>
          <t>14258081</t>
        </is>
      </c>
      <c r="AY436" t="inlineStr">
        <is>
          <t>991000929919702656</t>
        </is>
      </c>
      <c r="AZ436" t="inlineStr">
        <is>
          <t>991000929919702656</t>
        </is>
      </c>
      <c r="BA436" t="inlineStr">
        <is>
          <t>2272063000002656</t>
        </is>
      </c>
      <c r="BB436" t="inlineStr">
        <is>
          <t>BOOK</t>
        </is>
      </c>
      <c r="BD436" t="inlineStr">
        <is>
          <t>9789004075689</t>
        </is>
      </c>
      <c r="BE436" t="inlineStr">
        <is>
          <t>32285001231298</t>
        </is>
      </c>
      <c r="BF436" t="inlineStr">
        <is>
          <t>893340014</t>
        </is>
      </c>
    </row>
    <row r="437">
      <c r="B437" t="inlineStr">
        <is>
          <t>CURAL</t>
        </is>
      </c>
      <c r="C437" t="inlineStr">
        <is>
          <t>SHELVES</t>
        </is>
      </c>
      <c r="D437" t="inlineStr">
        <is>
          <t>KJA1570 .U38 1988</t>
        </is>
      </c>
      <c r="E437" t="inlineStr">
        <is>
          <t>0                      KJA1570000U  38          1988</t>
        </is>
      </c>
      <c r="F437" t="inlineStr">
        <is>
          <t>Law and jurisdiction in the Middle Ages / Walter Ullmann ; edited by George Garnett.</t>
        </is>
      </c>
      <c r="H437" t="inlineStr">
        <is>
          <t>No</t>
        </is>
      </c>
      <c r="I437" t="inlineStr">
        <is>
          <t>1</t>
        </is>
      </c>
      <c r="J437" t="inlineStr">
        <is>
          <t>No</t>
        </is>
      </c>
      <c r="K437" t="inlineStr">
        <is>
          <t>No</t>
        </is>
      </c>
      <c r="L437" t="inlineStr">
        <is>
          <t>0</t>
        </is>
      </c>
      <c r="M437" t="inlineStr">
        <is>
          <t>Ullmann, Walter, 1910-1983.</t>
        </is>
      </c>
      <c r="N437" t="inlineStr">
        <is>
          <t>London : Variorum Reprints, 1988.</t>
        </is>
      </c>
      <c r="O437" t="inlineStr">
        <is>
          <t>1988</t>
        </is>
      </c>
      <c r="Q437" t="inlineStr">
        <is>
          <t>eng</t>
        </is>
      </c>
      <c r="R437" t="inlineStr">
        <is>
          <t>enk</t>
        </is>
      </c>
      <c r="S437" t="inlineStr">
        <is>
          <t>Variorum reprint. CS ; 283</t>
        </is>
      </c>
      <c r="T437" t="inlineStr">
        <is>
          <t>KJA</t>
        </is>
      </c>
      <c r="U437" t="n">
        <v>3</v>
      </c>
      <c r="V437" t="n">
        <v>3</v>
      </c>
      <c r="W437" t="inlineStr">
        <is>
          <t>2007-04-28</t>
        </is>
      </c>
      <c r="X437" t="inlineStr">
        <is>
          <t>2007-04-28</t>
        </is>
      </c>
      <c r="Y437" t="inlineStr">
        <is>
          <t>1991-12-15</t>
        </is>
      </c>
      <c r="Z437" t="inlineStr">
        <is>
          <t>1991-12-15</t>
        </is>
      </c>
      <c r="AA437" t="n">
        <v>207</v>
      </c>
      <c r="AB437" t="n">
        <v>129</v>
      </c>
      <c r="AC437" t="n">
        <v>136</v>
      </c>
      <c r="AD437" t="n">
        <v>1</v>
      </c>
      <c r="AE437" t="n">
        <v>1</v>
      </c>
      <c r="AF437" t="n">
        <v>6</v>
      </c>
      <c r="AG437" t="n">
        <v>6</v>
      </c>
      <c r="AH437" t="n">
        <v>1</v>
      </c>
      <c r="AI437" t="n">
        <v>1</v>
      </c>
      <c r="AJ437" t="n">
        <v>1</v>
      </c>
      <c r="AK437" t="n">
        <v>1</v>
      </c>
      <c r="AL437" t="n">
        <v>4</v>
      </c>
      <c r="AM437" t="n">
        <v>4</v>
      </c>
      <c r="AN437" t="n">
        <v>0</v>
      </c>
      <c r="AO437" t="n">
        <v>0</v>
      </c>
      <c r="AP437" t="n">
        <v>2</v>
      </c>
      <c r="AQ437" t="n">
        <v>2</v>
      </c>
      <c r="AR437" t="inlineStr">
        <is>
          <t>No</t>
        </is>
      </c>
      <c r="AS437" t="inlineStr">
        <is>
          <t>Yes</t>
        </is>
      </c>
      <c r="AT437">
        <f>HYPERLINK("http://catalog.hathitrust.org/Record/001536051","HathiTrust Record")</f>
        <v/>
      </c>
      <c r="AU437">
        <f>HYPERLINK("https://creighton-primo.hosted.exlibrisgroup.com/primo-explore/search?tab=default_tab&amp;search_scope=EVERYTHING&amp;vid=01CRU&amp;lang=en_US&amp;offset=0&amp;query=any,contains,991001935099702656","Catalog Record")</f>
        <v/>
      </c>
      <c r="AV437">
        <f>HYPERLINK("http://www.worldcat.org/oclc/24432058","WorldCat Record")</f>
        <v/>
      </c>
      <c r="AW437" t="inlineStr">
        <is>
          <t>9020781542:eng</t>
        </is>
      </c>
      <c r="AX437" t="inlineStr">
        <is>
          <t>24432058</t>
        </is>
      </c>
      <c r="AY437" t="inlineStr">
        <is>
          <t>991001935099702656</t>
        </is>
      </c>
      <c r="AZ437" t="inlineStr">
        <is>
          <t>991001935099702656</t>
        </is>
      </c>
      <c r="BA437" t="inlineStr">
        <is>
          <t>2266505850002656</t>
        </is>
      </c>
      <c r="BB437" t="inlineStr">
        <is>
          <t>BOOK</t>
        </is>
      </c>
      <c r="BD437" t="inlineStr">
        <is>
          <t>9780860782315</t>
        </is>
      </c>
      <c r="BE437" t="inlineStr">
        <is>
          <t>32285000819499</t>
        </is>
      </c>
      <c r="BF437" t="inlineStr">
        <is>
          <t>893529348</t>
        </is>
      </c>
    </row>
    <row r="438">
      <c r="B438" t="inlineStr">
        <is>
          <t>CURAL</t>
        </is>
      </c>
      <c r="C438" t="inlineStr">
        <is>
          <t>SHELVES</t>
        </is>
      </c>
      <c r="D438" t="inlineStr">
        <is>
          <t>KJA2192 .G37 1970</t>
        </is>
      </c>
      <c r="E438" t="inlineStr">
        <is>
          <t>0                      KJA2192000G  37          1970</t>
        </is>
      </c>
      <c r="F438" t="inlineStr">
        <is>
          <t>Social status and legal privilege in the Roman Empire.</t>
        </is>
      </c>
      <c r="H438" t="inlineStr">
        <is>
          <t>No</t>
        </is>
      </c>
      <c r="I438" t="inlineStr">
        <is>
          <t>1</t>
        </is>
      </c>
      <c r="J438" t="inlineStr">
        <is>
          <t>No</t>
        </is>
      </c>
      <c r="K438" t="inlineStr">
        <is>
          <t>No</t>
        </is>
      </c>
      <c r="L438" t="inlineStr">
        <is>
          <t>0</t>
        </is>
      </c>
      <c r="M438" t="inlineStr">
        <is>
          <t>Garnsey, Peter.</t>
        </is>
      </c>
      <c r="N438" t="inlineStr">
        <is>
          <t>Oxford : Clarendon, 1970.</t>
        </is>
      </c>
      <c r="O438" t="inlineStr">
        <is>
          <t>1970</t>
        </is>
      </c>
      <c r="Q438" t="inlineStr">
        <is>
          <t>eng</t>
        </is>
      </c>
      <c r="R438" t="inlineStr">
        <is>
          <t>enk</t>
        </is>
      </c>
      <c r="T438" t="inlineStr">
        <is>
          <t>KJA</t>
        </is>
      </c>
      <c r="U438" t="n">
        <v>5</v>
      </c>
      <c r="V438" t="n">
        <v>5</v>
      </c>
      <c r="W438" t="inlineStr">
        <is>
          <t>2008-12-08</t>
        </is>
      </c>
      <c r="X438" t="inlineStr">
        <is>
          <t>2008-12-08</t>
        </is>
      </c>
      <c r="Y438" t="inlineStr">
        <is>
          <t>1995-10-06</t>
        </is>
      </c>
      <c r="Z438" t="inlineStr">
        <is>
          <t>1995-10-06</t>
        </is>
      </c>
      <c r="AA438" t="n">
        <v>744</v>
      </c>
      <c r="AB438" t="n">
        <v>574</v>
      </c>
      <c r="AC438" t="n">
        <v>582</v>
      </c>
      <c r="AD438" t="n">
        <v>5</v>
      </c>
      <c r="AE438" t="n">
        <v>5</v>
      </c>
      <c r="AF438" t="n">
        <v>31</v>
      </c>
      <c r="AG438" t="n">
        <v>31</v>
      </c>
      <c r="AH438" t="n">
        <v>8</v>
      </c>
      <c r="AI438" t="n">
        <v>8</v>
      </c>
      <c r="AJ438" t="n">
        <v>5</v>
      </c>
      <c r="AK438" t="n">
        <v>5</v>
      </c>
      <c r="AL438" t="n">
        <v>12</v>
      </c>
      <c r="AM438" t="n">
        <v>12</v>
      </c>
      <c r="AN438" t="n">
        <v>4</v>
      </c>
      <c r="AO438" t="n">
        <v>4</v>
      </c>
      <c r="AP438" t="n">
        <v>8</v>
      </c>
      <c r="AQ438" t="n">
        <v>8</v>
      </c>
      <c r="AR438" t="inlineStr">
        <is>
          <t>No</t>
        </is>
      </c>
      <c r="AS438" t="inlineStr">
        <is>
          <t>Yes</t>
        </is>
      </c>
      <c r="AT438">
        <f>HYPERLINK("http://catalog.hathitrust.org/Record/001278379","HathiTrust Record")</f>
        <v/>
      </c>
      <c r="AU438">
        <f>HYPERLINK("https://creighton-primo.hosted.exlibrisgroup.com/primo-explore/search?tab=default_tab&amp;search_scope=EVERYTHING&amp;vid=01CRU&amp;lang=en_US&amp;offset=0&amp;query=any,contains,991000891529702656","Catalog Record")</f>
        <v/>
      </c>
      <c r="AV438">
        <f>HYPERLINK("http://www.worldcat.org/oclc/154280","WorldCat Record")</f>
        <v/>
      </c>
      <c r="AW438" t="inlineStr">
        <is>
          <t>1182283:eng</t>
        </is>
      </c>
      <c r="AX438" t="inlineStr">
        <is>
          <t>154280</t>
        </is>
      </c>
      <c r="AY438" t="inlineStr">
        <is>
          <t>991000891529702656</t>
        </is>
      </c>
      <c r="AZ438" t="inlineStr">
        <is>
          <t>991000891529702656</t>
        </is>
      </c>
      <c r="BA438" t="inlineStr">
        <is>
          <t>2255095700002656</t>
        </is>
      </c>
      <c r="BB438" t="inlineStr">
        <is>
          <t>BOOK</t>
        </is>
      </c>
      <c r="BD438" t="inlineStr">
        <is>
          <t>9780198251941</t>
        </is>
      </c>
      <c r="BE438" t="inlineStr">
        <is>
          <t>32285002068434</t>
        </is>
      </c>
      <c r="BF438" t="inlineStr">
        <is>
          <t>893419863</t>
        </is>
      </c>
    </row>
    <row r="439">
      <c r="B439" t="inlineStr">
        <is>
          <t>CURAL</t>
        </is>
      </c>
      <c r="C439" t="inlineStr">
        <is>
          <t>SHELVES</t>
        </is>
      </c>
      <c r="D439" t="inlineStr">
        <is>
          <t>KJA2198 .B83 1969</t>
        </is>
      </c>
      <c r="E439" t="inlineStr">
        <is>
          <t>0                      KJA2198000B  83          1969</t>
        </is>
      </c>
      <c r="F439" t="inlineStr">
        <is>
          <t>The Roman law of slavery : the condition of the slave in private law from Augustus to Justinian.</t>
        </is>
      </c>
      <c r="H439" t="inlineStr">
        <is>
          <t>No</t>
        </is>
      </c>
      <c r="I439" t="inlineStr">
        <is>
          <t>1</t>
        </is>
      </c>
      <c r="J439" t="inlineStr">
        <is>
          <t>No</t>
        </is>
      </c>
      <c r="K439" t="inlineStr">
        <is>
          <t>No</t>
        </is>
      </c>
      <c r="L439" t="inlineStr">
        <is>
          <t>0</t>
        </is>
      </c>
      <c r="M439" t="inlineStr">
        <is>
          <t>Buckland, W. W. (William Warwick), 1859-1946.</t>
        </is>
      </c>
      <c r="N439" t="inlineStr">
        <is>
          <t>New York, AMS Press [1969]</t>
        </is>
      </c>
      <c r="O439" t="inlineStr">
        <is>
          <t>1969</t>
        </is>
      </c>
      <c r="Q439" t="inlineStr">
        <is>
          <t>eng</t>
        </is>
      </c>
      <c r="R439" t="inlineStr">
        <is>
          <t>nyu</t>
        </is>
      </c>
      <c r="T439" t="inlineStr">
        <is>
          <t>KJA</t>
        </is>
      </c>
      <c r="U439" t="n">
        <v>4</v>
      </c>
      <c r="V439" t="n">
        <v>4</v>
      </c>
      <c r="W439" t="inlineStr">
        <is>
          <t>2009-12-10</t>
        </is>
      </c>
      <c r="X439" t="inlineStr">
        <is>
          <t>2009-12-10</t>
        </is>
      </c>
      <c r="Y439" t="inlineStr">
        <is>
          <t>1997-10-02</t>
        </is>
      </c>
      <c r="Z439" t="inlineStr">
        <is>
          <t>1997-10-02</t>
        </is>
      </c>
      <c r="AA439" t="n">
        <v>257</v>
      </c>
      <c r="AB439" t="n">
        <v>220</v>
      </c>
      <c r="AC439" t="n">
        <v>719</v>
      </c>
      <c r="AD439" t="n">
        <v>2</v>
      </c>
      <c r="AE439" t="n">
        <v>7</v>
      </c>
      <c r="AF439" t="n">
        <v>15</v>
      </c>
      <c r="AG439" t="n">
        <v>44</v>
      </c>
      <c r="AH439" t="n">
        <v>2</v>
      </c>
      <c r="AI439" t="n">
        <v>11</v>
      </c>
      <c r="AJ439" t="n">
        <v>3</v>
      </c>
      <c r="AK439" t="n">
        <v>7</v>
      </c>
      <c r="AL439" t="n">
        <v>4</v>
      </c>
      <c r="AM439" t="n">
        <v>13</v>
      </c>
      <c r="AN439" t="n">
        <v>1</v>
      </c>
      <c r="AO439" t="n">
        <v>4</v>
      </c>
      <c r="AP439" t="n">
        <v>6</v>
      </c>
      <c r="AQ439" t="n">
        <v>15</v>
      </c>
      <c r="AR439" t="inlineStr">
        <is>
          <t>No</t>
        </is>
      </c>
      <c r="AS439" t="inlineStr">
        <is>
          <t>Yes</t>
        </is>
      </c>
      <c r="AT439">
        <f>HYPERLINK("http://catalog.hathitrust.org/Record/102090863","HathiTrust Record")</f>
        <v/>
      </c>
      <c r="AU439">
        <f>HYPERLINK("https://creighton-primo.hosted.exlibrisgroup.com/primo-explore/search?tab=default_tab&amp;search_scope=EVERYTHING&amp;vid=01CRU&amp;lang=en_US&amp;offset=0&amp;query=any,contains,991000131599702656","Catalog Record")</f>
        <v/>
      </c>
      <c r="AV439">
        <f>HYPERLINK("http://www.worldcat.org/oclc/54375","WorldCat Record")</f>
        <v/>
      </c>
      <c r="AW439" t="inlineStr">
        <is>
          <t>1181639:eng</t>
        </is>
      </c>
      <c r="AX439" t="inlineStr">
        <is>
          <t>54375</t>
        </is>
      </c>
      <c r="AY439" t="inlineStr">
        <is>
          <t>991000131599702656</t>
        </is>
      </c>
      <c r="AZ439" t="inlineStr">
        <is>
          <t>991000131599702656</t>
        </is>
      </c>
      <c r="BA439" t="inlineStr">
        <is>
          <t>2258222110002656</t>
        </is>
      </c>
      <c r="BB439" t="inlineStr">
        <is>
          <t>BOOK</t>
        </is>
      </c>
      <c r="BE439" t="inlineStr">
        <is>
          <t>32285003252474</t>
        </is>
      </c>
      <c r="BF439" t="inlineStr">
        <is>
          <t>893896638</t>
        </is>
      </c>
    </row>
    <row r="440">
      <c r="B440" t="inlineStr">
        <is>
          <t>CURAL</t>
        </is>
      </c>
      <c r="C440" t="inlineStr">
        <is>
          <t>SHELVES</t>
        </is>
      </c>
      <c r="D440" t="inlineStr">
        <is>
          <t>KJA2229 .G37 1998</t>
        </is>
      </c>
      <c r="E440" t="inlineStr">
        <is>
          <t>0                      KJA2229000G  37          1998</t>
        </is>
      </c>
      <c r="F440" t="inlineStr">
        <is>
          <t>Family and familia in Roman law and life / Jane F. Gardner.</t>
        </is>
      </c>
      <c r="H440" t="inlineStr">
        <is>
          <t>No</t>
        </is>
      </c>
      <c r="I440" t="inlineStr">
        <is>
          <t>1</t>
        </is>
      </c>
      <c r="J440" t="inlineStr">
        <is>
          <t>No</t>
        </is>
      </c>
      <c r="K440" t="inlineStr">
        <is>
          <t>No</t>
        </is>
      </c>
      <c r="L440" t="inlineStr">
        <is>
          <t>0</t>
        </is>
      </c>
      <c r="M440" t="inlineStr">
        <is>
          <t>Gardner, Jane F.</t>
        </is>
      </c>
      <c r="N440" t="inlineStr">
        <is>
          <t>Oxford : Clarendon Press ; New York : Oxford University Press, 1998.</t>
        </is>
      </c>
      <c r="O440" t="inlineStr">
        <is>
          <t>1998</t>
        </is>
      </c>
      <c r="Q440" t="inlineStr">
        <is>
          <t>eng</t>
        </is>
      </c>
      <c r="R440" t="inlineStr">
        <is>
          <t>enk</t>
        </is>
      </c>
      <c r="T440" t="inlineStr">
        <is>
          <t>KJA</t>
        </is>
      </c>
      <c r="U440" t="n">
        <v>3</v>
      </c>
      <c r="V440" t="n">
        <v>3</v>
      </c>
      <c r="W440" t="inlineStr">
        <is>
          <t>2010-04-18</t>
        </is>
      </c>
      <c r="X440" t="inlineStr">
        <is>
          <t>2010-04-18</t>
        </is>
      </c>
      <c r="Y440" t="inlineStr">
        <is>
          <t>1999-03-16</t>
        </is>
      </c>
      <c r="Z440" t="inlineStr">
        <is>
          <t>1999-03-16</t>
        </is>
      </c>
      <c r="AA440" t="n">
        <v>375</v>
      </c>
      <c r="AB440" t="n">
        <v>260</v>
      </c>
      <c r="AC440" t="n">
        <v>264</v>
      </c>
      <c r="AD440" t="n">
        <v>3</v>
      </c>
      <c r="AE440" t="n">
        <v>3</v>
      </c>
      <c r="AF440" t="n">
        <v>20</v>
      </c>
      <c r="AG440" t="n">
        <v>20</v>
      </c>
      <c r="AH440" t="n">
        <v>5</v>
      </c>
      <c r="AI440" t="n">
        <v>5</v>
      </c>
      <c r="AJ440" t="n">
        <v>3</v>
      </c>
      <c r="AK440" t="n">
        <v>3</v>
      </c>
      <c r="AL440" t="n">
        <v>10</v>
      </c>
      <c r="AM440" t="n">
        <v>10</v>
      </c>
      <c r="AN440" t="n">
        <v>2</v>
      </c>
      <c r="AO440" t="n">
        <v>2</v>
      </c>
      <c r="AP440" t="n">
        <v>5</v>
      </c>
      <c r="AQ440" t="n">
        <v>5</v>
      </c>
      <c r="AR440" t="inlineStr">
        <is>
          <t>No</t>
        </is>
      </c>
      <c r="AS440" t="inlineStr">
        <is>
          <t>No</t>
        </is>
      </c>
      <c r="AU440">
        <f>HYPERLINK("https://creighton-primo.hosted.exlibrisgroup.com/primo-explore/search?tab=default_tab&amp;search_scope=EVERYTHING&amp;vid=01CRU&amp;lang=en_US&amp;offset=0&amp;query=any,contains,991002887589702656","Catalog Record")</f>
        <v/>
      </c>
      <c r="AV440">
        <f>HYPERLINK("http://www.worldcat.org/oclc/38048679","WorldCat Record")</f>
        <v/>
      </c>
      <c r="AW440" t="inlineStr">
        <is>
          <t>598277:eng</t>
        </is>
      </c>
      <c r="AX440" t="inlineStr">
        <is>
          <t>38048679</t>
        </is>
      </c>
      <c r="AY440" t="inlineStr">
        <is>
          <t>991002887589702656</t>
        </is>
      </c>
      <c r="AZ440" t="inlineStr">
        <is>
          <t>991002887589702656</t>
        </is>
      </c>
      <c r="BA440" t="inlineStr">
        <is>
          <t>2257735950002656</t>
        </is>
      </c>
      <c r="BB440" t="inlineStr">
        <is>
          <t>BOOK</t>
        </is>
      </c>
      <c r="BD440" t="inlineStr">
        <is>
          <t>9780198152170</t>
        </is>
      </c>
      <c r="BE440" t="inlineStr">
        <is>
          <t>32285003532883</t>
        </is>
      </c>
      <c r="BF440" t="inlineStr">
        <is>
          <t>893874139</t>
        </is>
      </c>
    </row>
    <row r="441">
      <c r="B441" t="inlineStr">
        <is>
          <t>CURAL</t>
        </is>
      </c>
      <c r="C441" t="inlineStr">
        <is>
          <t>SHELVES</t>
        </is>
      </c>
      <c r="D441" t="inlineStr">
        <is>
          <t>KJA2233 .G78 1999</t>
        </is>
      </c>
      <c r="E441" t="inlineStr">
        <is>
          <t>0                      KJA2233000G  78          1999</t>
        </is>
      </c>
      <c r="F441" t="inlineStr">
        <is>
          <t>Law and family in late antiquity : the Emperor Constantine's marriage legislation / Judith Evans Grubbs.</t>
        </is>
      </c>
      <c r="H441" t="inlineStr">
        <is>
          <t>No</t>
        </is>
      </c>
      <c r="I441" t="inlineStr">
        <is>
          <t>1</t>
        </is>
      </c>
      <c r="J441" t="inlineStr">
        <is>
          <t>No</t>
        </is>
      </c>
      <c r="K441" t="inlineStr">
        <is>
          <t>No</t>
        </is>
      </c>
      <c r="L441" t="inlineStr">
        <is>
          <t>0</t>
        </is>
      </c>
      <c r="M441" t="inlineStr">
        <is>
          <t>Grubbs, Judith Evans.</t>
        </is>
      </c>
      <c r="N441" t="inlineStr">
        <is>
          <t>Oxford ; New York : Oxford University Press, 1999.</t>
        </is>
      </c>
      <c r="O441" t="inlineStr">
        <is>
          <t>1999</t>
        </is>
      </c>
      <c r="Q441" t="inlineStr">
        <is>
          <t>eng</t>
        </is>
      </c>
      <c r="R441" t="inlineStr">
        <is>
          <t>enk</t>
        </is>
      </c>
      <c r="T441" t="inlineStr">
        <is>
          <t>KJA</t>
        </is>
      </c>
      <c r="U441" t="n">
        <v>3</v>
      </c>
      <c r="V441" t="n">
        <v>3</v>
      </c>
      <c r="W441" t="inlineStr">
        <is>
          <t>2006-04-12</t>
        </is>
      </c>
      <c r="X441" t="inlineStr">
        <is>
          <t>2006-04-12</t>
        </is>
      </c>
      <c r="Y441" t="inlineStr">
        <is>
          <t>2003-10-09</t>
        </is>
      </c>
      <c r="Z441" t="inlineStr">
        <is>
          <t>2003-10-09</t>
        </is>
      </c>
      <c r="AA441" t="n">
        <v>77</v>
      </c>
      <c r="AB441" t="n">
        <v>57</v>
      </c>
      <c r="AC441" t="n">
        <v>342</v>
      </c>
      <c r="AD441" t="n">
        <v>2</v>
      </c>
      <c r="AE441" t="n">
        <v>3</v>
      </c>
      <c r="AF441" t="n">
        <v>2</v>
      </c>
      <c r="AG441" t="n">
        <v>29</v>
      </c>
      <c r="AH441" t="n">
        <v>1</v>
      </c>
      <c r="AI441" t="n">
        <v>8</v>
      </c>
      <c r="AJ441" t="n">
        <v>0</v>
      </c>
      <c r="AK441" t="n">
        <v>7</v>
      </c>
      <c r="AL441" t="n">
        <v>0</v>
      </c>
      <c r="AM441" t="n">
        <v>13</v>
      </c>
      <c r="AN441" t="n">
        <v>1</v>
      </c>
      <c r="AO441" t="n">
        <v>2</v>
      </c>
      <c r="AP441" t="n">
        <v>0</v>
      </c>
      <c r="AQ441" t="n">
        <v>8</v>
      </c>
      <c r="AR441" t="inlineStr">
        <is>
          <t>No</t>
        </is>
      </c>
      <c r="AS441" t="inlineStr">
        <is>
          <t>Yes</t>
        </is>
      </c>
      <c r="AT441">
        <f>HYPERLINK("http://catalog.hathitrust.org/Record/007050751","HathiTrust Record")</f>
        <v/>
      </c>
      <c r="AU441">
        <f>HYPERLINK("https://creighton-primo.hosted.exlibrisgroup.com/primo-explore/search?tab=default_tab&amp;search_scope=EVERYTHING&amp;vid=01CRU&amp;lang=en_US&amp;offset=0&amp;query=any,contains,991004133879702656","Catalog Record")</f>
        <v/>
      </c>
      <c r="AV441">
        <f>HYPERLINK("http://www.worldcat.org/oclc/42038700","WorldCat Record")</f>
        <v/>
      </c>
      <c r="AW441" t="inlineStr">
        <is>
          <t>806818513:eng</t>
        </is>
      </c>
      <c r="AX441" t="inlineStr">
        <is>
          <t>42038700</t>
        </is>
      </c>
      <c r="AY441" t="inlineStr">
        <is>
          <t>991004133879702656</t>
        </is>
      </c>
      <c r="AZ441" t="inlineStr">
        <is>
          <t>991004133879702656</t>
        </is>
      </c>
      <c r="BA441" t="inlineStr">
        <is>
          <t>2266936970002656</t>
        </is>
      </c>
      <c r="BB441" t="inlineStr">
        <is>
          <t>BOOK</t>
        </is>
      </c>
      <c r="BD441" t="inlineStr">
        <is>
          <t>9780198208228</t>
        </is>
      </c>
      <c r="BE441" t="inlineStr">
        <is>
          <t>32285004787692</t>
        </is>
      </c>
      <c r="BF441" t="inlineStr">
        <is>
          <t>893349645</t>
        </is>
      </c>
    </row>
    <row r="442">
      <c r="B442" t="inlineStr">
        <is>
          <t>CURAL</t>
        </is>
      </c>
      <c r="C442" t="inlineStr">
        <is>
          <t>SHELVES</t>
        </is>
      </c>
      <c r="D442" t="inlineStr">
        <is>
          <t>KJA2233 .T74 1993</t>
        </is>
      </c>
      <c r="E442" t="inlineStr">
        <is>
          <t>0                      KJA2233000T  74          1993</t>
        </is>
      </c>
      <c r="F442" t="inlineStr">
        <is>
          <t>Roman marriage : Iusti Coniuges from the time of Cicero to the time of Ulpian / Susan Treggiari.</t>
        </is>
      </c>
      <c r="H442" t="inlineStr">
        <is>
          <t>No</t>
        </is>
      </c>
      <c r="I442" t="inlineStr">
        <is>
          <t>1</t>
        </is>
      </c>
      <c r="J442" t="inlineStr">
        <is>
          <t>No</t>
        </is>
      </c>
      <c r="K442" t="inlineStr">
        <is>
          <t>No</t>
        </is>
      </c>
      <c r="L442" t="inlineStr">
        <is>
          <t>0</t>
        </is>
      </c>
      <c r="M442" t="inlineStr">
        <is>
          <t>Treggiari, Susan.</t>
        </is>
      </c>
      <c r="N442" t="inlineStr">
        <is>
          <t>Oxford : Clarendon, 1993, c1991.</t>
        </is>
      </c>
      <c r="O442" t="inlineStr">
        <is>
          <t>1993</t>
        </is>
      </c>
      <c r="Q442" t="inlineStr">
        <is>
          <t>eng</t>
        </is>
      </c>
      <c r="R442" t="inlineStr">
        <is>
          <t>enk</t>
        </is>
      </c>
      <c r="T442" t="inlineStr">
        <is>
          <t>KJA</t>
        </is>
      </c>
      <c r="U442" t="n">
        <v>25</v>
      </c>
      <c r="V442" t="n">
        <v>25</v>
      </c>
      <c r="W442" t="inlineStr">
        <is>
          <t>2010-09-27</t>
        </is>
      </c>
      <c r="X442" t="inlineStr">
        <is>
          <t>2010-09-27</t>
        </is>
      </c>
      <c r="Y442" t="inlineStr">
        <is>
          <t>1994-12-28</t>
        </is>
      </c>
      <c r="Z442" t="inlineStr">
        <is>
          <t>1994-12-28</t>
        </is>
      </c>
      <c r="AA442" t="n">
        <v>67</v>
      </c>
      <c r="AB442" t="n">
        <v>55</v>
      </c>
      <c r="AC442" t="n">
        <v>639</v>
      </c>
      <c r="AD442" t="n">
        <v>1</v>
      </c>
      <c r="AE442" t="n">
        <v>6</v>
      </c>
      <c r="AF442" t="n">
        <v>4</v>
      </c>
      <c r="AG442" t="n">
        <v>45</v>
      </c>
      <c r="AH442" t="n">
        <v>2</v>
      </c>
      <c r="AI442" t="n">
        <v>16</v>
      </c>
      <c r="AJ442" t="n">
        <v>0</v>
      </c>
      <c r="AK442" t="n">
        <v>10</v>
      </c>
      <c r="AL442" t="n">
        <v>2</v>
      </c>
      <c r="AM442" t="n">
        <v>21</v>
      </c>
      <c r="AN442" t="n">
        <v>0</v>
      </c>
      <c r="AO442" t="n">
        <v>5</v>
      </c>
      <c r="AP442" t="n">
        <v>0</v>
      </c>
      <c r="AQ442" t="n">
        <v>5</v>
      </c>
      <c r="AR442" t="inlineStr">
        <is>
          <t>No</t>
        </is>
      </c>
      <c r="AS442" t="inlineStr">
        <is>
          <t>No</t>
        </is>
      </c>
      <c r="AU442">
        <f>HYPERLINK("https://creighton-primo.hosted.exlibrisgroup.com/primo-explore/search?tab=default_tab&amp;search_scope=EVERYTHING&amp;vid=01CRU&amp;lang=en_US&amp;offset=0&amp;query=any,contains,991005417119702656","Catalog Record")</f>
        <v/>
      </c>
      <c r="AV442">
        <f>HYPERLINK("http://www.worldcat.org/oclc/28334961","WorldCat Record")</f>
        <v/>
      </c>
      <c r="AW442" t="inlineStr">
        <is>
          <t>791983277:eng</t>
        </is>
      </c>
      <c r="AX442" t="inlineStr">
        <is>
          <t>28334961</t>
        </is>
      </c>
      <c r="AY442" t="inlineStr">
        <is>
          <t>991005417119702656</t>
        </is>
      </c>
      <c r="AZ442" t="inlineStr">
        <is>
          <t>991005417119702656</t>
        </is>
      </c>
      <c r="BA442" t="inlineStr">
        <is>
          <t>2260209660002656</t>
        </is>
      </c>
      <c r="BB442" t="inlineStr">
        <is>
          <t>BOOK</t>
        </is>
      </c>
      <c r="BD442" t="inlineStr">
        <is>
          <t>9780198148906</t>
        </is>
      </c>
      <c r="BE442" t="inlineStr">
        <is>
          <t>32285001979755</t>
        </is>
      </c>
      <c r="BF442" t="inlineStr">
        <is>
          <t>893796195</t>
        </is>
      </c>
    </row>
    <row r="443">
      <c r="B443" t="inlineStr">
        <is>
          <t>CURAL</t>
        </is>
      </c>
      <c r="C443" t="inlineStr">
        <is>
          <t>SHELVES</t>
        </is>
      </c>
      <c r="D443" t="inlineStr">
        <is>
          <t>KJA3340 .R63 1995</t>
        </is>
      </c>
      <c r="E443" t="inlineStr">
        <is>
          <t>0                      KJA3340000R  63          1995</t>
        </is>
      </c>
      <c r="F443" t="inlineStr">
        <is>
          <t>The criminal law of ancient Rome / O.F. Robinson.</t>
        </is>
      </c>
      <c r="H443" t="inlineStr">
        <is>
          <t>No</t>
        </is>
      </c>
      <c r="I443" t="inlineStr">
        <is>
          <t>1</t>
        </is>
      </c>
      <c r="J443" t="inlineStr">
        <is>
          <t>No</t>
        </is>
      </c>
      <c r="K443" t="inlineStr">
        <is>
          <t>No</t>
        </is>
      </c>
      <c r="L443" t="inlineStr">
        <is>
          <t>0</t>
        </is>
      </c>
      <c r="M443" t="inlineStr">
        <is>
          <t>Robinson, O. F.</t>
        </is>
      </c>
      <c r="N443" t="inlineStr">
        <is>
          <t>Baltimore, Md. : Johns Hopkins University Press, 1995.</t>
        </is>
      </c>
      <c r="O443" t="inlineStr">
        <is>
          <t>1995</t>
        </is>
      </c>
      <c r="Q443" t="inlineStr">
        <is>
          <t>eng</t>
        </is>
      </c>
      <c r="R443" t="inlineStr">
        <is>
          <t>mdu</t>
        </is>
      </c>
      <c r="T443" t="inlineStr">
        <is>
          <t>KJA</t>
        </is>
      </c>
      <c r="U443" t="n">
        <v>4</v>
      </c>
      <c r="V443" t="n">
        <v>4</v>
      </c>
      <c r="W443" t="inlineStr">
        <is>
          <t>2006-11-20</t>
        </is>
      </c>
      <c r="X443" t="inlineStr">
        <is>
          <t>2006-11-20</t>
        </is>
      </c>
      <c r="Y443" t="inlineStr">
        <is>
          <t>2004-11-22</t>
        </is>
      </c>
      <c r="Z443" t="inlineStr">
        <is>
          <t>2004-11-22</t>
        </is>
      </c>
      <c r="AA443" t="n">
        <v>398</v>
      </c>
      <c r="AB443" t="n">
        <v>328</v>
      </c>
      <c r="AC443" t="n">
        <v>367</v>
      </c>
      <c r="AD443" t="n">
        <v>4</v>
      </c>
      <c r="AE443" t="n">
        <v>4</v>
      </c>
      <c r="AF443" t="n">
        <v>28</v>
      </c>
      <c r="AG443" t="n">
        <v>30</v>
      </c>
      <c r="AH443" t="n">
        <v>10</v>
      </c>
      <c r="AI443" t="n">
        <v>11</v>
      </c>
      <c r="AJ443" t="n">
        <v>1</v>
      </c>
      <c r="AK443" t="n">
        <v>2</v>
      </c>
      <c r="AL443" t="n">
        <v>9</v>
      </c>
      <c r="AM443" t="n">
        <v>11</v>
      </c>
      <c r="AN443" t="n">
        <v>3</v>
      </c>
      <c r="AO443" t="n">
        <v>3</v>
      </c>
      <c r="AP443" t="n">
        <v>10</v>
      </c>
      <c r="AQ443" t="n">
        <v>10</v>
      </c>
      <c r="AR443" t="inlineStr">
        <is>
          <t>No</t>
        </is>
      </c>
      <c r="AS443" t="inlineStr">
        <is>
          <t>Yes</t>
        </is>
      </c>
      <c r="AT443">
        <f>HYPERLINK("http://catalog.hathitrust.org/Record/003083261","HathiTrust Record")</f>
        <v/>
      </c>
      <c r="AU443">
        <f>HYPERLINK("https://creighton-primo.hosted.exlibrisgroup.com/primo-explore/search?tab=default_tab&amp;search_scope=EVERYTHING&amp;vid=01CRU&amp;lang=en_US&amp;offset=0&amp;query=any,contains,991004414139702656","Catalog Record")</f>
        <v/>
      </c>
      <c r="AV443">
        <f>HYPERLINK("http://www.worldcat.org/oclc/32970780","WorldCat Record")</f>
        <v/>
      </c>
      <c r="AW443" t="inlineStr">
        <is>
          <t>37571183:eng</t>
        </is>
      </c>
      <c r="AX443" t="inlineStr">
        <is>
          <t>32970780</t>
        </is>
      </c>
      <c r="AY443" t="inlineStr">
        <is>
          <t>991004414139702656</t>
        </is>
      </c>
      <c r="AZ443" t="inlineStr">
        <is>
          <t>991004414139702656</t>
        </is>
      </c>
      <c r="BA443" t="inlineStr">
        <is>
          <t>2269258600002656</t>
        </is>
      </c>
      <c r="BB443" t="inlineStr">
        <is>
          <t>BOOK</t>
        </is>
      </c>
      <c r="BD443" t="inlineStr">
        <is>
          <t>9780801853180</t>
        </is>
      </c>
      <c r="BE443" t="inlineStr">
        <is>
          <t>32285005012637</t>
        </is>
      </c>
      <c r="BF443" t="inlineStr">
        <is>
          <t>893904847</t>
        </is>
      </c>
    </row>
    <row r="444">
      <c r="B444" t="inlineStr">
        <is>
          <t>CURAL</t>
        </is>
      </c>
      <c r="C444" t="inlineStr">
        <is>
          <t>SHELVES</t>
        </is>
      </c>
      <c r="D444" t="inlineStr">
        <is>
          <t>KJA3340 .S77</t>
        </is>
      </c>
      <c r="E444" t="inlineStr">
        <is>
          <t>0                      KJA3340000S  77</t>
        </is>
      </c>
      <c r="F444" t="inlineStr">
        <is>
          <t>Problems of the Roman criminal law.</t>
        </is>
      </c>
      <c r="G444" t="inlineStr">
        <is>
          <t>V.1</t>
        </is>
      </c>
      <c r="H444" t="inlineStr">
        <is>
          <t>Yes</t>
        </is>
      </c>
      <c r="I444" t="inlineStr">
        <is>
          <t>1</t>
        </is>
      </c>
      <c r="J444" t="inlineStr">
        <is>
          <t>No</t>
        </is>
      </c>
      <c r="K444" t="inlineStr">
        <is>
          <t>No</t>
        </is>
      </c>
      <c r="L444" t="inlineStr">
        <is>
          <t>0</t>
        </is>
      </c>
      <c r="M444" t="inlineStr">
        <is>
          <t>Strachan-Davidson, J. L. (James Leigh), 1843-1916.</t>
        </is>
      </c>
      <c r="N444" t="inlineStr">
        <is>
          <t>Oxford : Clarendon press, 1912.</t>
        </is>
      </c>
      <c r="O444" t="inlineStr">
        <is>
          <t>1912</t>
        </is>
      </c>
      <c r="Q444" t="inlineStr">
        <is>
          <t>eng</t>
        </is>
      </c>
      <c r="R444" t="inlineStr">
        <is>
          <t xml:space="preserve">xx </t>
        </is>
      </c>
      <c r="T444" t="inlineStr">
        <is>
          <t>KJA</t>
        </is>
      </c>
      <c r="U444" t="n">
        <v>3</v>
      </c>
      <c r="V444" t="n">
        <v>3</v>
      </c>
      <c r="W444" t="inlineStr">
        <is>
          <t>2006-04-03</t>
        </is>
      </c>
      <c r="X444" t="inlineStr">
        <is>
          <t>2006-04-03</t>
        </is>
      </c>
      <c r="Y444" t="inlineStr">
        <is>
          <t>1993-02-26</t>
        </is>
      </c>
      <c r="Z444" t="inlineStr">
        <is>
          <t>1993-02-26</t>
        </is>
      </c>
      <c r="AA444" t="n">
        <v>183</v>
      </c>
      <c r="AB444" t="n">
        <v>121</v>
      </c>
      <c r="AC444" t="n">
        <v>297</v>
      </c>
      <c r="AD444" t="n">
        <v>1</v>
      </c>
      <c r="AE444" t="n">
        <v>4</v>
      </c>
      <c r="AF444" t="n">
        <v>13</v>
      </c>
      <c r="AG444" t="n">
        <v>29</v>
      </c>
      <c r="AH444" t="n">
        <v>1</v>
      </c>
      <c r="AI444" t="n">
        <v>3</v>
      </c>
      <c r="AJ444" t="n">
        <v>0</v>
      </c>
      <c r="AK444" t="n">
        <v>2</v>
      </c>
      <c r="AL444" t="n">
        <v>6</v>
      </c>
      <c r="AM444" t="n">
        <v>8</v>
      </c>
      <c r="AN444" t="n">
        <v>0</v>
      </c>
      <c r="AO444" t="n">
        <v>2</v>
      </c>
      <c r="AP444" t="n">
        <v>7</v>
      </c>
      <c r="AQ444" t="n">
        <v>15</v>
      </c>
      <c r="AR444" t="inlineStr">
        <is>
          <t>Yes</t>
        </is>
      </c>
      <c r="AS444" t="inlineStr">
        <is>
          <t>No</t>
        </is>
      </c>
      <c r="AT444">
        <f>HYPERLINK("http://catalog.hathitrust.org/Record/006066787","HathiTrust Record")</f>
        <v/>
      </c>
      <c r="AU444">
        <f>HYPERLINK("https://creighton-primo.hosted.exlibrisgroup.com/primo-explore/search?tab=default_tab&amp;search_scope=EVERYTHING&amp;vid=01CRU&amp;lang=en_US&amp;offset=0&amp;query=any,contains,991003323439702656","Catalog Record")</f>
        <v/>
      </c>
      <c r="AV444">
        <f>HYPERLINK("http://www.worldcat.org/oclc/38170451","WorldCat Record")</f>
        <v/>
      </c>
      <c r="AW444" t="inlineStr">
        <is>
          <t>10569532432:eng</t>
        </is>
      </c>
      <c r="AX444" t="inlineStr">
        <is>
          <t>38170451</t>
        </is>
      </c>
      <c r="AY444" t="inlineStr">
        <is>
          <t>991003323439702656</t>
        </is>
      </c>
      <c r="AZ444" t="inlineStr">
        <is>
          <t>991003323439702656</t>
        </is>
      </c>
      <c r="BA444" t="inlineStr">
        <is>
          <t>2264294930002656</t>
        </is>
      </c>
      <c r="BB444" t="inlineStr">
        <is>
          <t>BOOK</t>
        </is>
      </c>
      <c r="BE444" t="inlineStr">
        <is>
          <t>32285001540326</t>
        </is>
      </c>
      <c r="BF444" t="inlineStr">
        <is>
          <t>893410170</t>
        </is>
      </c>
    </row>
    <row r="445">
      <c r="B445" t="inlineStr">
        <is>
          <t>CURAL</t>
        </is>
      </c>
      <c r="C445" t="inlineStr">
        <is>
          <t>SHELVES</t>
        </is>
      </c>
      <c r="D445" t="inlineStr">
        <is>
          <t>KJA3340 .S77</t>
        </is>
      </c>
      <c r="E445" t="inlineStr">
        <is>
          <t>0                      KJA3340000S  77</t>
        </is>
      </c>
      <c r="F445" t="inlineStr">
        <is>
          <t>Problems of the Roman criminal law.</t>
        </is>
      </c>
      <c r="G445" t="inlineStr">
        <is>
          <t>V.2</t>
        </is>
      </c>
      <c r="H445" t="inlineStr">
        <is>
          <t>Yes</t>
        </is>
      </c>
      <c r="I445" t="inlineStr">
        <is>
          <t>1</t>
        </is>
      </c>
      <c r="J445" t="inlineStr">
        <is>
          <t>No</t>
        </is>
      </c>
      <c r="K445" t="inlineStr">
        <is>
          <t>No</t>
        </is>
      </c>
      <c r="L445" t="inlineStr">
        <is>
          <t>0</t>
        </is>
      </c>
      <c r="M445" t="inlineStr">
        <is>
          <t>Strachan-Davidson, J. L. (James Leigh), 1843-1916.</t>
        </is>
      </c>
      <c r="N445" t="inlineStr">
        <is>
          <t>Oxford : Clarendon press, 1912.</t>
        </is>
      </c>
      <c r="O445" t="inlineStr">
        <is>
          <t>1912</t>
        </is>
      </c>
      <c r="Q445" t="inlineStr">
        <is>
          <t>eng</t>
        </is>
      </c>
      <c r="R445" t="inlineStr">
        <is>
          <t xml:space="preserve">xx </t>
        </is>
      </c>
      <c r="T445" t="inlineStr">
        <is>
          <t>KJA</t>
        </is>
      </c>
      <c r="U445" t="n">
        <v>0</v>
      </c>
      <c r="V445" t="n">
        <v>3</v>
      </c>
      <c r="X445" t="inlineStr">
        <is>
          <t>2006-04-03</t>
        </is>
      </c>
      <c r="Y445" t="inlineStr">
        <is>
          <t>1993-02-26</t>
        </is>
      </c>
      <c r="Z445" t="inlineStr">
        <is>
          <t>1993-02-26</t>
        </is>
      </c>
      <c r="AA445" t="n">
        <v>183</v>
      </c>
      <c r="AB445" t="n">
        <v>121</v>
      </c>
      <c r="AC445" t="n">
        <v>297</v>
      </c>
      <c r="AD445" t="n">
        <v>1</v>
      </c>
      <c r="AE445" t="n">
        <v>4</v>
      </c>
      <c r="AF445" t="n">
        <v>13</v>
      </c>
      <c r="AG445" t="n">
        <v>29</v>
      </c>
      <c r="AH445" t="n">
        <v>1</v>
      </c>
      <c r="AI445" t="n">
        <v>3</v>
      </c>
      <c r="AJ445" t="n">
        <v>0</v>
      </c>
      <c r="AK445" t="n">
        <v>2</v>
      </c>
      <c r="AL445" t="n">
        <v>6</v>
      </c>
      <c r="AM445" t="n">
        <v>8</v>
      </c>
      <c r="AN445" t="n">
        <v>0</v>
      </c>
      <c r="AO445" t="n">
        <v>2</v>
      </c>
      <c r="AP445" t="n">
        <v>7</v>
      </c>
      <c r="AQ445" t="n">
        <v>15</v>
      </c>
      <c r="AR445" t="inlineStr">
        <is>
          <t>Yes</t>
        </is>
      </c>
      <c r="AS445" t="inlineStr">
        <is>
          <t>No</t>
        </is>
      </c>
      <c r="AT445">
        <f>HYPERLINK("http://catalog.hathitrust.org/Record/006066787","HathiTrust Record")</f>
        <v/>
      </c>
      <c r="AU445">
        <f>HYPERLINK("https://creighton-primo.hosted.exlibrisgroup.com/primo-explore/search?tab=default_tab&amp;search_scope=EVERYTHING&amp;vid=01CRU&amp;lang=en_US&amp;offset=0&amp;query=any,contains,991003323439702656","Catalog Record")</f>
        <v/>
      </c>
      <c r="AV445">
        <f>HYPERLINK("http://www.worldcat.org/oclc/38170451","WorldCat Record")</f>
        <v/>
      </c>
      <c r="AW445" t="inlineStr">
        <is>
          <t>10569532432:eng</t>
        </is>
      </c>
      <c r="AX445" t="inlineStr">
        <is>
          <t>38170451</t>
        </is>
      </c>
      <c r="AY445" t="inlineStr">
        <is>
          <t>991003323439702656</t>
        </is>
      </c>
      <c r="AZ445" t="inlineStr">
        <is>
          <t>991003323439702656</t>
        </is>
      </c>
      <c r="BA445" t="inlineStr">
        <is>
          <t>2264294930002656</t>
        </is>
      </c>
      <c r="BB445" t="inlineStr">
        <is>
          <t>BOOK</t>
        </is>
      </c>
      <c r="BE445" t="inlineStr">
        <is>
          <t>32285001540334</t>
        </is>
      </c>
      <c r="BF445" t="inlineStr">
        <is>
          <t>893422454</t>
        </is>
      </c>
    </row>
    <row r="446">
      <c r="B446" t="inlineStr">
        <is>
          <t>CURAL</t>
        </is>
      </c>
      <c r="C446" t="inlineStr">
        <is>
          <t>SHELVES</t>
        </is>
      </c>
      <c r="D446" t="inlineStr">
        <is>
          <t>KJE947 .W57 1991</t>
        </is>
      </c>
      <c r="E446" t="inlineStr">
        <is>
          <t>0                      KJE0947000W  57          1991</t>
        </is>
      </c>
      <c r="F446" t="inlineStr">
        <is>
          <t>After 1992 : the United States of Europe / Ernest Wistrich.</t>
        </is>
      </c>
      <c r="H446" t="inlineStr">
        <is>
          <t>No</t>
        </is>
      </c>
      <c r="I446" t="inlineStr">
        <is>
          <t>1</t>
        </is>
      </c>
      <c r="J446" t="inlineStr">
        <is>
          <t>Yes</t>
        </is>
      </c>
      <c r="K446" t="inlineStr">
        <is>
          <t>No</t>
        </is>
      </c>
      <c r="L446" t="inlineStr">
        <is>
          <t>0</t>
        </is>
      </c>
      <c r="M446" t="inlineStr">
        <is>
          <t>Wistrich, Ernest.</t>
        </is>
      </c>
      <c r="N446" t="inlineStr">
        <is>
          <t>London ; New York : Routledge, 1991.</t>
        </is>
      </c>
      <c r="O446" t="inlineStr">
        <is>
          <t>1991</t>
        </is>
      </c>
      <c r="P446" t="inlineStr">
        <is>
          <t>Rev. ed.</t>
        </is>
      </c>
      <c r="Q446" t="inlineStr">
        <is>
          <t>eng</t>
        </is>
      </c>
      <c r="R446" t="inlineStr">
        <is>
          <t>enk</t>
        </is>
      </c>
      <c r="T446" t="inlineStr">
        <is>
          <t>KJE</t>
        </is>
      </c>
      <c r="U446" t="n">
        <v>0</v>
      </c>
      <c r="V446" t="n">
        <v>2</v>
      </c>
      <c r="X446" t="inlineStr">
        <is>
          <t>2010-10-19</t>
        </is>
      </c>
      <c r="Y446" t="inlineStr">
        <is>
          <t>2003-05-28</t>
        </is>
      </c>
      <c r="Z446" t="inlineStr">
        <is>
          <t>2003-05-28</t>
        </is>
      </c>
      <c r="AA446" t="n">
        <v>378</v>
      </c>
      <c r="AB446" t="n">
        <v>277</v>
      </c>
      <c r="AC446" t="n">
        <v>478</v>
      </c>
      <c r="AD446" t="n">
        <v>2</v>
      </c>
      <c r="AE446" t="n">
        <v>5</v>
      </c>
      <c r="AF446" t="n">
        <v>13</v>
      </c>
      <c r="AG446" t="n">
        <v>28</v>
      </c>
      <c r="AH446" t="n">
        <v>5</v>
      </c>
      <c r="AI446" t="n">
        <v>9</v>
      </c>
      <c r="AJ446" t="n">
        <v>4</v>
      </c>
      <c r="AK446" t="n">
        <v>8</v>
      </c>
      <c r="AL446" t="n">
        <v>5</v>
      </c>
      <c r="AM446" t="n">
        <v>13</v>
      </c>
      <c r="AN446" t="n">
        <v>0</v>
      </c>
      <c r="AO446" t="n">
        <v>3</v>
      </c>
      <c r="AP446" t="n">
        <v>3</v>
      </c>
      <c r="AQ446" t="n">
        <v>3</v>
      </c>
      <c r="AR446" t="inlineStr">
        <is>
          <t>No</t>
        </is>
      </c>
      <c r="AS446" t="inlineStr">
        <is>
          <t>Yes</t>
        </is>
      </c>
      <c r="AT446">
        <f>HYPERLINK("http://catalog.hathitrust.org/Record/006237806","HathiTrust Record")</f>
        <v/>
      </c>
      <c r="AU446">
        <f>HYPERLINK("https://creighton-primo.hosted.exlibrisgroup.com/primo-explore/search?tab=default_tab&amp;search_scope=EVERYTHING&amp;vid=01CRU&amp;lang=en_US&amp;offset=0&amp;query=any,contains,991001649549702656","Catalog Record")</f>
        <v/>
      </c>
      <c r="AV446">
        <f>HYPERLINK("http://www.worldcat.org/oclc/25788383","WorldCat Record")</f>
        <v/>
      </c>
      <c r="AW446" t="inlineStr">
        <is>
          <t>155040616:eng</t>
        </is>
      </c>
      <c r="AX446" t="inlineStr">
        <is>
          <t>25788383</t>
        </is>
      </c>
      <c r="AY446" t="inlineStr">
        <is>
          <t>991001649549702656</t>
        </is>
      </c>
      <c r="AZ446" t="inlineStr">
        <is>
          <t>991001649549702656</t>
        </is>
      </c>
      <c r="BA446" t="inlineStr">
        <is>
          <t>2255126780002656</t>
        </is>
      </c>
      <c r="BB446" t="inlineStr">
        <is>
          <t>BOOK</t>
        </is>
      </c>
      <c r="BD446" t="inlineStr">
        <is>
          <t>9780415044516</t>
        </is>
      </c>
      <c r="BE446" t="inlineStr">
        <is>
          <t>32285000624493</t>
        </is>
      </c>
      <c r="BF446" t="inlineStr">
        <is>
          <t>893516364</t>
        </is>
      </c>
    </row>
    <row r="447">
      <c r="B447" t="inlineStr">
        <is>
          <t>CURAL</t>
        </is>
      </c>
      <c r="C447" t="inlineStr">
        <is>
          <t>SHELVES</t>
        </is>
      </c>
      <c r="D447" t="inlineStr">
        <is>
          <t>KJV233 .D27 1972</t>
        </is>
      </c>
      <c r="E447" t="inlineStr">
        <is>
          <t>0                      KJV0233000D  27          1972</t>
        </is>
      </c>
      <c r="F447" t="inlineStr">
        <is>
          <t>French law : its structure, sources, and methodology / translated by Michael Kindred.</t>
        </is>
      </c>
      <c r="H447" t="inlineStr">
        <is>
          <t>No</t>
        </is>
      </c>
      <c r="I447" t="inlineStr">
        <is>
          <t>1</t>
        </is>
      </c>
      <c r="J447" t="inlineStr">
        <is>
          <t>No</t>
        </is>
      </c>
      <c r="K447" t="inlineStr">
        <is>
          <t>No</t>
        </is>
      </c>
      <c r="L447" t="inlineStr">
        <is>
          <t>0</t>
        </is>
      </c>
      <c r="M447" t="inlineStr">
        <is>
          <t>David, René, 1906-1990.</t>
        </is>
      </c>
      <c r="N447" t="inlineStr">
        <is>
          <t>Baton Rouge, Louisiana State University Press, 1972.</t>
        </is>
      </c>
      <c r="O447" t="inlineStr">
        <is>
          <t>1972</t>
        </is>
      </c>
      <c r="Q447" t="inlineStr">
        <is>
          <t>eng</t>
        </is>
      </c>
      <c r="R447" t="inlineStr">
        <is>
          <t>lau</t>
        </is>
      </c>
      <c r="T447" t="inlineStr">
        <is>
          <t>KJV</t>
        </is>
      </c>
      <c r="U447" t="n">
        <v>1</v>
      </c>
      <c r="V447" t="n">
        <v>1</v>
      </c>
      <c r="W447" t="inlineStr">
        <is>
          <t>2009-04-01</t>
        </is>
      </c>
      <c r="X447" t="inlineStr">
        <is>
          <t>2009-04-01</t>
        </is>
      </c>
      <c r="Y447" t="inlineStr">
        <is>
          <t>1999-07-19</t>
        </is>
      </c>
      <c r="Z447" t="inlineStr">
        <is>
          <t>1999-07-19</t>
        </is>
      </c>
      <c r="AA447" t="n">
        <v>529</v>
      </c>
      <c r="AB447" t="n">
        <v>415</v>
      </c>
      <c r="AC447" t="n">
        <v>416</v>
      </c>
      <c r="AD447" t="n">
        <v>3</v>
      </c>
      <c r="AE447" t="n">
        <v>3</v>
      </c>
      <c r="AF447" t="n">
        <v>30</v>
      </c>
      <c r="AG447" t="n">
        <v>30</v>
      </c>
      <c r="AH447" t="n">
        <v>5</v>
      </c>
      <c r="AI447" t="n">
        <v>5</v>
      </c>
      <c r="AJ447" t="n">
        <v>4</v>
      </c>
      <c r="AK447" t="n">
        <v>4</v>
      </c>
      <c r="AL447" t="n">
        <v>9</v>
      </c>
      <c r="AM447" t="n">
        <v>9</v>
      </c>
      <c r="AN447" t="n">
        <v>1</v>
      </c>
      <c r="AO447" t="n">
        <v>1</v>
      </c>
      <c r="AP447" t="n">
        <v>16</v>
      </c>
      <c r="AQ447" t="n">
        <v>16</v>
      </c>
      <c r="AR447" t="inlineStr">
        <is>
          <t>No</t>
        </is>
      </c>
      <c r="AS447" t="inlineStr">
        <is>
          <t>No</t>
        </is>
      </c>
      <c r="AU447">
        <f>HYPERLINK("https://creighton-primo.hosted.exlibrisgroup.com/primo-explore/search?tab=default_tab&amp;search_scope=EVERYTHING&amp;vid=01CRU&amp;lang=en_US&amp;offset=0&amp;query=any,contains,991002859219702656","Catalog Record")</f>
        <v/>
      </c>
      <c r="AV447">
        <f>HYPERLINK("http://www.worldcat.org/oclc/492020","WorldCat Record")</f>
        <v/>
      </c>
      <c r="AW447" t="inlineStr">
        <is>
          <t>8448330:eng</t>
        </is>
      </c>
      <c r="AX447" t="inlineStr">
        <is>
          <t>492020</t>
        </is>
      </c>
      <c r="AY447" t="inlineStr">
        <is>
          <t>991002859219702656</t>
        </is>
      </c>
      <c r="AZ447" t="inlineStr">
        <is>
          <t>991002859219702656</t>
        </is>
      </c>
      <c r="BA447" t="inlineStr">
        <is>
          <t>2255388350002656</t>
        </is>
      </c>
      <c r="BB447" t="inlineStr">
        <is>
          <t>BOOK</t>
        </is>
      </c>
      <c r="BD447" t="inlineStr">
        <is>
          <t>9780807102480</t>
        </is>
      </c>
      <c r="BE447" t="inlineStr">
        <is>
          <t>32285003578365</t>
        </is>
      </c>
      <c r="BF447" t="inlineStr">
        <is>
          <t>893704607</t>
        </is>
      </c>
    </row>
    <row r="448">
      <c r="B448" t="inlineStr">
        <is>
          <t>CURAL</t>
        </is>
      </c>
      <c r="C448" t="inlineStr">
        <is>
          <t>SHELVES</t>
        </is>
      </c>
      <c r="D448" t="inlineStr">
        <is>
          <t>KK301.B57 F53 1989</t>
        </is>
      </c>
      <c r="E448" t="inlineStr">
        <is>
          <t>0                      KK 0301000B  57                 F  53          1989</t>
        </is>
      </c>
      <c r="F448" t="inlineStr">
        <is>
          <t>Protestantism and primogeniture in early modern Germany / Paula Sutter Fichtner.</t>
        </is>
      </c>
      <c r="H448" t="inlineStr">
        <is>
          <t>No</t>
        </is>
      </c>
      <c r="I448" t="inlineStr">
        <is>
          <t>1</t>
        </is>
      </c>
      <c r="J448" t="inlineStr">
        <is>
          <t>No</t>
        </is>
      </c>
      <c r="K448" t="inlineStr">
        <is>
          <t>No</t>
        </is>
      </c>
      <c r="L448" t="inlineStr">
        <is>
          <t>0</t>
        </is>
      </c>
      <c r="M448" t="inlineStr">
        <is>
          <t>Fichtner, Paula S.</t>
        </is>
      </c>
      <c r="N448" t="inlineStr">
        <is>
          <t>New Haven : Yale University Press, c1989.</t>
        </is>
      </c>
      <c r="O448" t="inlineStr">
        <is>
          <t>1989</t>
        </is>
      </c>
      <c r="Q448" t="inlineStr">
        <is>
          <t>eng</t>
        </is>
      </c>
      <c r="R448" t="inlineStr">
        <is>
          <t>ctu</t>
        </is>
      </c>
      <c r="T448" t="inlineStr">
        <is>
          <t xml:space="preserve">KK </t>
        </is>
      </c>
      <c r="U448" t="n">
        <v>1</v>
      </c>
      <c r="V448" t="n">
        <v>1</v>
      </c>
      <c r="W448" t="inlineStr">
        <is>
          <t>2006-09-17</t>
        </is>
      </c>
      <c r="X448" t="inlineStr">
        <is>
          <t>2006-09-17</t>
        </is>
      </c>
      <c r="Y448" t="inlineStr">
        <is>
          <t>1990-06-27</t>
        </is>
      </c>
      <c r="Z448" t="inlineStr">
        <is>
          <t>1990-06-27</t>
        </is>
      </c>
      <c r="AA448" t="n">
        <v>472</v>
      </c>
      <c r="AB448" t="n">
        <v>362</v>
      </c>
      <c r="AC448" t="n">
        <v>543</v>
      </c>
      <c r="AD448" t="n">
        <v>3</v>
      </c>
      <c r="AE448" t="n">
        <v>3</v>
      </c>
      <c r="AF448" t="n">
        <v>29</v>
      </c>
      <c r="AG448" t="n">
        <v>37</v>
      </c>
      <c r="AH448" t="n">
        <v>7</v>
      </c>
      <c r="AI448" t="n">
        <v>13</v>
      </c>
      <c r="AJ448" t="n">
        <v>4</v>
      </c>
      <c r="AK448" t="n">
        <v>7</v>
      </c>
      <c r="AL448" t="n">
        <v>15</v>
      </c>
      <c r="AM448" t="n">
        <v>17</v>
      </c>
      <c r="AN448" t="n">
        <v>2</v>
      </c>
      <c r="AO448" t="n">
        <v>2</v>
      </c>
      <c r="AP448" t="n">
        <v>6</v>
      </c>
      <c r="AQ448" t="n">
        <v>6</v>
      </c>
      <c r="AR448" t="inlineStr">
        <is>
          <t>No</t>
        </is>
      </c>
      <c r="AS448" t="inlineStr">
        <is>
          <t>No</t>
        </is>
      </c>
      <c r="AU448">
        <f>HYPERLINK("https://creighton-primo.hosted.exlibrisgroup.com/primo-explore/search?tab=default_tab&amp;search_scope=EVERYTHING&amp;vid=01CRU&amp;lang=en_US&amp;offset=0&amp;query=any,contains,991001442869702656","Catalog Record")</f>
        <v/>
      </c>
      <c r="AV448">
        <f>HYPERLINK("http://www.worldcat.org/oclc/19265093","WorldCat Record")</f>
        <v/>
      </c>
      <c r="AW448" t="inlineStr">
        <is>
          <t>21356786:eng</t>
        </is>
      </c>
      <c r="AX448" t="inlineStr">
        <is>
          <t>19265093</t>
        </is>
      </c>
      <c r="AY448" t="inlineStr">
        <is>
          <t>991001442869702656</t>
        </is>
      </c>
      <c r="AZ448" t="inlineStr">
        <is>
          <t>991001442869702656</t>
        </is>
      </c>
      <c r="BA448" t="inlineStr">
        <is>
          <t>2265158570002656</t>
        </is>
      </c>
      <c r="BB448" t="inlineStr">
        <is>
          <t>BOOK</t>
        </is>
      </c>
      <c r="BD448" t="inlineStr">
        <is>
          <t>9780300044256</t>
        </is>
      </c>
      <c r="BE448" t="inlineStr">
        <is>
          <t>32285000205731</t>
        </is>
      </c>
      <c r="BF448" t="inlineStr">
        <is>
          <t>893509626</t>
        </is>
      </c>
    </row>
    <row r="449">
      <c r="B449" t="inlineStr">
        <is>
          <t>CURAL</t>
        </is>
      </c>
      <c r="C449" t="inlineStr">
        <is>
          <t>SHELVES</t>
        </is>
      </c>
      <c r="D449" t="inlineStr">
        <is>
          <t>KKL0 .B47</t>
        </is>
      </c>
      <c r="E449" t="inlineStr">
        <is>
          <t>0                      KKL0000000B  47</t>
        </is>
      </c>
      <c r="F449" t="inlineStr">
        <is>
          <t>The limits of enlightenment : Joseph II and the law / Paul P. Bernard.</t>
        </is>
      </c>
      <c r="H449" t="inlineStr">
        <is>
          <t>No</t>
        </is>
      </c>
      <c r="I449" t="inlineStr">
        <is>
          <t>1</t>
        </is>
      </c>
      <c r="J449" t="inlineStr">
        <is>
          <t>No</t>
        </is>
      </c>
      <c r="K449" t="inlineStr">
        <is>
          <t>No</t>
        </is>
      </c>
      <c r="L449" t="inlineStr">
        <is>
          <t>0</t>
        </is>
      </c>
      <c r="M449" t="inlineStr">
        <is>
          <t>Bernard, Paul P.</t>
        </is>
      </c>
      <c r="N449" t="inlineStr">
        <is>
          <t>Urbana : University of Illinois Press, c1979.</t>
        </is>
      </c>
      <c r="O449" t="inlineStr">
        <is>
          <t>1979</t>
        </is>
      </c>
      <c r="Q449" t="inlineStr">
        <is>
          <t>eng</t>
        </is>
      </c>
      <c r="R449" t="inlineStr">
        <is>
          <t>ilu</t>
        </is>
      </c>
      <c r="S449" t="inlineStr">
        <is>
          <t>Studies in social security and retirement policy</t>
        </is>
      </c>
      <c r="T449" t="inlineStr">
        <is>
          <t>KKL</t>
        </is>
      </c>
      <c r="U449" t="n">
        <v>1</v>
      </c>
      <c r="V449" t="n">
        <v>1</v>
      </c>
      <c r="W449" t="inlineStr">
        <is>
          <t>2006-04-22</t>
        </is>
      </c>
      <c r="X449" t="inlineStr">
        <is>
          <t>2006-04-22</t>
        </is>
      </c>
      <c r="Y449" t="inlineStr">
        <is>
          <t>1992-07-30</t>
        </is>
      </c>
      <c r="Z449" t="inlineStr">
        <is>
          <t>1992-07-30</t>
        </is>
      </c>
      <c r="AA449" t="n">
        <v>344</v>
      </c>
      <c r="AB449" t="n">
        <v>256</v>
      </c>
      <c r="AC449" t="n">
        <v>256</v>
      </c>
      <c r="AD449" t="n">
        <v>3</v>
      </c>
      <c r="AE449" t="n">
        <v>3</v>
      </c>
      <c r="AF449" t="n">
        <v>22</v>
      </c>
      <c r="AG449" t="n">
        <v>22</v>
      </c>
      <c r="AH449" t="n">
        <v>4</v>
      </c>
      <c r="AI449" t="n">
        <v>4</v>
      </c>
      <c r="AJ449" t="n">
        <v>4</v>
      </c>
      <c r="AK449" t="n">
        <v>4</v>
      </c>
      <c r="AL449" t="n">
        <v>9</v>
      </c>
      <c r="AM449" t="n">
        <v>9</v>
      </c>
      <c r="AN449" t="n">
        <v>2</v>
      </c>
      <c r="AO449" t="n">
        <v>2</v>
      </c>
      <c r="AP449" t="n">
        <v>7</v>
      </c>
      <c r="AQ449" t="n">
        <v>7</v>
      </c>
      <c r="AR449" t="inlineStr">
        <is>
          <t>No</t>
        </is>
      </c>
      <c r="AS449" t="inlineStr">
        <is>
          <t>No</t>
        </is>
      </c>
      <c r="AU449">
        <f>HYPERLINK("https://creighton-primo.hosted.exlibrisgroup.com/primo-explore/search?tab=default_tab&amp;search_scope=EVERYTHING&amp;vid=01CRU&amp;lang=en_US&amp;offset=0&amp;query=any,contains,991004736229702656","Catalog Record")</f>
        <v/>
      </c>
      <c r="AV449">
        <f>HYPERLINK("http://www.worldcat.org/oclc/4857752","WorldCat Record")</f>
        <v/>
      </c>
      <c r="AW449" t="inlineStr">
        <is>
          <t>889434200:eng</t>
        </is>
      </c>
      <c r="AX449" t="inlineStr">
        <is>
          <t>4857752</t>
        </is>
      </c>
      <c r="AY449" t="inlineStr">
        <is>
          <t>991004736229702656</t>
        </is>
      </c>
      <c r="AZ449" t="inlineStr">
        <is>
          <t>991004736229702656</t>
        </is>
      </c>
      <c r="BA449" t="inlineStr">
        <is>
          <t>2266671380002656</t>
        </is>
      </c>
      <c r="BB449" t="inlineStr">
        <is>
          <t>BOOK</t>
        </is>
      </c>
      <c r="BD449" t="inlineStr">
        <is>
          <t>9780252007354</t>
        </is>
      </c>
      <c r="BE449" t="inlineStr">
        <is>
          <t>32285001231496</t>
        </is>
      </c>
      <c r="BF449" t="inlineStr">
        <is>
          <t>893260110</t>
        </is>
      </c>
    </row>
    <row r="450">
      <c r="B450" t="inlineStr">
        <is>
          <t>CURAL</t>
        </is>
      </c>
      <c r="C450" t="inlineStr">
        <is>
          <t>SHELVES</t>
        </is>
      </c>
      <c r="D450" t="inlineStr">
        <is>
          <t>KL4712.A3 E5 1996</t>
        </is>
      </c>
      <c r="E450" t="inlineStr">
        <is>
          <t>0                      KL 4712000A  3                  E  5           1996</t>
        </is>
      </c>
      <c r="F450" t="inlineStr">
        <is>
          <t>Hittite diplomatic texts / by Gary Beckman ; edited by Harry A. Hoffner, Jr.</t>
        </is>
      </c>
      <c r="H450" t="inlineStr">
        <is>
          <t>No</t>
        </is>
      </c>
      <c r="I450" t="inlineStr">
        <is>
          <t>1</t>
        </is>
      </c>
      <c r="J450" t="inlineStr">
        <is>
          <t>No</t>
        </is>
      </c>
      <c r="K450" t="inlineStr">
        <is>
          <t>No</t>
        </is>
      </c>
      <c r="L450" t="inlineStr">
        <is>
          <t>0</t>
        </is>
      </c>
      <c r="M450" t="inlineStr">
        <is>
          <t>Beckman, Gary M.</t>
        </is>
      </c>
      <c r="N450" t="inlineStr">
        <is>
          <t>Atlanta, Ga. : Scholars Press, c1996.</t>
        </is>
      </c>
      <c r="O450" t="inlineStr">
        <is>
          <t>1996</t>
        </is>
      </c>
      <c r="Q450" t="inlineStr">
        <is>
          <t>eng</t>
        </is>
      </c>
      <c r="R450" t="inlineStr">
        <is>
          <t>gau</t>
        </is>
      </c>
      <c r="S450" t="inlineStr">
        <is>
          <t>Writings from the ancient world ; v. 7</t>
        </is>
      </c>
      <c r="T450" t="inlineStr">
        <is>
          <t xml:space="preserve">KL </t>
        </is>
      </c>
      <c r="U450" t="n">
        <v>3</v>
      </c>
      <c r="V450" t="n">
        <v>3</v>
      </c>
      <c r="W450" t="inlineStr">
        <is>
          <t>2007-10-01</t>
        </is>
      </c>
      <c r="X450" t="inlineStr">
        <is>
          <t>2007-10-01</t>
        </is>
      </c>
      <c r="Y450" t="inlineStr">
        <is>
          <t>1998-03-03</t>
        </is>
      </c>
      <c r="Z450" t="inlineStr">
        <is>
          <t>1998-03-03</t>
        </is>
      </c>
      <c r="AA450" t="n">
        <v>234</v>
      </c>
      <c r="AB450" t="n">
        <v>167</v>
      </c>
      <c r="AC450" t="n">
        <v>456</v>
      </c>
      <c r="AD450" t="n">
        <v>2</v>
      </c>
      <c r="AE450" t="n">
        <v>4</v>
      </c>
      <c r="AF450" t="n">
        <v>10</v>
      </c>
      <c r="AG450" t="n">
        <v>28</v>
      </c>
      <c r="AH450" t="n">
        <v>2</v>
      </c>
      <c r="AI450" t="n">
        <v>9</v>
      </c>
      <c r="AJ450" t="n">
        <v>2</v>
      </c>
      <c r="AK450" t="n">
        <v>8</v>
      </c>
      <c r="AL450" t="n">
        <v>3</v>
      </c>
      <c r="AM450" t="n">
        <v>10</v>
      </c>
      <c r="AN450" t="n">
        <v>1</v>
      </c>
      <c r="AO450" t="n">
        <v>3</v>
      </c>
      <c r="AP450" t="n">
        <v>3</v>
      </c>
      <c r="AQ450" t="n">
        <v>3</v>
      </c>
      <c r="AR450" t="inlineStr">
        <is>
          <t>No</t>
        </is>
      </c>
      <c r="AS450" t="inlineStr">
        <is>
          <t>Yes</t>
        </is>
      </c>
      <c r="AT450">
        <f>HYPERLINK("http://catalog.hathitrust.org/Record/003350993","HathiTrust Record")</f>
        <v/>
      </c>
      <c r="AU450">
        <f>HYPERLINK("https://creighton-primo.hosted.exlibrisgroup.com/primo-explore/search?tab=default_tab&amp;search_scope=EVERYTHING&amp;vid=01CRU&amp;lang=en_US&amp;offset=0&amp;query=any,contains,991002537589702656","Catalog Record")</f>
        <v/>
      </c>
      <c r="AV450">
        <f>HYPERLINK("http://www.worldcat.org/oclc/32970196","WorldCat Record")</f>
        <v/>
      </c>
      <c r="AW450" t="inlineStr">
        <is>
          <t>14468132:eng</t>
        </is>
      </c>
      <c r="AX450" t="inlineStr">
        <is>
          <t>32970196</t>
        </is>
      </c>
      <c r="AY450" t="inlineStr">
        <is>
          <t>991002537589702656</t>
        </is>
      </c>
      <c r="AZ450" t="inlineStr">
        <is>
          <t>991002537589702656</t>
        </is>
      </c>
      <c r="BA450" t="inlineStr">
        <is>
          <t>2268863050002656</t>
        </is>
      </c>
      <c r="BB450" t="inlineStr">
        <is>
          <t>BOOK</t>
        </is>
      </c>
      <c r="BD450" t="inlineStr">
        <is>
          <t>9780788501531</t>
        </is>
      </c>
      <c r="BE450" t="inlineStr">
        <is>
          <t>32285003356267</t>
        </is>
      </c>
      <c r="BF450" t="inlineStr">
        <is>
          <t>893427698</t>
        </is>
      </c>
    </row>
    <row r="451">
      <c r="B451" t="inlineStr">
        <is>
          <t>CURAL</t>
        </is>
      </c>
      <c r="C451" t="inlineStr">
        <is>
          <t>SHELVES</t>
        </is>
      </c>
      <c r="D451" t="inlineStr">
        <is>
          <t>KLA2688.A31738 A7 1972</t>
        </is>
      </c>
      <c r="E451" t="inlineStr">
        <is>
          <t>0                      KLA2688000A  31738              A  7           1972</t>
        </is>
      </c>
      <c r="F451" t="inlineStr">
        <is>
          <t>The spiritual regulation of Peter the Great / translated and edited by Alexander V. Muller.</t>
        </is>
      </c>
      <c r="H451" t="inlineStr">
        <is>
          <t>No</t>
        </is>
      </c>
      <c r="I451" t="inlineStr">
        <is>
          <t>1</t>
        </is>
      </c>
      <c r="J451" t="inlineStr">
        <is>
          <t>No</t>
        </is>
      </c>
      <c r="K451" t="inlineStr">
        <is>
          <t>No</t>
        </is>
      </c>
      <c r="L451" t="inlineStr">
        <is>
          <t>0</t>
        </is>
      </c>
      <c r="M451" t="inlineStr">
        <is>
          <t>Russia.</t>
        </is>
      </c>
      <c r="N451" t="inlineStr">
        <is>
          <t>Seattle : University of Washington Press, [1972]</t>
        </is>
      </c>
      <c r="O451" t="inlineStr">
        <is>
          <t>1972</t>
        </is>
      </c>
      <c r="Q451" t="inlineStr">
        <is>
          <t>eng</t>
        </is>
      </c>
      <c r="R451" t="inlineStr">
        <is>
          <t>wau</t>
        </is>
      </c>
      <c r="S451" t="inlineStr">
        <is>
          <t>Publications on Russia and Eastern Europe of the Institute for Comparative and Foreign Area Studies ; no. 3</t>
        </is>
      </c>
      <c r="T451" t="inlineStr">
        <is>
          <t>KLA</t>
        </is>
      </c>
      <c r="U451" t="n">
        <v>3</v>
      </c>
      <c r="V451" t="n">
        <v>3</v>
      </c>
      <c r="W451" t="inlineStr">
        <is>
          <t>2003-12-04</t>
        </is>
      </c>
      <c r="X451" t="inlineStr">
        <is>
          <t>2003-12-04</t>
        </is>
      </c>
      <c r="Y451" t="inlineStr">
        <is>
          <t>1999-10-26</t>
        </is>
      </c>
      <c r="Z451" t="inlineStr">
        <is>
          <t>1999-10-26</t>
        </is>
      </c>
      <c r="AA451" t="n">
        <v>536</v>
      </c>
      <c r="AB451" t="n">
        <v>451</v>
      </c>
      <c r="AC451" t="n">
        <v>453</v>
      </c>
      <c r="AD451" t="n">
        <v>5</v>
      </c>
      <c r="AE451" t="n">
        <v>5</v>
      </c>
      <c r="AF451" t="n">
        <v>30</v>
      </c>
      <c r="AG451" t="n">
        <v>30</v>
      </c>
      <c r="AH451" t="n">
        <v>7</v>
      </c>
      <c r="AI451" t="n">
        <v>7</v>
      </c>
      <c r="AJ451" t="n">
        <v>8</v>
      </c>
      <c r="AK451" t="n">
        <v>8</v>
      </c>
      <c r="AL451" t="n">
        <v>17</v>
      </c>
      <c r="AM451" t="n">
        <v>17</v>
      </c>
      <c r="AN451" t="n">
        <v>3</v>
      </c>
      <c r="AO451" t="n">
        <v>3</v>
      </c>
      <c r="AP451" t="n">
        <v>3</v>
      </c>
      <c r="AQ451" t="n">
        <v>3</v>
      </c>
      <c r="AR451" t="inlineStr">
        <is>
          <t>No</t>
        </is>
      </c>
      <c r="AS451" t="inlineStr">
        <is>
          <t>No</t>
        </is>
      </c>
      <c r="AU451">
        <f>HYPERLINK("https://creighton-primo.hosted.exlibrisgroup.com/primo-explore/search?tab=default_tab&amp;search_scope=EVERYTHING&amp;vid=01CRU&amp;lang=en_US&amp;offset=0&amp;query=any,contains,991002394319702656","Catalog Record")</f>
        <v/>
      </c>
      <c r="AV451">
        <f>HYPERLINK("http://www.worldcat.org/oclc/333673","WorldCat Record")</f>
        <v/>
      </c>
      <c r="AW451" t="inlineStr">
        <is>
          <t>1443574:eng</t>
        </is>
      </c>
      <c r="AX451" t="inlineStr">
        <is>
          <t>333673</t>
        </is>
      </c>
      <c r="AY451" t="inlineStr">
        <is>
          <t>991002394319702656</t>
        </is>
      </c>
      <c r="AZ451" t="inlineStr">
        <is>
          <t>991002394319702656</t>
        </is>
      </c>
      <c r="BA451" t="inlineStr">
        <is>
          <t>2258019950002656</t>
        </is>
      </c>
      <c r="BB451" t="inlineStr">
        <is>
          <t>BOOK</t>
        </is>
      </c>
      <c r="BD451" t="inlineStr">
        <is>
          <t>9780295952376</t>
        </is>
      </c>
      <c r="BE451" t="inlineStr">
        <is>
          <t>32285003613824</t>
        </is>
      </c>
      <c r="BF451" t="inlineStr">
        <is>
          <t>893251161</t>
        </is>
      </c>
    </row>
    <row r="452">
      <c r="B452" t="inlineStr">
        <is>
          <t>CURAL</t>
        </is>
      </c>
      <c r="C452" t="inlineStr">
        <is>
          <t>SHELVES</t>
        </is>
      </c>
      <c r="D452" t="inlineStr">
        <is>
          <t>KMK110.A38 L34 1997</t>
        </is>
      </c>
      <c r="E452" t="inlineStr">
        <is>
          <t>0                      KMK0110000A  38                 L  34          1997</t>
        </is>
      </c>
      <c r="F452" t="inlineStr">
        <is>
          <t>Judgment in Jerusalem : chief justice Simon Agranat and the Zionist century / Pnina Lahav.</t>
        </is>
      </c>
      <c r="H452" t="inlineStr">
        <is>
          <t>No</t>
        </is>
      </c>
      <c r="I452" t="inlineStr">
        <is>
          <t>1</t>
        </is>
      </c>
      <c r="J452" t="inlineStr">
        <is>
          <t>No</t>
        </is>
      </c>
      <c r="K452" t="inlineStr">
        <is>
          <t>No</t>
        </is>
      </c>
      <c r="L452" t="inlineStr">
        <is>
          <t>0</t>
        </is>
      </c>
      <c r="M452" t="inlineStr">
        <is>
          <t>Lahav, Pnina, 1945-</t>
        </is>
      </c>
      <c r="N452" t="inlineStr">
        <is>
          <t>Berkeley, Calif. : University of California Press, c1997.</t>
        </is>
      </c>
      <c r="O452" t="inlineStr">
        <is>
          <t>1997</t>
        </is>
      </c>
      <c r="Q452" t="inlineStr">
        <is>
          <t>eng</t>
        </is>
      </c>
      <c r="R452" t="inlineStr">
        <is>
          <t>cau</t>
        </is>
      </c>
      <c r="T452" t="inlineStr">
        <is>
          <t>KMK</t>
        </is>
      </c>
      <c r="U452" t="n">
        <v>1</v>
      </c>
      <c r="V452" t="n">
        <v>1</v>
      </c>
      <c r="W452" t="inlineStr">
        <is>
          <t>2008-05-22</t>
        </is>
      </c>
      <c r="X452" t="inlineStr">
        <is>
          <t>2008-05-22</t>
        </is>
      </c>
      <c r="Y452" t="inlineStr">
        <is>
          <t>2008-05-22</t>
        </is>
      </c>
      <c r="Z452" t="inlineStr">
        <is>
          <t>2008-05-22</t>
        </is>
      </c>
      <c r="AA452" t="n">
        <v>350</v>
      </c>
      <c r="AB452" t="n">
        <v>274</v>
      </c>
      <c r="AC452" t="n">
        <v>631</v>
      </c>
      <c r="AD452" t="n">
        <v>2</v>
      </c>
      <c r="AE452" t="n">
        <v>2</v>
      </c>
      <c r="AF452" t="n">
        <v>19</v>
      </c>
      <c r="AG452" t="n">
        <v>23</v>
      </c>
      <c r="AH452" t="n">
        <v>2</v>
      </c>
      <c r="AI452" t="n">
        <v>5</v>
      </c>
      <c r="AJ452" t="n">
        <v>6</v>
      </c>
      <c r="AK452" t="n">
        <v>6</v>
      </c>
      <c r="AL452" t="n">
        <v>7</v>
      </c>
      <c r="AM452" t="n">
        <v>8</v>
      </c>
      <c r="AN452" t="n">
        <v>1</v>
      </c>
      <c r="AO452" t="n">
        <v>1</v>
      </c>
      <c r="AP452" t="n">
        <v>7</v>
      </c>
      <c r="AQ452" t="n">
        <v>7</v>
      </c>
      <c r="AR452" t="inlineStr">
        <is>
          <t>No</t>
        </is>
      </c>
      <c r="AS452" t="inlineStr">
        <is>
          <t>No</t>
        </is>
      </c>
      <c r="AU452">
        <f>HYPERLINK("https://creighton-primo.hosted.exlibrisgroup.com/primo-explore/search?tab=default_tab&amp;search_scope=EVERYTHING&amp;vid=01CRU&amp;lang=en_US&amp;offset=0&amp;query=any,contains,991005225969702656","Catalog Record")</f>
        <v/>
      </c>
      <c r="AV452">
        <f>HYPERLINK("http://www.worldcat.org/oclc/36123644","WorldCat Record")</f>
        <v/>
      </c>
      <c r="AW452" t="inlineStr">
        <is>
          <t>554528:eng</t>
        </is>
      </c>
      <c r="AX452" t="inlineStr">
        <is>
          <t>36123644</t>
        </is>
      </c>
      <c r="AY452" t="inlineStr">
        <is>
          <t>991005225969702656</t>
        </is>
      </c>
      <c r="AZ452" t="inlineStr">
        <is>
          <t>991005225969702656</t>
        </is>
      </c>
      <c r="BA452" t="inlineStr">
        <is>
          <t>2261491170002656</t>
        </is>
      </c>
      <c r="BB452" t="inlineStr">
        <is>
          <t>BOOK</t>
        </is>
      </c>
      <c r="BD452" t="inlineStr">
        <is>
          <t>9780520205956</t>
        </is>
      </c>
      <c r="BE452" t="inlineStr">
        <is>
          <t>32285005440275</t>
        </is>
      </c>
      <c r="BF452" t="inlineStr">
        <is>
          <t>893688801</t>
        </is>
      </c>
    </row>
    <row r="453">
      <c r="B453" t="inlineStr">
        <is>
          <t>CURAL</t>
        </is>
      </c>
      <c r="C453" t="inlineStr">
        <is>
          <t>SHELVES</t>
        </is>
      </c>
      <c r="D453" t="inlineStr">
        <is>
          <t>KNN1155 .A958 1995</t>
        </is>
      </c>
      <c r="E453" t="inlineStr">
        <is>
          <t>0                      KNN1155000A  958         1995</t>
        </is>
      </c>
      <c r="F453" t="inlineStr">
        <is>
          <t>To steal a book is an elegant offense : intellectual property law in Chinese civilization / William P. Alford.</t>
        </is>
      </c>
      <c r="H453" t="inlineStr">
        <is>
          <t>No</t>
        </is>
      </c>
      <c r="I453" t="inlineStr">
        <is>
          <t>1</t>
        </is>
      </c>
      <c r="J453" t="inlineStr">
        <is>
          <t>No</t>
        </is>
      </c>
      <c r="K453" t="inlineStr">
        <is>
          <t>No</t>
        </is>
      </c>
      <c r="L453" t="inlineStr">
        <is>
          <t>0</t>
        </is>
      </c>
      <c r="M453" t="inlineStr">
        <is>
          <t>Alford, William P.</t>
        </is>
      </c>
      <c r="N453" t="inlineStr">
        <is>
          <t>Stanford, Calif. : Stanford University Press, 1995.</t>
        </is>
      </c>
      <c r="O453" t="inlineStr">
        <is>
          <t>1995</t>
        </is>
      </c>
      <c r="Q453" t="inlineStr">
        <is>
          <t>eng</t>
        </is>
      </c>
      <c r="R453" t="inlineStr">
        <is>
          <t>cau</t>
        </is>
      </c>
      <c r="S453" t="inlineStr">
        <is>
          <t>Studies in East Asian law</t>
        </is>
      </c>
      <c r="T453" t="inlineStr">
        <is>
          <t>KNN</t>
        </is>
      </c>
      <c r="U453" t="n">
        <v>5</v>
      </c>
      <c r="V453" t="n">
        <v>5</v>
      </c>
      <c r="W453" t="inlineStr">
        <is>
          <t>2003-03-04</t>
        </is>
      </c>
      <c r="X453" t="inlineStr">
        <is>
          <t>2003-03-04</t>
        </is>
      </c>
      <c r="Y453" t="inlineStr">
        <is>
          <t>1996-09-03</t>
        </is>
      </c>
      <c r="Z453" t="inlineStr">
        <is>
          <t>1996-09-03</t>
        </is>
      </c>
      <c r="AA453" t="n">
        <v>467</v>
      </c>
      <c r="AB453" t="n">
        <v>354</v>
      </c>
      <c r="AC453" t="n">
        <v>354</v>
      </c>
      <c r="AD453" t="n">
        <v>2</v>
      </c>
      <c r="AE453" t="n">
        <v>2</v>
      </c>
      <c r="AF453" t="n">
        <v>24</v>
      </c>
      <c r="AG453" t="n">
        <v>24</v>
      </c>
      <c r="AH453" t="n">
        <v>4</v>
      </c>
      <c r="AI453" t="n">
        <v>4</v>
      </c>
      <c r="AJ453" t="n">
        <v>3</v>
      </c>
      <c r="AK453" t="n">
        <v>3</v>
      </c>
      <c r="AL453" t="n">
        <v>6</v>
      </c>
      <c r="AM453" t="n">
        <v>6</v>
      </c>
      <c r="AN453" t="n">
        <v>1</v>
      </c>
      <c r="AO453" t="n">
        <v>1</v>
      </c>
      <c r="AP453" t="n">
        <v>13</v>
      </c>
      <c r="AQ453" t="n">
        <v>13</v>
      </c>
      <c r="AR453" t="inlineStr">
        <is>
          <t>No</t>
        </is>
      </c>
      <c r="AS453" t="inlineStr">
        <is>
          <t>No</t>
        </is>
      </c>
      <c r="AU453">
        <f>HYPERLINK("https://creighton-primo.hosted.exlibrisgroup.com/primo-explore/search?tab=default_tab&amp;search_scope=EVERYTHING&amp;vid=01CRU&amp;lang=en_US&amp;offset=0&amp;query=any,contains,991002327809702656","Catalog Record")</f>
        <v/>
      </c>
      <c r="AV453">
        <f>HYPERLINK("http://www.worldcat.org/oclc/30318594","WorldCat Record")</f>
        <v/>
      </c>
      <c r="AW453" t="inlineStr">
        <is>
          <t>889917329:eng</t>
        </is>
      </c>
      <c r="AX453" t="inlineStr">
        <is>
          <t>30318594</t>
        </is>
      </c>
      <c r="AY453" t="inlineStr">
        <is>
          <t>991002327809702656</t>
        </is>
      </c>
      <c r="AZ453" t="inlineStr">
        <is>
          <t>991002327809702656</t>
        </is>
      </c>
      <c r="BA453" t="inlineStr">
        <is>
          <t>2265334220002656</t>
        </is>
      </c>
      <c r="BB453" t="inlineStr">
        <is>
          <t>BOOK</t>
        </is>
      </c>
      <c r="BD453" t="inlineStr">
        <is>
          <t>9780804722704</t>
        </is>
      </c>
      <c r="BE453" t="inlineStr">
        <is>
          <t>32285002293883</t>
        </is>
      </c>
      <c r="BF453" t="inlineStr">
        <is>
          <t>893615989</t>
        </is>
      </c>
    </row>
    <row r="454">
      <c r="B454" t="inlineStr">
        <is>
          <t>CURAL</t>
        </is>
      </c>
      <c r="C454" t="inlineStr">
        <is>
          <t>SHELVES</t>
        </is>
      </c>
      <c r="D454" t="inlineStr">
        <is>
          <t>KNX3202 .L28 2000</t>
        </is>
      </c>
      <c r="E454" t="inlineStr">
        <is>
          <t>0                      KNX3202000L  28          2000</t>
        </is>
      </c>
      <c r="F454" t="inlineStr">
        <is>
          <t>Law and investment in Japan : cases and materials / Yukio Yanagida ... et al.].</t>
        </is>
      </c>
      <c r="H454" t="inlineStr">
        <is>
          <t>No</t>
        </is>
      </c>
      <c r="I454" t="inlineStr">
        <is>
          <t>1</t>
        </is>
      </c>
      <c r="J454" t="inlineStr">
        <is>
          <t>Yes</t>
        </is>
      </c>
      <c r="K454" t="inlineStr">
        <is>
          <t>No</t>
        </is>
      </c>
      <c r="L454" t="inlineStr">
        <is>
          <t>0</t>
        </is>
      </c>
      <c r="M454" t="inlineStr">
        <is>
          <t>Yanagida, Yukio.</t>
        </is>
      </c>
      <c r="N454" t="inlineStr">
        <is>
          <t>Cambridge, Mass. : East Asian Legal Studies Program, Harvard Law School : Distributed by Harvard University Press, 2000.</t>
        </is>
      </c>
      <c r="O454" t="inlineStr">
        <is>
          <t>2000</t>
        </is>
      </c>
      <c r="P454" t="inlineStr">
        <is>
          <t>2nd ed.</t>
        </is>
      </c>
      <c r="Q454" t="inlineStr">
        <is>
          <t>eng</t>
        </is>
      </c>
      <c r="R454" t="inlineStr">
        <is>
          <t>mau</t>
        </is>
      </c>
      <c r="S454" t="inlineStr">
        <is>
          <t>Studies in East Asian law</t>
        </is>
      </c>
      <c r="T454" t="inlineStr">
        <is>
          <t>KNX</t>
        </is>
      </c>
      <c r="U454" t="n">
        <v>1</v>
      </c>
      <c r="V454" t="n">
        <v>2</v>
      </c>
      <c r="W454" t="inlineStr">
        <is>
          <t>2004-10-13</t>
        </is>
      </c>
      <c r="X454" t="inlineStr">
        <is>
          <t>2004-10-13</t>
        </is>
      </c>
      <c r="Y454" t="inlineStr">
        <is>
          <t>2004-10-13</t>
        </is>
      </c>
      <c r="Z454" t="inlineStr">
        <is>
          <t>2004-10-13</t>
        </is>
      </c>
      <c r="AA454" t="n">
        <v>99</v>
      </c>
      <c r="AB454" t="n">
        <v>71</v>
      </c>
      <c r="AC454" t="n">
        <v>177</v>
      </c>
      <c r="AD454" t="n">
        <v>1</v>
      </c>
      <c r="AE454" t="n">
        <v>2</v>
      </c>
      <c r="AF454" t="n">
        <v>3</v>
      </c>
      <c r="AG454" t="n">
        <v>12</v>
      </c>
      <c r="AH454" t="n">
        <v>0</v>
      </c>
      <c r="AI454" t="n">
        <v>1</v>
      </c>
      <c r="AJ454" t="n">
        <v>0</v>
      </c>
      <c r="AK454" t="n">
        <v>0</v>
      </c>
      <c r="AL454" t="n">
        <v>0</v>
      </c>
      <c r="AM454" t="n">
        <v>0</v>
      </c>
      <c r="AN454" t="n">
        <v>0</v>
      </c>
      <c r="AO454" t="n">
        <v>1</v>
      </c>
      <c r="AP454" t="n">
        <v>3</v>
      </c>
      <c r="AQ454" t="n">
        <v>10</v>
      </c>
      <c r="AR454" t="inlineStr">
        <is>
          <t>No</t>
        </is>
      </c>
      <c r="AS454" t="inlineStr">
        <is>
          <t>Yes</t>
        </is>
      </c>
      <c r="AT454">
        <f>HYPERLINK("http://catalog.hathitrust.org/Record/007242105","HathiTrust Record")</f>
        <v/>
      </c>
      <c r="AU454">
        <f>HYPERLINK("https://creighton-primo.hosted.exlibrisgroup.com/primo-explore/search?tab=default_tab&amp;search_scope=EVERYTHING&amp;vid=01CRU&amp;lang=en_US&amp;offset=0&amp;query=any,contains,991004346119702656","Catalog Record")</f>
        <v/>
      </c>
      <c r="AV454">
        <f>HYPERLINK("http://www.worldcat.org/oclc/46515081","WorldCat Record")</f>
        <v/>
      </c>
      <c r="AW454" t="inlineStr">
        <is>
          <t>837036896:eng</t>
        </is>
      </c>
      <c r="AX454" t="inlineStr">
        <is>
          <t>46515081</t>
        </is>
      </c>
      <c r="AY454" t="inlineStr">
        <is>
          <t>991004346119702656</t>
        </is>
      </c>
      <c r="AZ454" t="inlineStr">
        <is>
          <t>991004346119702656</t>
        </is>
      </c>
      <c r="BA454" t="inlineStr">
        <is>
          <t>2267986130002656</t>
        </is>
      </c>
      <c r="BB454" t="inlineStr">
        <is>
          <t>BOOK</t>
        </is>
      </c>
      <c r="BD454" t="inlineStr">
        <is>
          <t>9780674005099</t>
        </is>
      </c>
      <c r="BE454" t="inlineStr">
        <is>
          <t>32285005004170</t>
        </is>
      </c>
      <c r="BF454" t="inlineStr">
        <is>
          <t>893532290</t>
        </is>
      </c>
    </row>
    <row r="455">
      <c r="B455" t="inlineStr">
        <is>
          <t>CURAL</t>
        </is>
      </c>
      <c r="C455" t="inlineStr">
        <is>
          <t>SHELVES</t>
        </is>
      </c>
      <c r="D455" t="inlineStr">
        <is>
          <t>KNX3202 .L28 2000</t>
        </is>
      </c>
      <c r="E455" t="inlineStr">
        <is>
          <t>0                      KNX3202000L  28          2000</t>
        </is>
      </c>
      <c r="F455" t="inlineStr">
        <is>
          <t>Law and investment in Japan : cases and materials / Yukio Yanagida ... et al.].</t>
        </is>
      </c>
      <c r="H455" t="inlineStr">
        <is>
          <t>No</t>
        </is>
      </c>
      <c r="I455" t="inlineStr">
        <is>
          <t>1</t>
        </is>
      </c>
      <c r="J455" t="inlineStr">
        <is>
          <t>Yes</t>
        </is>
      </c>
      <c r="K455" t="inlineStr">
        <is>
          <t>No</t>
        </is>
      </c>
      <c r="L455" t="inlineStr">
        <is>
          <t>0</t>
        </is>
      </c>
      <c r="M455" t="inlineStr">
        <is>
          <t>Yanagida, Yukio.</t>
        </is>
      </c>
      <c r="N455" t="inlineStr">
        <is>
          <t>Cambridge, Mass. : East Asian Legal Studies Program, Harvard Law School : Distributed by Harvard University Press, 2000.</t>
        </is>
      </c>
      <c r="O455" t="inlineStr">
        <is>
          <t>2000</t>
        </is>
      </c>
      <c r="P455" t="inlineStr">
        <is>
          <t>2nd ed.</t>
        </is>
      </c>
      <c r="Q455" t="inlineStr">
        <is>
          <t>eng</t>
        </is>
      </c>
      <c r="R455" t="inlineStr">
        <is>
          <t>mau</t>
        </is>
      </c>
      <c r="S455" t="inlineStr">
        <is>
          <t>Studies in East Asian law</t>
        </is>
      </c>
      <c r="T455" t="inlineStr">
        <is>
          <t>KNX</t>
        </is>
      </c>
      <c r="U455" t="n">
        <v>1</v>
      </c>
      <c r="V455" t="n">
        <v>2</v>
      </c>
      <c r="W455" t="inlineStr">
        <is>
          <t>2004-10-13</t>
        </is>
      </c>
      <c r="X455" t="inlineStr">
        <is>
          <t>2004-10-13</t>
        </is>
      </c>
      <c r="Y455" t="inlineStr">
        <is>
          <t>2004-10-13</t>
        </is>
      </c>
      <c r="Z455" t="inlineStr">
        <is>
          <t>2004-10-13</t>
        </is>
      </c>
      <c r="AA455" t="n">
        <v>99</v>
      </c>
      <c r="AB455" t="n">
        <v>71</v>
      </c>
      <c r="AC455" t="n">
        <v>177</v>
      </c>
      <c r="AD455" t="n">
        <v>1</v>
      </c>
      <c r="AE455" t="n">
        <v>2</v>
      </c>
      <c r="AF455" t="n">
        <v>3</v>
      </c>
      <c r="AG455" t="n">
        <v>12</v>
      </c>
      <c r="AH455" t="n">
        <v>0</v>
      </c>
      <c r="AI455" t="n">
        <v>1</v>
      </c>
      <c r="AJ455" t="n">
        <v>0</v>
      </c>
      <c r="AK455" t="n">
        <v>0</v>
      </c>
      <c r="AL455" t="n">
        <v>0</v>
      </c>
      <c r="AM455" t="n">
        <v>0</v>
      </c>
      <c r="AN455" t="n">
        <v>0</v>
      </c>
      <c r="AO455" t="n">
        <v>1</v>
      </c>
      <c r="AP455" t="n">
        <v>3</v>
      </c>
      <c r="AQ455" t="n">
        <v>10</v>
      </c>
      <c r="AR455" t="inlineStr">
        <is>
          <t>No</t>
        </is>
      </c>
      <c r="AS455" t="inlineStr">
        <is>
          <t>Yes</t>
        </is>
      </c>
      <c r="AT455">
        <f>HYPERLINK("http://catalog.hathitrust.org/Record/007242105","HathiTrust Record")</f>
        <v/>
      </c>
      <c r="AU455">
        <f>HYPERLINK("https://creighton-primo.hosted.exlibrisgroup.com/primo-explore/search?tab=default_tab&amp;search_scope=EVERYTHING&amp;vid=01CRU&amp;lang=en_US&amp;offset=0&amp;query=any,contains,991004346119702656","Catalog Record")</f>
        <v/>
      </c>
      <c r="AV455">
        <f>HYPERLINK("http://www.worldcat.org/oclc/46515081","WorldCat Record")</f>
        <v/>
      </c>
      <c r="AW455" t="inlineStr">
        <is>
          <t>837036896:eng</t>
        </is>
      </c>
      <c r="AX455" t="inlineStr">
        <is>
          <t>46515081</t>
        </is>
      </c>
      <c r="AY455" t="inlineStr">
        <is>
          <t>991004346119702656</t>
        </is>
      </c>
      <c r="AZ455" t="inlineStr">
        <is>
          <t>991004346119702656</t>
        </is>
      </c>
      <c r="BA455" t="inlineStr">
        <is>
          <t>2267986130002656</t>
        </is>
      </c>
      <c r="BB455" t="inlineStr">
        <is>
          <t>BOOK</t>
        </is>
      </c>
      <c r="BD455" t="inlineStr">
        <is>
          <t>9780674005099</t>
        </is>
      </c>
      <c r="BE455" t="inlineStr">
        <is>
          <t>32285005004188</t>
        </is>
      </c>
      <c r="BF455" t="inlineStr">
        <is>
          <t>893532291</t>
        </is>
      </c>
    </row>
    <row r="456">
      <c r="B456" t="inlineStr">
        <is>
          <t>CURAL</t>
        </is>
      </c>
      <c r="C456" t="inlineStr">
        <is>
          <t>SHELVES</t>
        </is>
      </c>
      <c r="D456" t="inlineStr">
        <is>
          <t>KQP0 .H46</t>
        </is>
      </c>
      <c r="E456" t="inlineStr">
        <is>
          <t>0                      KQP0000000H  46</t>
        </is>
      </c>
      <c r="F456" t="inlineStr">
        <is>
          <t>Foreign enterprise in Japan: laws and policies.</t>
        </is>
      </c>
      <c r="H456" t="inlineStr">
        <is>
          <t>No</t>
        </is>
      </c>
      <c r="I456" t="inlineStr">
        <is>
          <t>1</t>
        </is>
      </c>
      <c r="J456" t="inlineStr">
        <is>
          <t>No</t>
        </is>
      </c>
      <c r="K456" t="inlineStr">
        <is>
          <t>No</t>
        </is>
      </c>
      <c r="L456" t="inlineStr">
        <is>
          <t>0</t>
        </is>
      </c>
      <c r="M456" t="inlineStr">
        <is>
          <t>Henderson, Dan Fenno, 1921-2001.</t>
        </is>
      </c>
      <c r="N456" t="inlineStr">
        <is>
          <t>Chapel Hill, University of North Carolina Press [1973]</t>
        </is>
      </c>
      <c r="O456" t="inlineStr">
        <is>
          <t>1973</t>
        </is>
      </c>
      <c r="Q456" t="inlineStr">
        <is>
          <t>eng</t>
        </is>
      </c>
      <c r="R456" t="inlineStr">
        <is>
          <t>ncu</t>
        </is>
      </c>
      <c r="S456" t="inlineStr">
        <is>
          <t>Studies in foreign investment and economic development</t>
        </is>
      </c>
      <c r="T456" t="inlineStr">
        <is>
          <t>KQP</t>
        </is>
      </c>
      <c r="U456" t="n">
        <v>1</v>
      </c>
      <c r="V456" t="n">
        <v>1</v>
      </c>
      <c r="W456" t="inlineStr">
        <is>
          <t>2008-01-14</t>
        </is>
      </c>
      <c r="X456" t="inlineStr">
        <is>
          <t>2008-01-14</t>
        </is>
      </c>
      <c r="Y456" t="inlineStr">
        <is>
          <t>1992-07-30</t>
        </is>
      </c>
      <c r="Z456" t="inlineStr">
        <is>
          <t>1992-07-30</t>
        </is>
      </c>
      <c r="AA456" t="n">
        <v>478</v>
      </c>
      <c r="AB456" t="n">
        <v>376</v>
      </c>
      <c r="AC456" t="n">
        <v>381</v>
      </c>
      <c r="AD456" t="n">
        <v>3</v>
      </c>
      <c r="AE456" t="n">
        <v>4</v>
      </c>
      <c r="AF456" t="n">
        <v>19</v>
      </c>
      <c r="AG456" t="n">
        <v>20</v>
      </c>
      <c r="AH456" t="n">
        <v>2</v>
      </c>
      <c r="AI456" t="n">
        <v>2</v>
      </c>
      <c r="AJ456" t="n">
        <v>3</v>
      </c>
      <c r="AK456" t="n">
        <v>3</v>
      </c>
      <c r="AL456" t="n">
        <v>6</v>
      </c>
      <c r="AM456" t="n">
        <v>6</v>
      </c>
      <c r="AN456" t="n">
        <v>2</v>
      </c>
      <c r="AO456" t="n">
        <v>3</v>
      </c>
      <c r="AP456" t="n">
        <v>9</v>
      </c>
      <c r="AQ456" t="n">
        <v>9</v>
      </c>
      <c r="AR456" t="inlineStr">
        <is>
          <t>No</t>
        </is>
      </c>
      <c r="AS456" t="inlineStr">
        <is>
          <t>Yes</t>
        </is>
      </c>
      <c r="AT456">
        <f>HYPERLINK("http://catalog.hathitrust.org/Record/001128884","HathiTrust Record")</f>
        <v/>
      </c>
      <c r="AU456">
        <f>HYPERLINK("https://creighton-primo.hosted.exlibrisgroup.com/primo-explore/search?tab=default_tab&amp;search_scope=EVERYTHING&amp;vid=01CRU&amp;lang=en_US&amp;offset=0&amp;query=any,contains,991003003449702656","Catalog Record")</f>
        <v/>
      </c>
      <c r="AV456">
        <f>HYPERLINK("http://www.worldcat.org/oclc/570582","WorldCat Record")</f>
        <v/>
      </c>
      <c r="AW456" t="inlineStr">
        <is>
          <t>1671712:eng</t>
        </is>
      </c>
      <c r="AX456" t="inlineStr">
        <is>
          <t>570582</t>
        </is>
      </c>
      <c r="AY456" t="inlineStr">
        <is>
          <t>991003003449702656</t>
        </is>
      </c>
      <c r="AZ456" t="inlineStr">
        <is>
          <t>991003003449702656</t>
        </is>
      </c>
      <c r="BA456" t="inlineStr">
        <is>
          <t>2269734750002656</t>
        </is>
      </c>
      <c r="BB456" t="inlineStr">
        <is>
          <t>BOOK</t>
        </is>
      </c>
      <c r="BD456" t="inlineStr">
        <is>
          <t>9780807812105</t>
        </is>
      </c>
      <c r="BE456" t="inlineStr">
        <is>
          <t>32285001231736</t>
        </is>
      </c>
      <c r="BF456" t="inlineStr">
        <is>
          <t>893323632</t>
        </is>
      </c>
    </row>
    <row r="457">
      <c r="B457" t="inlineStr">
        <is>
          <t>CURAL</t>
        </is>
      </c>
      <c r="C457" t="inlineStr">
        <is>
          <t>SHELVES</t>
        </is>
      </c>
      <c r="D457" t="inlineStr">
        <is>
          <t>KTL1572 .S33 1973</t>
        </is>
      </c>
      <c r="E457" t="inlineStr">
        <is>
          <t>0                      KTL1572000S  33          1973</t>
        </is>
      </c>
      <c r="F457" t="inlineStr">
        <is>
          <t>Justice in South Africa / by Albie Sachs.</t>
        </is>
      </c>
      <c r="H457" t="inlineStr">
        <is>
          <t>No</t>
        </is>
      </c>
      <c r="I457" t="inlineStr">
        <is>
          <t>1</t>
        </is>
      </c>
      <c r="J457" t="inlineStr">
        <is>
          <t>No</t>
        </is>
      </c>
      <c r="K457" t="inlineStr">
        <is>
          <t>No</t>
        </is>
      </c>
      <c r="L457" t="inlineStr">
        <is>
          <t>0</t>
        </is>
      </c>
      <c r="M457" t="inlineStr">
        <is>
          <t>Sachs, Albie, 1935-</t>
        </is>
      </c>
      <c r="N457" t="inlineStr">
        <is>
          <t>Berkeley : University of California Press, [1973]</t>
        </is>
      </c>
      <c r="O457" t="inlineStr">
        <is>
          <t>1973</t>
        </is>
      </c>
      <c r="Q457" t="inlineStr">
        <is>
          <t>eng</t>
        </is>
      </c>
      <c r="R457" t="inlineStr">
        <is>
          <t>cau</t>
        </is>
      </c>
      <c r="S457" t="inlineStr">
        <is>
          <t>Perspectives on Southern Africa ; 12</t>
        </is>
      </c>
      <c r="T457" t="inlineStr">
        <is>
          <t>KTL</t>
        </is>
      </c>
      <c r="U457" t="n">
        <v>5</v>
      </c>
      <c r="V457" t="n">
        <v>5</v>
      </c>
      <c r="W457" t="inlineStr">
        <is>
          <t>2009-05-05</t>
        </is>
      </c>
      <c r="X457" t="inlineStr">
        <is>
          <t>2009-05-05</t>
        </is>
      </c>
      <c r="Y457" t="inlineStr">
        <is>
          <t>1999-07-19</t>
        </is>
      </c>
      <c r="Z457" t="inlineStr">
        <is>
          <t>1999-07-19</t>
        </is>
      </c>
      <c r="AA457" t="n">
        <v>597</v>
      </c>
      <c r="AB457" t="n">
        <v>522</v>
      </c>
      <c r="AC457" t="n">
        <v>828</v>
      </c>
      <c r="AD457" t="n">
        <v>4</v>
      </c>
      <c r="AE457" t="n">
        <v>5</v>
      </c>
      <c r="AF457" t="n">
        <v>30</v>
      </c>
      <c r="AG457" t="n">
        <v>39</v>
      </c>
      <c r="AH457" t="n">
        <v>7</v>
      </c>
      <c r="AI457" t="n">
        <v>12</v>
      </c>
      <c r="AJ457" t="n">
        <v>7</v>
      </c>
      <c r="AK457" t="n">
        <v>9</v>
      </c>
      <c r="AL457" t="n">
        <v>11</v>
      </c>
      <c r="AM457" t="n">
        <v>14</v>
      </c>
      <c r="AN457" t="n">
        <v>2</v>
      </c>
      <c r="AO457" t="n">
        <v>3</v>
      </c>
      <c r="AP457" t="n">
        <v>9</v>
      </c>
      <c r="AQ457" t="n">
        <v>9</v>
      </c>
      <c r="AR457" t="inlineStr">
        <is>
          <t>No</t>
        </is>
      </c>
      <c r="AS457" t="inlineStr">
        <is>
          <t>No</t>
        </is>
      </c>
      <c r="AU457">
        <f>HYPERLINK("https://creighton-primo.hosted.exlibrisgroup.com/primo-explore/search?tab=default_tab&amp;search_scope=EVERYTHING&amp;vid=01CRU&amp;lang=en_US&amp;offset=0&amp;query=any,contains,991003274799702656","Catalog Record")</f>
        <v/>
      </c>
      <c r="AV457">
        <f>HYPERLINK("http://www.worldcat.org/oclc/799478","WorldCat Record")</f>
        <v/>
      </c>
      <c r="AW457" t="inlineStr">
        <is>
          <t>500773:eng</t>
        </is>
      </c>
      <c r="AX457" t="inlineStr">
        <is>
          <t>799478</t>
        </is>
      </c>
      <c r="AY457" t="inlineStr">
        <is>
          <t>991003274799702656</t>
        </is>
      </c>
      <c r="AZ457" t="inlineStr">
        <is>
          <t>991003274799702656</t>
        </is>
      </c>
      <c r="BA457" t="inlineStr">
        <is>
          <t>2266894430002656</t>
        </is>
      </c>
      <c r="BB457" t="inlineStr">
        <is>
          <t>BOOK</t>
        </is>
      </c>
      <c r="BD457" t="inlineStr">
        <is>
          <t>9780520024175</t>
        </is>
      </c>
      <c r="BE457" t="inlineStr">
        <is>
          <t>32285003578548</t>
        </is>
      </c>
      <c r="BF457" t="inlineStr">
        <is>
          <t>893434832</t>
        </is>
      </c>
    </row>
    <row r="458">
      <c r="B458" t="inlineStr">
        <is>
          <t>CURAL</t>
        </is>
      </c>
      <c r="C458" t="inlineStr">
        <is>
          <t>SHELVES</t>
        </is>
      </c>
      <c r="D458" t="inlineStr">
        <is>
          <t>KTL2465 .A93 1995</t>
        </is>
      </c>
      <c r="E458" t="inlineStr">
        <is>
          <t>0                      KTL2465000A  93          1995</t>
        </is>
      </c>
      <c r="F458" t="inlineStr">
        <is>
          <t>Politics by other means : law in the struggle against apartheid, 1980-1994 / Richard L. Abel ; with a foreword by Nelson Mandela.</t>
        </is>
      </c>
      <c r="H458" t="inlineStr">
        <is>
          <t>No</t>
        </is>
      </c>
      <c r="I458" t="inlineStr">
        <is>
          <t>1</t>
        </is>
      </c>
      <c r="J458" t="inlineStr">
        <is>
          <t>No</t>
        </is>
      </c>
      <c r="K458" t="inlineStr">
        <is>
          <t>No</t>
        </is>
      </c>
      <c r="L458" t="inlineStr">
        <is>
          <t>0</t>
        </is>
      </c>
      <c r="M458" t="inlineStr">
        <is>
          <t>Abel, Richard L.</t>
        </is>
      </c>
      <c r="N458" t="inlineStr">
        <is>
          <t>New York : Routledge, 1995.</t>
        </is>
      </c>
      <c r="O458" t="inlineStr">
        <is>
          <t>1995</t>
        </is>
      </c>
      <c r="Q458" t="inlineStr">
        <is>
          <t>eng</t>
        </is>
      </c>
      <c r="R458" t="inlineStr">
        <is>
          <t>nyu</t>
        </is>
      </c>
      <c r="S458" t="inlineStr">
        <is>
          <t>After the law</t>
        </is>
      </c>
      <c r="T458" t="inlineStr">
        <is>
          <t>KTL</t>
        </is>
      </c>
      <c r="U458" t="n">
        <v>2</v>
      </c>
      <c r="V458" t="n">
        <v>2</v>
      </c>
      <c r="W458" t="inlineStr">
        <is>
          <t>2003-06-17</t>
        </is>
      </c>
      <c r="X458" t="inlineStr">
        <is>
          <t>2003-06-17</t>
        </is>
      </c>
      <c r="Y458" t="inlineStr">
        <is>
          <t>1995-10-19</t>
        </is>
      </c>
      <c r="Z458" t="inlineStr">
        <is>
          <t>1995-10-19</t>
        </is>
      </c>
      <c r="AA458" t="n">
        <v>365</v>
      </c>
      <c r="AB458" t="n">
        <v>257</v>
      </c>
      <c r="AC458" t="n">
        <v>289</v>
      </c>
      <c r="AD458" t="n">
        <v>1</v>
      </c>
      <c r="AE458" t="n">
        <v>1</v>
      </c>
      <c r="AF458" t="n">
        <v>24</v>
      </c>
      <c r="AG458" t="n">
        <v>25</v>
      </c>
      <c r="AH458" t="n">
        <v>5</v>
      </c>
      <c r="AI458" t="n">
        <v>5</v>
      </c>
      <c r="AJ458" t="n">
        <v>3</v>
      </c>
      <c r="AK458" t="n">
        <v>3</v>
      </c>
      <c r="AL458" t="n">
        <v>9</v>
      </c>
      <c r="AM458" t="n">
        <v>9</v>
      </c>
      <c r="AN458" t="n">
        <v>0</v>
      </c>
      <c r="AO458" t="n">
        <v>0</v>
      </c>
      <c r="AP458" t="n">
        <v>12</v>
      </c>
      <c r="AQ458" t="n">
        <v>13</v>
      </c>
      <c r="AR458" t="inlineStr">
        <is>
          <t>No</t>
        </is>
      </c>
      <c r="AS458" t="inlineStr">
        <is>
          <t>No</t>
        </is>
      </c>
      <c r="AU458">
        <f>HYPERLINK("https://creighton-primo.hosted.exlibrisgroup.com/primo-explore/search?tab=default_tab&amp;search_scope=EVERYTHING&amp;vid=01CRU&amp;lang=en_US&amp;offset=0&amp;query=any,contains,991002373539702656","Catalog Record")</f>
        <v/>
      </c>
      <c r="AV458">
        <f>HYPERLINK("http://www.worldcat.org/oclc/30892440","WorldCat Record")</f>
        <v/>
      </c>
      <c r="AW458" t="inlineStr">
        <is>
          <t>33265747:eng</t>
        </is>
      </c>
      <c r="AX458" t="inlineStr">
        <is>
          <t>30892440</t>
        </is>
      </c>
      <c r="AY458" t="inlineStr">
        <is>
          <t>991002373539702656</t>
        </is>
      </c>
      <c r="AZ458" t="inlineStr">
        <is>
          <t>991002373539702656</t>
        </is>
      </c>
      <c r="BA458" t="inlineStr">
        <is>
          <t>2270128910002656</t>
        </is>
      </c>
      <c r="BB458" t="inlineStr">
        <is>
          <t>BOOK</t>
        </is>
      </c>
      <c r="BD458" t="inlineStr">
        <is>
          <t>9780415908160</t>
        </is>
      </c>
      <c r="BE458" t="inlineStr">
        <is>
          <t>32285002068848</t>
        </is>
      </c>
      <c r="BF458" t="inlineStr">
        <is>
          <t>893716368</t>
        </is>
      </c>
    </row>
    <row r="459">
      <c r="B459" t="inlineStr">
        <is>
          <t>CURAL</t>
        </is>
      </c>
      <c r="C459" t="inlineStr">
        <is>
          <t>SHELVES</t>
        </is>
      </c>
      <c r="D459" t="inlineStr">
        <is>
          <t>KTL3060 .N6 1990</t>
        </is>
      </c>
      <c r="E459" t="inlineStr">
        <is>
          <t>0                      KTL3060000N  6           1990</t>
        </is>
      </c>
      <c r="F459" t="inlineStr">
        <is>
          <t>No place to rest : forced removals and the law in South Africa / edited by Christina Murray and Catherine O'Regan.</t>
        </is>
      </c>
      <c r="H459" t="inlineStr">
        <is>
          <t>No</t>
        </is>
      </c>
      <c r="I459" t="inlineStr">
        <is>
          <t>1</t>
        </is>
      </c>
      <c r="J459" t="inlineStr">
        <is>
          <t>No</t>
        </is>
      </c>
      <c r="K459" t="inlineStr">
        <is>
          <t>No</t>
        </is>
      </c>
      <c r="L459" t="inlineStr">
        <is>
          <t>0</t>
        </is>
      </c>
      <c r="N459" t="inlineStr">
        <is>
          <t>Cape Town : Oxford University Press in association with the Labour Law Unit, University of Cape Town, 1990.</t>
        </is>
      </c>
      <c r="O459" t="inlineStr">
        <is>
          <t>1990</t>
        </is>
      </c>
      <c r="Q459" t="inlineStr">
        <is>
          <t>eng</t>
        </is>
      </c>
      <c r="R459" t="inlineStr">
        <is>
          <t xml:space="preserve">sa </t>
        </is>
      </c>
      <c r="S459" t="inlineStr">
        <is>
          <t>Contemporary South African debates</t>
        </is>
      </c>
      <c r="T459" t="inlineStr">
        <is>
          <t>KTL</t>
        </is>
      </c>
      <c r="U459" t="n">
        <v>1</v>
      </c>
      <c r="V459" t="n">
        <v>1</v>
      </c>
      <c r="W459" t="inlineStr">
        <is>
          <t>2010-05-28</t>
        </is>
      </c>
      <c r="X459" t="inlineStr">
        <is>
          <t>2010-05-28</t>
        </is>
      </c>
      <c r="Y459" t="inlineStr">
        <is>
          <t>1992-06-30</t>
        </is>
      </c>
      <c r="Z459" t="inlineStr">
        <is>
          <t>1992-06-30</t>
        </is>
      </c>
      <c r="AA459" t="n">
        <v>325</v>
      </c>
      <c r="AB459" t="n">
        <v>209</v>
      </c>
      <c r="AC459" t="n">
        <v>211</v>
      </c>
      <c r="AD459" t="n">
        <v>2</v>
      </c>
      <c r="AE459" t="n">
        <v>2</v>
      </c>
      <c r="AF459" t="n">
        <v>14</v>
      </c>
      <c r="AG459" t="n">
        <v>14</v>
      </c>
      <c r="AH459" t="n">
        <v>0</v>
      </c>
      <c r="AI459" t="n">
        <v>0</v>
      </c>
      <c r="AJ459" t="n">
        <v>2</v>
      </c>
      <c r="AK459" t="n">
        <v>2</v>
      </c>
      <c r="AL459" t="n">
        <v>4</v>
      </c>
      <c r="AM459" t="n">
        <v>4</v>
      </c>
      <c r="AN459" t="n">
        <v>1</v>
      </c>
      <c r="AO459" t="n">
        <v>1</v>
      </c>
      <c r="AP459" t="n">
        <v>8</v>
      </c>
      <c r="AQ459" t="n">
        <v>8</v>
      </c>
      <c r="AR459" t="inlineStr">
        <is>
          <t>No</t>
        </is>
      </c>
      <c r="AS459" t="inlineStr">
        <is>
          <t>Yes</t>
        </is>
      </c>
      <c r="AT459">
        <f>HYPERLINK("http://catalog.hathitrust.org/Record/002430448","HathiTrust Record")</f>
        <v/>
      </c>
      <c r="AU459">
        <f>HYPERLINK("https://creighton-primo.hosted.exlibrisgroup.com/primo-explore/search?tab=default_tab&amp;search_scope=EVERYTHING&amp;vid=01CRU&amp;lang=en_US&amp;offset=0&amp;query=any,contains,991001774309702656","Catalog Record")</f>
        <v/>
      </c>
      <c r="AV459">
        <f>HYPERLINK("http://www.worldcat.org/oclc/22399071","WorldCat Record")</f>
        <v/>
      </c>
      <c r="AW459" t="inlineStr">
        <is>
          <t>837072167:eng</t>
        </is>
      </c>
      <c r="AX459" t="inlineStr">
        <is>
          <t>22399071</t>
        </is>
      </c>
      <c r="AY459" t="inlineStr">
        <is>
          <t>991001774309702656</t>
        </is>
      </c>
      <c r="AZ459" t="inlineStr">
        <is>
          <t>991001774309702656</t>
        </is>
      </c>
      <c r="BA459" t="inlineStr">
        <is>
          <t>2270493760002656</t>
        </is>
      </c>
      <c r="BB459" t="inlineStr">
        <is>
          <t>BOOK</t>
        </is>
      </c>
      <c r="BD459" t="inlineStr">
        <is>
          <t>9780195705805</t>
        </is>
      </c>
      <c r="BE459" t="inlineStr">
        <is>
          <t>32285001156727</t>
        </is>
      </c>
      <c r="BF459" t="inlineStr">
        <is>
          <t>893256501</t>
        </is>
      </c>
    </row>
    <row r="460">
      <c r="B460" t="inlineStr">
        <is>
          <t>CURAL</t>
        </is>
      </c>
      <c r="C460" t="inlineStr">
        <is>
          <t>SHELVES</t>
        </is>
      </c>
      <c r="D460" t="inlineStr">
        <is>
          <t>KZ1203.A12 P76 1996</t>
        </is>
      </c>
      <c r="E460" t="inlineStr">
        <is>
          <t>0                      KZ 1203000A  12                 P  76          1996</t>
        </is>
      </c>
      <c r="F460" t="inlineStr">
        <is>
          <t>The prosecution of international crimes / edited by Roger S. Clark and Madeleine Sann.</t>
        </is>
      </c>
      <c r="H460" t="inlineStr">
        <is>
          <t>No</t>
        </is>
      </c>
      <c r="I460" t="inlineStr">
        <is>
          <t>1</t>
        </is>
      </c>
      <c r="J460" t="inlineStr">
        <is>
          <t>No</t>
        </is>
      </c>
      <c r="K460" t="inlineStr">
        <is>
          <t>No</t>
        </is>
      </c>
      <c r="L460" t="inlineStr">
        <is>
          <t>0</t>
        </is>
      </c>
      <c r="N460" t="inlineStr">
        <is>
          <t>New Brunswick, U.S.A. : Transaction Publishers, c1996.</t>
        </is>
      </c>
      <c r="O460" t="inlineStr">
        <is>
          <t>1996</t>
        </is>
      </c>
      <c r="Q460" t="inlineStr">
        <is>
          <t>eng</t>
        </is>
      </c>
      <c r="R460" t="inlineStr">
        <is>
          <t>nju</t>
        </is>
      </c>
      <c r="T460" t="inlineStr">
        <is>
          <t xml:space="preserve">KZ </t>
        </is>
      </c>
      <c r="U460" t="n">
        <v>3</v>
      </c>
      <c r="V460" t="n">
        <v>3</v>
      </c>
      <c r="W460" t="inlineStr">
        <is>
          <t>2003-10-16</t>
        </is>
      </c>
      <c r="X460" t="inlineStr">
        <is>
          <t>2003-10-16</t>
        </is>
      </c>
      <c r="Y460" t="inlineStr">
        <is>
          <t>1998-12-07</t>
        </is>
      </c>
      <c r="Z460" t="inlineStr">
        <is>
          <t>1998-12-07</t>
        </is>
      </c>
      <c r="AA460" t="n">
        <v>301</v>
      </c>
      <c r="AB460" t="n">
        <v>224</v>
      </c>
      <c r="AC460" t="n">
        <v>259</v>
      </c>
      <c r="AD460" t="n">
        <v>1</v>
      </c>
      <c r="AE460" t="n">
        <v>1</v>
      </c>
      <c r="AF460" t="n">
        <v>17</v>
      </c>
      <c r="AG460" t="n">
        <v>18</v>
      </c>
      <c r="AH460" t="n">
        <v>3</v>
      </c>
      <c r="AI460" t="n">
        <v>4</v>
      </c>
      <c r="AJ460" t="n">
        <v>4</v>
      </c>
      <c r="AK460" t="n">
        <v>4</v>
      </c>
      <c r="AL460" t="n">
        <v>3</v>
      </c>
      <c r="AM460" t="n">
        <v>4</v>
      </c>
      <c r="AN460" t="n">
        <v>0</v>
      </c>
      <c r="AO460" t="n">
        <v>0</v>
      </c>
      <c r="AP460" t="n">
        <v>9</v>
      </c>
      <c r="AQ460" t="n">
        <v>9</v>
      </c>
      <c r="AR460" t="inlineStr">
        <is>
          <t>No</t>
        </is>
      </c>
      <c r="AS460" t="inlineStr">
        <is>
          <t>No</t>
        </is>
      </c>
      <c r="AU460">
        <f>HYPERLINK("https://creighton-primo.hosted.exlibrisgroup.com/primo-explore/search?tab=default_tab&amp;search_scope=EVERYTHING&amp;vid=01CRU&amp;lang=en_US&amp;offset=0&amp;query=any,contains,991002610729702656","Catalog Record")</f>
        <v/>
      </c>
      <c r="AV460">
        <f>HYPERLINK("http://www.worldcat.org/oclc/34193065","WorldCat Record")</f>
        <v/>
      </c>
      <c r="AW460" t="inlineStr">
        <is>
          <t>365709493:eng</t>
        </is>
      </c>
      <c r="AX460" t="inlineStr">
        <is>
          <t>34193065</t>
        </is>
      </c>
      <c r="AY460" t="inlineStr">
        <is>
          <t>991002610729702656</t>
        </is>
      </c>
      <c r="AZ460" t="inlineStr">
        <is>
          <t>991002610729702656</t>
        </is>
      </c>
      <c r="BA460" t="inlineStr">
        <is>
          <t>2260381070002656</t>
        </is>
      </c>
      <c r="BB460" t="inlineStr">
        <is>
          <t>BOOK</t>
        </is>
      </c>
      <c r="BD460" t="inlineStr">
        <is>
          <t>9781560002697</t>
        </is>
      </c>
      <c r="BE460" t="inlineStr">
        <is>
          <t>32285003494019</t>
        </is>
      </c>
      <c r="BF460" t="inlineStr">
        <is>
          <t>893773804</t>
        </is>
      </c>
    </row>
    <row r="461">
      <c r="B461" t="inlineStr">
        <is>
          <t>CURAL</t>
        </is>
      </c>
      <c r="C461" t="inlineStr">
        <is>
          <t>SHELVES</t>
        </is>
      </c>
      <c r="D461" t="inlineStr">
        <is>
          <t>KZ1293 .M46 1992</t>
        </is>
      </c>
      <c r="E461" t="inlineStr">
        <is>
          <t>0                      KZ 1293000M  46          1992</t>
        </is>
      </c>
      <c r="F461" t="inlineStr">
        <is>
          <t>The law of treaties between states and international organizations / P.K. Menon.</t>
        </is>
      </c>
      <c r="H461" t="inlineStr">
        <is>
          <t>No</t>
        </is>
      </c>
      <c r="I461" t="inlineStr">
        <is>
          <t>1</t>
        </is>
      </c>
      <c r="J461" t="inlineStr">
        <is>
          <t>No</t>
        </is>
      </c>
      <c r="K461" t="inlineStr">
        <is>
          <t>No</t>
        </is>
      </c>
      <c r="L461" t="inlineStr">
        <is>
          <t>0</t>
        </is>
      </c>
      <c r="M461" t="inlineStr">
        <is>
          <t>Menon, P. K.</t>
        </is>
      </c>
      <c r="N461" t="inlineStr">
        <is>
          <t>Lewiston, N.Y. : Edwin Mellen Press, c1992.</t>
        </is>
      </c>
      <c r="O461" t="inlineStr">
        <is>
          <t>1992</t>
        </is>
      </c>
      <c r="Q461" t="inlineStr">
        <is>
          <t>eng</t>
        </is>
      </c>
      <c r="R461" t="inlineStr">
        <is>
          <t>nyu</t>
        </is>
      </c>
      <c r="T461" t="inlineStr">
        <is>
          <t xml:space="preserve">KZ </t>
        </is>
      </c>
      <c r="U461" t="n">
        <v>1</v>
      </c>
      <c r="V461" t="n">
        <v>1</v>
      </c>
      <c r="W461" t="inlineStr">
        <is>
          <t>2004-10-14</t>
        </is>
      </c>
      <c r="X461" t="inlineStr">
        <is>
          <t>2004-10-14</t>
        </is>
      </c>
      <c r="Y461" t="inlineStr">
        <is>
          <t>2004-10-14</t>
        </is>
      </c>
      <c r="Z461" t="inlineStr">
        <is>
          <t>2004-10-14</t>
        </is>
      </c>
      <c r="AA461" t="n">
        <v>197</v>
      </c>
      <c r="AB461" t="n">
        <v>147</v>
      </c>
      <c r="AC461" t="n">
        <v>149</v>
      </c>
      <c r="AD461" t="n">
        <v>2</v>
      </c>
      <c r="AE461" t="n">
        <v>2</v>
      </c>
      <c r="AF461" t="n">
        <v>12</v>
      </c>
      <c r="AG461" t="n">
        <v>12</v>
      </c>
      <c r="AH461" t="n">
        <v>2</v>
      </c>
      <c r="AI461" t="n">
        <v>2</v>
      </c>
      <c r="AJ461" t="n">
        <v>0</v>
      </c>
      <c r="AK461" t="n">
        <v>0</v>
      </c>
      <c r="AL461" t="n">
        <v>2</v>
      </c>
      <c r="AM461" t="n">
        <v>2</v>
      </c>
      <c r="AN461" t="n">
        <v>1</v>
      </c>
      <c r="AO461" t="n">
        <v>1</v>
      </c>
      <c r="AP461" t="n">
        <v>9</v>
      </c>
      <c r="AQ461" t="n">
        <v>9</v>
      </c>
      <c r="AR461" t="inlineStr">
        <is>
          <t>No</t>
        </is>
      </c>
      <c r="AS461" t="inlineStr">
        <is>
          <t>Yes</t>
        </is>
      </c>
      <c r="AT461">
        <f>HYPERLINK("http://catalog.hathitrust.org/Record/002574043","HathiTrust Record")</f>
        <v/>
      </c>
      <c r="AU461">
        <f>HYPERLINK("https://creighton-primo.hosted.exlibrisgroup.com/primo-explore/search?tab=default_tab&amp;search_scope=EVERYTHING&amp;vid=01CRU&amp;lang=en_US&amp;offset=0&amp;query=any,contains,991004348079702656","Catalog Record")</f>
        <v/>
      </c>
      <c r="AV461">
        <f>HYPERLINK("http://www.worldcat.org/oclc/26096185","WorldCat Record")</f>
        <v/>
      </c>
      <c r="AW461" t="inlineStr">
        <is>
          <t>20620899:eng</t>
        </is>
      </c>
      <c r="AX461" t="inlineStr">
        <is>
          <t>26096185</t>
        </is>
      </c>
      <c r="AY461" t="inlineStr">
        <is>
          <t>991004348079702656</t>
        </is>
      </c>
      <c r="AZ461" t="inlineStr">
        <is>
          <t>991004348079702656</t>
        </is>
      </c>
      <c r="BA461" t="inlineStr">
        <is>
          <t>2268208950002656</t>
        </is>
      </c>
      <c r="BB461" t="inlineStr">
        <is>
          <t>BOOK</t>
        </is>
      </c>
      <c r="BD461" t="inlineStr">
        <is>
          <t>9780773495906</t>
        </is>
      </c>
      <c r="BE461" t="inlineStr">
        <is>
          <t>32285005004436</t>
        </is>
      </c>
      <c r="BF461" t="inlineStr">
        <is>
          <t>893599740</t>
        </is>
      </c>
    </row>
    <row r="462">
      <c r="B462" t="inlineStr">
        <is>
          <t>CURAL</t>
        </is>
      </c>
      <c r="C462" t="inlineStr">
        <is>
          <t>SHELVES</t>
        </is>
      </c>
      <c r="D462" t="inlineStr">
        <is>
          <t>KZ238.A2 A54</t>
        </is>
      </c>
      <c r="E462" t="inlineStr">
        <is>
          <t>0                      KZ 0238000A  2                  A  54</t>
        </is>
      </c>
      <c r="F462" t="inlineStr">
        <is>
          <t>American international law cases.</t>
        </is>
      </c>
      <c r="H462" t="inlineStr">
        <is>
          <t>Yes</t>
        </is>
      </c>
      <c r="I462" t="inlineStr">
        <is>
          <t>1</t>
        </is>
      </c>
      <c r="J462" t="inlineStr">
        <is>
          <t>Yes</t>
        </is>
      </c>
      <c r="K462" t="inlineStr">
        <is>
          <t>No</t>
        </is>
      </c>
      <c r="L462" t="inlineStr">
        <is>
          <t>0</t>
        </is>
      </c>
      <c r="N462" t="inlineStr">
        <is>
          <t>Dobbs Ferry, N.Y., Oceana Publications, 1971-c1986.</t>
        </is>
      </c>
      <c r="O462" t="inlineStr">
        <is>
          <t>1971</t>
        </is>
      </c>
      <c r="Q462" t="inlineStr">
        <is>
          <t>eng</t>
        </is>
      </c>
      <c r="R462" t="inlineStr">
        <is>
          <t>nyu</t>
        </is>
      </c>
      <c r="T462" t="inlineStr">
        <is>
          <t xml:space="preserve">KZ </t>
        </is>
      </c>
      <c r="U462" t="n">
        <v>1</v>
      </c>
      <c r="V462" t="n">
        <v>38</v>
      </c>
      <c r="X462" t="inlineStr">
        <is>
          <t>2002-01-21</t>
        </is>
      </c>
      <c r="Y462" t="inlineStr">
        <is>
          <t>1992-02-12</t>
        </is>
      </c>
      <c r="Z462" t="inlineStr">
        <is>
          <t>1992-09-10</t>
        </is>
      </c>
      <c r="AA462" t="n">
        <v>273</v>
      </c>
      <c r="AB462" t="n">
        <v>239</v>
      </c>
      <c r="AC462" t="n">
        <v>240</v>
      </c>
      <c r="AD462" t="n">
        <v>4</v>
      </c>
      <c r="AE462" t="n">
        <v>4</v>
      </c>
      <c r="AF462" t="n">
        <v>21</v>
      </c>
      <c r="AG462" t="n">
        <v>21</v>
      </c>
      <c r="AH462" t="n">
        <v>0</v>
      </c>
      <c r="AI462" t="n">
        <v>0</v>
      </c>
      <c r="AJ462" t="n">
        <v>2</v>
      </c>
      <c r="AK462" t="n">
        <v>2</v>
      </c>
      <c r="AL462" t="n">
        <v>4</v>
      </c>
      <c r="AM462" t="n">
        <v>4</v>
      </c>
      <c r="AN462" t="n">
        <v>2</v>
      </c>
      <c r="AO462" t="n">
        <v>2</v>
      </c>
      <c r="AP462" t="n">
        <v>15</v>
      </c>
      <c r="AQ462" t="n">
        <v>15</v>
      </c>
      <c r="AR462" t="inlineStr">
        <is>
          <t>No</t>
        </is>
      </c>
      <c r="AS462" t="inlineStr">
        <is>
          <t>Yes</t>
        </is>
      </c>
      <c r="AT462">
        <f>HYPERLINK("http://catalog.hathitrust.org/Record/010055235","HathiTrust Record")</f>
        <v/>
      </c>
      <c r="AU462">
        <f>HYPERLINK("https://creighton-primo.hosted.exlibrisgroup.com/primo-explore/search?tab=default_tab&amp;search_scope=EVERYTHING&amp;vid=01CRU&amp;lang=en_US&amp;offset=0&amp;query=any,contains,991001789789702656","Catalog Record")</f>
        <v/>
      </c>
      <c r="AV462">
        <f>HYPERLINK("http://www.worldcat.org/oclc/210049","WorldCat Record")</f>
        <v/>
      </c>
      <c r="AW462" t="inlineStr">
        <is>
          <t>10677877278:eng</t>
        </is>
      </c>
      <c r="AX462" t="inlineStr">
        <is>
          <t>210049</t>
        </is>
      </c>
      <c r="AY462" t="inlineStr">
        <is>
          <t>991001789789702656</t>
        </is>
      </c>
      <c r="AZ462" t="inlineStr">
        <is>
          <t>991001789789702656</t>
        </is>
      </c>
      <c r="BA462" t="inlineStr">
        <is>
          <t>2261961420002656</t>
        </is>
      </c>
      <c r="BB462" t="inlineStr">
        <is>
          <t>BOOK</t>
        </is>
      </c>
      <c r="BD462" t="inlineStr">
        <is>
          <t>9780379200751</t>
        </is>
      </c>
      <c r="BE462" t="inlineStr">
        <is>
          <t>32285000957281</t>
        </is>
      </c>
      <c r="BF462" t="inlineStr">
        <is>
          <t>893885556</t>
        </is>
      </c>
    </row>
    <row r="463">
      <c r="B463" t="inlineStr">
        <is>
          <t>CURAL</t>
        </is>
      </c>
      <c r="C463" t="inlineStr">
        <is>
          <t>SHELVES</t>
        </is>
      </c>
      <c r="D463" t="inlineStr">
        <is>
          <t>KZ3405.I24 A34 1999</t>
        </is>
      </c>
      <c r="E463" t="inlineStr">
        <is>
          <t>0                      KZ 3405000I  24                 A  34          1999</t>
        </is>
      </c>
      <c r="F463" t="inlineStr">
        <is>
          <t>Fundamentals of international law / Jude Ibegbu.</t>
        </is>
      </c>
      <c r="H463" t="inlineStr">
        <is>
          <t>No</t>
        </is>
      </c>
      <c r="I463" t="inlineStr">
        <is>
          <t>1</t>
        </is>
      </c>
      <c r="J463" t="inlineStr">
        <is>
          <t>No</t>
        </is>
      </c>
      <c r="K463" t="inlineStr">
        <is>
          <t>No</t>
        </is>
      </c>
      <c r="L463" t="inlineStr">
        <is>
          <t>0</t>
        </is>
      </c>
      <c r="M463" t="inlineStr">
        <is>
          <t>Ibegbu, Jude, 1954-</t>
        </is>
      </c>
      <c r="N463" t="inlineStr">
        <is>
          <t>Lewiston, N.Y. : Edwin Mellen Press, c1999.</t>
        </is>
      </c>
      <c r="O463" t="inlineStr">
        <is>
          <t>1999</t>
        </is>
      </c>
      <c r="Q463" t="inlineStr">
        <is>
          <t>eng</t>
        </is>
      </c>
      <c r="R463" t="inlineStr">
        <is>
          <t>nyu</t>
        </is>
      </c>
      <c r="T463" t="inlineStr">
        <is>
          <t xml:space="preserve">KZ </t>
        </is>
      </c>
      <c r="U463" t="n">
        <v>1</v>
      </c>
      <c r="V463" t="n">
        <v>1</v>
      </c>
      <c r="W463" t="inlineStr">
        <is>
          <t>2005-05-10</t>
        </is>
      </c>
      <c r="X463" t="inlineStr">
        <is>
          <t>2005-05-10</t>
        </is>
      </c>
      <c r="Y463" t="inlineStr">
        <is>
          <t>2005-05-10</t>
        </is>
      </c>
      <c r="Z463" t="inlineStr">
        <is>
          <t>2005-05-10</t>
        </is>
      </c>
      <c r="AA463" t="n">
        <v>91</v>
      </c>
      <c r="AB463" t="n">
        <v>83</v>
      </c>
      <c r="AC463" t="n">
        <v>100</v>
      </c>
      <c r="AD463" t="n">
        <v>1</v>
      </c>
      <c r="AE463" t="n">
        <v>1</v>
      </c>
      <c r="AF463" t="n">
        <v>8</v>
      </c>
      <c r="AG463" t="n">
        <v>9</v>
      </c>
      <c r="AH463" t="n">
        <v>1</v>
      </c>
      <c r="AI463" t="n">
        <v>2</v>
      </c>
      <c r="AJ463" t="n">
        <v>0</v>
      </c>
      <c r="AK463" t="n">
        <v>0</v>
      </c>
      <c r="AL463" t="n">
        <v>2</v>
      </c>
      <c r="AM463" t="n">
        <v>3</v>
      </c>
      <c r="AN463" t="n">
        <v>0</v>
      </c>
      <c r="AO463" t="n">
        <v>0</v>
      </c>
      <c r="AP463" t="n">
        <v>6</v>
      </c>
      <c r="AQ463" t="n">
        <v>6</v>
      </c>
      <c r="AR463" t="inlineStr">
        <is>
          <t>No</t>
        </is>
      </c>
      <c r="AS463" t="inlineStr">
        <is>
          <t>Yes</t>
        </is>
      </c>
      <c r="AT463">
        <f>HYPERLINK("http://catalog.hathitrust.org/Record/004050557","HathiTrust Record")</f>
        <v/>
      </c>
      <c r="AU463">
        <f>HYPERLINK("https://creighton-primo.hosted.exlibrisgroup.com/primo-explore/search?tab=default_tab&amp;search_scope=EVERYTHING&amp;vid=01CRU&amp;lang=en_US&amp;offset=0&amp;query=any,contains,991004348049702656","Catalog Record")</f>
        <v/>
      </c>
      <c r="AV463">
        <f>HYPERLINK("http://www.worldcat.org/oclc/40682247","WorldCat Record")</f>
        <v/>
      </c>
      <c r="AW463" t="inlineStr">
        <is>
          <t>9282707:eng</t>
        </is>
      </c>
      <c r="AX463" t="inlineStr">
        <is>
          <t>40682247</t>
        </is>
      </c>
      <c r="AY463" t="inlineStr">
        <is>
          <t>991004348049702656</t>
        </is>
      </c>
      <c r="AZ463" t="inlineStr">
        <is>
          <t>991004348049702656</t>
        </is>
      </c>
      <c r="BA463" t="inlineStr">
        <is>
          <t>2264462230002656</t>
        </is>
      </c>
      <c r="BB463" t="inlineStr">
        <is>
          <t>BOOK</t>
        </is>
      </c>
      <c r="BD463" t="inlineStr">
        <is>
          <t>9780773481756</t>
        </is>
      </c>
      <c r="BE463" t="inlineStr">
        <is>
          <t>32285005034839</t>
        </is>
      </c>
      <c r="BF463" t="inlineStr">
        <is>
          <t>893618557</t>
        </is>
      </c>
    </row>
    <row r="464">
      <c r="B464" t="inlineStr">
        <is>
          <t>CURAL</t>
        </is>
      </c>
      <c r="C464" t="inlineStr">
        <is>
          <t>SHELVES</t>
        </is>
      </c>
      <c r="D464" t="inlineStr">
        <is>
          <t>KZ4993 .U55 1997</t>
        </is>
      </c>
      <c r="E464" t="inlineStr">
        <is>
          <t>0                      KZ 4993000U  55          1997</t>
        </is>
      </c>
      <c r="F464" t="inlineStr">
        <is>
          <t>The United Nations and international law / edited by Christopher C. Joyner.</t>
        </is>
      </c>
      <c r="H464" t="inlineStr">
        <is>
          <t>No</t>
        </is>
      </c>
      <c r="I464" t="inlineStr">
        <is>
          <t>1</t>
        </is>
      </c>
      <c r="J464" t="inlineStr">
        <is>
          <t>No</t>
        </is>
      </c>
      <c r="K464" t="inlineStr">
        <is>
          <t>No</t>
        </is>
      </c>
      <c r="L464" t="inlineStr">
        <is>
          <t>0</t>
        </is>
      </c>
      <c r="N464" t="inlineStr">
        <is>
          <t>[Washington, D.C.] : American Society of International Law ; Cambridge [England] : Cambridge University Press, 1997.</t>
        </is>
      </c>
      <c r="O464" t="inlineStr">
        <is>
          <t>1997</t>
        </is>
      </c>
      <c r="Q464" t="inlineStr">
        <is>
          <t>eng</t>
        </is>
      </c>
      <c r="R464" t="inlineStr">
        <is>
          <t>dcu</t>
        </is>
      </c>
      <c r="T464" t="inlineStr">
        <is>
          <t xml:space="preserve">KZ </t>
        </is>
      </c>
      <c r="U464" t="n">
        <v>2</v>
      </c>
      <c r="V464" t="n">
        <v>2</v>
      </c>
      <c r="W464" t="inlineStr">
        <is>
          <t>2003-11-24</t>
        </is>
      </c>
      <c r="X464" t="inlineStr">
        <is>
          <t>2003-11-24</t>
        </is>
      </c>
      <c r="Y464" t="inlineStr">
        <is>
          <t>1998-08-31</t>
        </is>
      </c>
      <c r="Z464" t="inlineStr">
        <is>
          <t>1998-08-31</t>
        </is>
      </c>
      <c r="AA464" t="n">
        <v>584</v>
      </c>
      <c r="AB464" t="n">
        <v>409</v>
      </c>
      <c r="AC464" t="n">
        <v>415</v>
      </c>
      <c r="AD464" t="n">
        <v>4</v>
      </c>
      <c r="AE464" t="n">
        <v>4</v>
      </c>
      <c r="AF464" t="n">
        <v>30</v>
      </c>
      <c r="AG464" t="n">
        <v>30</v>
      </c>
      <c r="AH464" t="n">
        <v>7</v>
      </c>
      <c r="AI464" t="n">
        <v>7</v>
      </c>
      <c r="AJ464" t="n">
        <v>4</v>
      </c>
      <c r="AK464" t="n">
        <v>4</v>
      </c>
      <c r="AL464" t="n">
        <v>6</v>
      </c>
      <c r="AM464" t="n">
        <v>6</v>
      </c>
      <c r="AN464" t="n">
        <v>2</v>
      </c>
      <c r="AO464" t="n">
        <v>2</v>
      </c>
      <c r="AP464" t="n">
        <v>15</v>
      </c>
      <c r="AQ464" t="n">
        <v>15</v>
      </c>
      <c r="AR464" t="inlineStr">
        <is>
          <t>No</t>
        </is>
      </c>
      <c r="AS464" t="inlineStr">
        <is>
          <t>No</t>
        </is>
      </c>
      <c r="AU464">
        <f>HYPERLINK("https://creighton-primo.hosted.exlibrisgroup.com/primo-explore/search?tab=default_tab&amp;search_scope=EVERYTHING&amp;vid=01CRU&amp;lang=en_US&amp;offset=0&amp;query=any,contains,991002717649702656","Catalog Record")</f>
        <v/>
      </c>
      <c r="AV464">
        <f>HYPERLINK("http://www.worldcat.org/oclc/35638622","WorldCat Record")</f>
        <v/>
      </c>
      <c r="AW464" t="inlineStr">
        <is>
          <t>365960281:eng</t>
        </is>
      </c>
      <c r="AX464" t="inlineStr">
        <is>
          <t>35638622</t>
        </is>
      </c>
      <c r="AY464" t="inlineStr">
        <is>
          <t>991002717649702656</t>
        </is>
      </c>
      <c r="AZ464" t="inlineStr">
        <is>
          <t>991002717649702656</t>
        </is>
      </c>
      <c r="BA464" t="inlineStr">
        <is>
          <t>2270318580002656</t>
        </is>
      </c>
      <c r="BB464" t="inlineStr">
        <is>
          <t>BOOK</t>
        </is>
      </c>
      <c r="BD464" t="inlineStr">
        <is>
          <t>9780521586597</t>
        </is>
      </c>
      <c r="BE464" t="inlineStr">
        <is>
          <t>32285003463626</t>
        </is>
      </c>
      <c r="BF464" t="inlineStr">
        <is>
          <t>893347836</t>
        </is>
      </c>
    </row>
    <row r="465">
      <c r="B465" t="inlineStr">
        <is>
          <t>CURAL</t>
        </is>
      </c>
      <c r="C465" t="inlineStr">
        <is>
          <t>SHELVES</t>
        </is>
      </c>
      <c r="D465" t="inlineStr">
        <is>
          <t>KZ5645 .T6 1998</t>
        </is>
      </c>
      <c r="E465" t="inlineStr">
        <is>
          <t>0                      KZ 5645000T  6           1998</t>
        </is>
      </c>
      <c r="F465" t="inlineStr">
        <is>
          <t>To walk without fear : the global movement to ban landmines / edited by Maxwell A. Cameron, Robert J. Lawson, and Brian W. Tomlin.</t>
        </is>
      </c>
      <c r="H465" t="inlineStr">
        <is>
          <t>No</t>
        </is>
      </c>
      <c r="I465" t="inlineStr">
        <is>
          <t>1</t>
        </is>
      </c>
      <c r="J465" t="inlineStr">
        <is>
          <t>No</t>
        </is>
      </c>
      <c r="K465" t="inlineStr">
        <is>
          <t>No</t>
        </is>
      </c>
      <c r="L465" t="inlineStr">
        <is>
          <t>0</t>
        </is>
      </c>
      <c r="N465" t="inlineStr">
        <is>
          <t>Toronto ; New York : Oxford University Press, 1998.</t>
        </is>
      </c>
      <c r="O465" t="inlineStr">
        <is>
          <t>1998</t>
        </is>
      </c>
      <c r="Q465" t="inlineStr">
        <is>
          <t>eng</t>
        </is>
      </c>
      <c r="R465" t="inlineStr">
        <is>
          <t>onc</t>
        </is>
      </c>
      <c r="T465" t="inlineStr">
        <is>
          <t xml:space="preserve">KZ </t>
        </is>
      </c>
      <c r="U465" t="n">
        <v>3</v>
      </c>
      <c r="V465" t="n">
        <v>3</v>
      </c>
      <c r="W465" t="inlineStr">
        <is>
          <t>2007-11-26</t>
        </is>
      </c>
      <c r="X465" t="inlineStr">
        <is>
          <t>2007-11-26</t>
        </is>
      </c>
      <c r="Y465" t="inlineStr">
        <is>
          <t>2000-09-13</t>
        </is>
      </c>
      <c r="Z465" t="inlineStr">
        <is>
          <t>2000-09-13</t>
        </is>
      </c>
      <c r="AA465" t="n">
        <v>492</v>
      </c>
      <c r="AB465" t="n">
        <v>367</v>
      </c>
      <c r="AC465" t="n">
        <v>375</v>
      </c>
      <c r="AD465" t="n">
        <v>2</v>
      </c>
      <c r="AE465" t="n">
        <v>2</v>
      </c>
      <c r="AF465" t="n">
        <v>14</v>
      </c>
      <c r="AG465" t="n">
        <v>14</v>
      </c>
      <c r="AH465" t="n">
        <v>6</v>
      </c>
      <c r="AI465" t="n">
        <v>6</v>
      </c>
      <c r="AJ465" t="n">
        <v>4</v>
      </c>
      <c r="AK465" t="n">
        <v>4</v>
      </c>
      <c r="AL465" t="n">
        <v>6</v>
      </c>
      <c r="AM465" t="n">
        <v>6</v>
      </c>
      <c r="AN465" t="n">
        <v>1</v>
      </c>
      <c r="AO465" t="n">
        <v>1</v>
      </c>
      <c r="AP465" t="n">
        <v>0</v>
      </c>
      <c r="AQ465" t="n">
        <v>0</v>
      </c>
      <c r="AR465" t="inlineStr">
        <is>
          <t>No</t>
        </is>
      </c>
      <c r="AS465" t="inlineStr">
        <is>
          <t>Yes</t>
        </is>
      </c>
      <c r="AT465">
        <f>HYPERLINK("http://catalog.hathitrust.org/Record/004013745","HathiTrust Record")</f>
        <v/>
      </c>
      <c r="AU465">
        <f>HYPERLINK("https://creighton-primo.hosted.exlibrisgroup.com/primo-explore/search?tab=default_tab&amp;search_scope=EVERYTHING&amp;vid=01CRU&amp;lang=en_US&amp;offset=0&amp;query=any,contains,991003237249702656","Catalog Record")</f>
        <v/>
      </c>
      <c r="AV465">
        <f>HYPERLINK("http://www.worldcat.org/oclc/39662622","WorldCat Record")</f>
        <v/>
      </c>
      <c r="AW465" t="inlineStr">
        <is>
          <t>836979625:eng</t>
        </is>
      </c>
      <c r="AX465" t="inlineStr">
        <is>
          <t>39662622</t>
        </is>
      </c>
      <c r="AY465" t="inlineStr">
        <is>
          <t>991003237249702656</t>
        </is>
      </c>
      <c r="AZ465" t="inlineStr">
        <is>
          <t>991003237249702656</t>
        </is>
      </c>
      <c r="BA465" t="inlineStr">
        <is>
          <t>2261852050002656</t>
        </is>
      </c>
      <c r="BB465" t="inlineStr">
        <is>
          <t>BOOK</t>
        </is>
      </c>
      <c r="BD465" t="inlineStr">
        <is>
          <t>9780195414141</t>
        </is>
      </c>
      <c r="BE465" t="inlineStr">
        <is>
          <t>32285003761821</t>
        </is>
      </c>
      <c r="BF465" t="inlineStr">
        <is>
          <t>893422328</t>
        </is>
      </c>
    </row>
    <row r="466">
      <c r="B466" t="inlineStr">
        <is>
          <t>CURAL</t>
        </is>
      </c>
      <c r="C466" t="inlineStr">
        <is>
          <t>SHELVES</t>
        </is>
      </c>
      <c r="D466" t="inlineStr">
        <is>
          <t>KZ6045 .K58 1998</t>
        </is>
      </c>
      <c r="E466" t="inlineStr">
        <is>
          <t>0                      KZ 6045000K  58          1998</t>
        </is>
      </c>
      <c r="F466" t="inlineStr">
        <is>
          <t>The multiple realities of international mediation / Marieke Kleiboer.</t>
        </is>
      </c>
      <c r="H466" t="inlineStr">
        <is>
          <t>No</t>
        </is>
      </c>
      <c r="I466" t="inlineStr">
        <is>
          <t>1</t>
        </is>
      </c>
      <c r="J466" t="inlineStr">
        <is>
          <t>No</t>
        </is>
      </c>
      <c r="K466" t="inlineStr">
        <is>
          <t>No</t>
        </is>
      </c>
      <c r="L466" t="inlineStr">
        <is>
          <t>0</t>
        </is>
      </c>
      <c r="M466" t="inlineStr">
        <is>
          <t>Kleiboer, Marieke, 1967-</t>
        </is>
      </c>
      <c r="N466" t="inlineStr">
        <is>
          <t>Boulder, Colo. : Lynne Rienner Publishers, 1998.</t>
        </is>
      </c>
      <c r="O466" t="inlineStr">
        <is>
          <t>1998</t>
        </is>
      </c>
      <c r="Q466" t="inlineStr">
        <is>
          <t>eng</t>
        </is>
      </c>
      <c r="R466" t="inlineStr">
        <is>
          <t>cou</t>
        </is>
      </c>
      <c r="T466" t="inlineStr">
        <is>
          <t xml:space="preserve">KZ </t>
        </is>
      </c>
      <c r="U466" t="n">
        <v>3</v>
      </c>
      <c r="V466" t="n">
        <v>3</v>
      </c>
      <c r="W466" t="inlineStr">
        <is>
          <t>2010-03-22</t>
        </is>
      </c>
      <c r="X466" t="inlineStr">
        <is>
          <t>2010-03-22</t>
        </is>
      </c>
      <c r="Y466" t="inlineStr">
        <is>
          <t>1998-04-23</t>
        </is>
      </c>
      <c r="Z466" t="inlineStr">
        <is>
          <t>1998-04-23</t>
        </is>
      </c>
      <c r="AA466" t="n">
        <v>227</v>
      </c>
      <c r="AB466" t="n">
        <v>161</v>
      </c>
      <c r="AC466" t="n">
        <v>165</v>
      </c>
      <c r="AD466" t="n">
        <v>2</v>
      </c>
      <c r="AE466" t="n">
        <v>2</v>
      </c>
      <c r="AF466" t="n">
        <v>9</v>
      </c>
      <c r="AG466" t="n">
        <v>9</v>
      </c>
      <c r="AH466" t="n">
        <v>1</v>
      </c>
      <c r="AI466" t="n">
        <v>1</v>
      </c>
      <c r="AJ466" t="n">
        <v>2</v>
      </c>
      <c r="AK466" t="n">
        <v>2</v>
      </c>
      <c r="AL466" t="n">
        <v>2</v>
      </c>
      <c r="AM466" t="n">
        <v>2</v>
      </c>
      <c r="AN466" t="n">
        <v>1</v>
      </c>
      <c r="AO466" t="n">
        <v>1</v>
      </c>
      <c r="AP466" t="n">
        <v>5</v>
      </c>
      <c r="AQ466" t="n">
        <v>5</v>
      </c>
      <c r="AR466" t="inlineStr">
        <is>
          <t>No</t>
        </is>
      </c>
      <c r="AS466" t="inlineStr">
        <is>
          <t>No</t>
        </is>
      </c>
      <c r="AU466">
        <f>HYPERLINK("https://creighton-primo.hosted.exlibrisgroup.com/primo-explore/search?tab=default_tab&amp;search_scope=EVERYTHING&amp;vid=01CRU&amp;lang=en_US&amp;offset=0&amp;query=any,contains,991002842029702656","Catalog Record")</f>
        <v/>
      </c>
      <c r="AV466">
        <f>HYPERLINK("http://www.worldcat.org/oclc/37442982","WorldCat Record")</f>
        <v/>
      </c>
      <c r="AW466" t="inlineStr">
        <is>
          <t>666173:eng</t>
        </is>
      </c>
      <c r="AX466" t="inlineStr">
        <is>
          <t>37442982</t>
        </is>
      </c>
      <c r="AY466" t="inlineStr">
        <is>
          <t>991002842029702656</t>
        </is>
      </c>
      <c r="AZ466" t="inlineStr">
        <is>
          <t>991002842029702656</t>
        </is>
      </c>
      <c r="BA466" t="inlineStr">
        <is>
          <t>2261865520002656</t>
        </is>
      </c>
      <c r="BB466" t="inlineStr">
        <is>
          <t>BOOK</t>
        </is>
      </c>
      <c r="BD466" t="inlineStr">
        <is>
          <t>9781555877699</t>
        </is>
      </c>
      <c r="BE466" t="inlineStr">
        <is>
          <t>32285003376802</t>
        </is>
      </c>
      <c r="BF466" t="inlineStr">
        <is>
          <t>893517826</t>
        </is>
      </c>
    </row>
    <row r="467">
      <c r="B467" t="inlineStr">
        <is>
          <t>CURAL</t>
        </is>
      </c>
      <c r="C467" t="inlineStr">
        <is>
          <t>SHELVES</t>
        </is>
      </c>
      <c r="D467" t="inlineStr">
        <is>
          <t>KZ6376 .D36 1999</t>
        </is>
      </c>
      <c r="E467" t="inlineStr">
        <is>
          <t>0                      KZ 6376000D  36          1999</t>
        </is>
      </c>
      <c r="F467" t="inlineStr">
        <is>
          <t>Coercive inducement and the containment of international crises / Donald C.F. Daniel and Bradd C. Hayes with Chantal de Jonge Oudraat.</t>
        </is>
      </c>
      <c r="H467" t="inlineStr">
        <is>
          <t>No</t>
        </is>
      </c>
      <c r="I467" t="inlineStr">
        <is>
          <t>1</t>
        </is>
      </c>
      <c r="J467" t="inlineStr">
        <is>
          <t>No</t>
        </is>
      </c>
      <c r="K467" t="inlineStr">
        <is>
          <t>No</t>
        </is>
      </c>
      <c r="L467" t="inlineStr">
        <is>
          <t>0</t>
        </is>
      </c>
      <c r="M467" t="inlineStr">
        <is>
          <t>Daniel, Donald C. (Donald Charles), 1944-</t>
        </is>
      </c>
      <c r="N467" t="inlineStr">
        <is>
          <t>Washington, D.C. : United States Institute of Peace Press, 1999.</t>
        </is>
      </c>
      <c r="O467" t="inlineStr">
        <is>
          <t>1999</t>
        </is>
      </c>
      <c r="Q467" t="inlineStr">
        <is>
          <t>eng</t>
        </is>
      </c>
      <c r="R467" t="inlineStr">
        <is>
          <t>dcu</t>
        </is>
      </c>
      <c r="T467" t="inlineStr">
        <is>
          <t xml:space="preserve">KZ </t>
        </is>
      </c>
      <c r="U467" t="n">
        <v>3</v>
      </c>
      <c r="V467" t="n">
        <v>3</v>
      </c>
      <c r="W467" t="inlineStr">
        <is>
          <t>2003-02-23</t>
        </is>
      </c>
      <c r="X467" t="inlineStr">
        <is>
          <t>2003-02-23</t>
        </is>
      </c>
      <c r="Y467" t="inlineStr">
        <is>
          <t>2002-01-09</t>
        </is>
      </c>
      <c r="Z467" t="inlineStr">
        <is>
          <t>2002-01-09</t>
        </is>
      </c>
      <c r="AA467" t="n">
        <v>268</v>
      </c>
      <c r="AB467" t="n">
        <v>204</v>
      </c>
      <c r="AC467" t="n">
        <v>418</v>
      </c>
      <c r="AD467" t="n">
        <v>1</v>
      </c>
      <c r="AE467" t="n">
        <v>3</v>
      </c>
      <c r="AF467" t="n">
        <v>13</v>
      </c>
      <c r="AG467" t="n">
        <v>22</v>
      </c>
      <c r="AH467" t="n">
        <v>3</v>
      </c>
      <c r="AI467" t="n">
        <v>5</v>
      </c>
      <c r="AJ467" t="n">
        <v>4</v>
      </c>
      <c r="AK467" t="n">
        <v>6</v>
      </c>
      <c r="AL467" t="n">
        <v>6</v>
      </c>
      <c r="AM467" t="n">
        <v>7</v>
      </c>
      <c r="AN467" t="n">
        <v>0</v>
      </c>
      <c r="AO467" t="n">
        <v>2</v>
      </c>
      <c r="AP467" t="n">
        <v>3</v>
      </c>
      <c r="AQ467" t="n">
        <v>5</v>
      </c>
      <c r="AR467" t="inlineStr">
        <is>
          <t>No</t>
        </is>
      </c>
      <c r="AS467" t="inlineStr">
        <is>
          <t>Yes</t>
        </is>
      </c>
      <c r="AT467">
        <f>HYPERLINK("http://catalog.hathitrust.org/Record/004028802","HathiTrust Record")</f>
        <v/>
      </c>
      <c r="AU467">
        <f>HYPERLINK("https://creighton-primo.hosted.exlibrisgroup.com/primo-explore/search?tab=default_tab&amp;search_scope=EVERYTHING&amp;vid=01CRU&amp;lang=en_US&amp;offset=0&amp;query=any,contains,991003688769702656","Catalog Record")</f>
        <v/>
      </c>
      <c r="AV467">
        <f>HYPERLINK("http://www.worldcat.org/oclc/40251720","WorldCat Record")</f>
        <v/>
      </c>
      <c r="AW467" t="inlineStr">
        <is>
          <t>23408930:eng</t>
        </is>
      </c>
      <c r="AX467" t="inlineStr">
        <is>
          <t>40251720</t>
        </is>
      </c>
      <c r="AY467" t="inlineStr">
        <is>
          <t>991003688769702656</t>
        </is>
      </c>
      <c r="AZ467" t="inlineStr">
        <is>
          <t>991003688769702656</t>
        </is>
      </c>
      <c r="BA467" t="inlineStr">
        <is>
          <t>2257038980002656</t>
        </is>
      </c>
      <c r="BB467" t="inlineStr">
        <is>
          <t>BOOK</t>
        </is>
      </c>
      <c r="BD467" t="inlineStr">
        <is>
          <t>9781878379849</t>
        </is>
      </c>
      <c r="BE467" t="inlineStr">
        <is>
          <t>32285004446844</t>
        </is>
      </c>
      <c r="BF467" t="inlineStr">
        <is>
          <t>893900260</t>
        </is>
      </c>
    </row>
    <row r="468">
      <c r="B468" t="inlineStr">
        <is>
          <t>CURAL</t>
        </is>
      </c>
      <c r="C468" t="inlineStr">
        <is>
          <t>SHELVES</t>
        </is>
      </c>
      <c r="D468" t="inlineStr">
        <is>
          <t>KZ6376 .S27 1999</t>
        </is>
      </c>
      <c r="E468" t="inlineStr">
        <is>
          <t>0                      KZ 6376000S  27          1999</t>
        </is>
      </c>
      <c r="F468" t="inlineStr">
        <is>
          <t>The United Nations and the development of collective security : the delegation by the UN Security Council of its chapter VII powers / Danesh Sarooshi.</t>
        </is>
      </c>
      <c r="H468" t="inlineStr">
        <is>
          <t>No</t>
        </is>
      </c>
      <c r="I468" t="inlineStr">
        <is>
          <t>1</t>
        </is>
      </c>
      <c r="J468" t="inlineStr">
        <is>
          <t>Yes</t>
        </is>
      </c>
      <c r="K468" t="inlineStr">
        <is>
          <t>No</t>
        </is>
      </c>
      <c r="L468" t="inlineStr">
        <is>
          <t>0</t>
        </is>
      </c>
      <c r="M468" t="inlineStr">
        <is>
          <t>Sarooshi, Dan.</t>
        </is>
      </c>
      <c r="N468" t="inlineStr">
        <is>
          <t>Oxford : Clarendon Press ; New York : Oxford University Press, c1999.</t>
        </is>
      </c>
      <c r="O468" t="inlineStr">
        <is>
          <t>1999</t>
        </is>
      </c>
      <c r="Q468" t="inlineStr">
        <is>
          <t>eng</t>
        </is>
      </c>
      <c r="R468" t="inlineStr">
        <is>
          <t>enk</t>
        </is>
      </c>
      <c r="S468" t="inlineStr">
        <is>
          <t>Oxford monographs in international law</t>
        </is>
      </c>
      <c r="T468" t="inlineStr">
        <is>
          <t xml:space="preserve">KZ </t>
        </is>
      </c>
      <c r="U468" t="n">
        <v>3</v>
      </c>
      <c r="V468" t="n">
        <v>3</v>
      </c>
      <c r="W468" t="inlineStr">
        <is>
          <t>2004-03-01</t>
        </is>
      </c>
      <c r="X468" t="inlineStr">
        <is>
          <t>2005-09-14</t>
        </is>
      </c>
      <c r="Y468" t="inlineStr">
        <is>
          <t>2004-03-01</t>
        </is>
      </c>
      <c r="Z468" t="inlineStr">
        <is>
          <t>2004-03-01</t>
        </is>
      </c>
      <c r="AA468" t="n">
        <v>284</v>
      </c>
      <c r="AB468" t="n">
        <v>171</v>
      </c>
      <c r="AC468" t="n">
        <v>251</v>
      </c>
      <c r="AD468" t="n">
        <v>3</v>
      </c>
      <c r="AE468" t="n">
        <v>3</v>
      </c>
      <c r="AF468" t="n">
        <v>15</v>
      </c>
      <c r="AG468" t="n">
        <v>21</v>
      </c>
      <c r="AH468" t="n">
        <v>1</v>
      </c>
      <c r="AI468" t="n">
        <v>1</v>
      </c>
      <c r="AJ468" t="n">
        <v>1</v>
      </c>
      <c r="AK468" t="n">
        <v>5</v>
      </c>
      <c r="AL468" t="n">
        <v>2</v>
      </c>
      <c r="AM468" t="n">
        <v>3</v>
      </c>
      <c r="AN468" t="n">
        <v>1</v>
      </c>
      <c r="AO468" t="n">
        <v>1</v>
      </c>
      <c r="AP468" t="n">
        <v>11</v>
      </c>
      <c r="AQ468" t="n">
        <v>13</v>
      </c>
      <c r="AR468" t="inlineStr">
        <is>
          <t>No</t>
        </is>
      </c>
      <c r="AS468" t="inlineStr">
        <is>
          <t>No</t>
        </is>
      </c>
      <c r="AU468">
        <f>HYPERLINK("https://creighton-primo.hosted.exlibrisgroup.com/primo-explore/search?tab=default_tab&amp;search_scope=EVERYTHING&amp;vid=01CRU&amp;lang=en_US&amp;offset=0&amp;query=any,contains,991001678509702656","Catalog Record")</f>
        <v/>
      </c>
      <c r="AV468">
        <f>HYPERLINK("http://www.worldcat.org/oclc/39800725","WorldCat Record")</f>
        <v/>
      </c>
      <c r="AW468" t="inlineStr">
        <is>
          <t>4922114553:eng</t>
        </is>
      </c>
      <c r="AX468" t="inlineStr">
        <is>
          <t>39800725</t>
        </is>
      </c>
      <c r="AY468" t="inlineStr">
        <is>
          <t>991001678509702656</t>
        </is>
      </c>
      <c r="AZ468" t="inlineStr">
        <is>
          <t>991001678509702656</t>
        </is>
      </c>
      <c r="BA468" t="inlineStr">
        <is>
          <t>2270257150002656</t>
        </is>
      </c>
      <c r="BB468" t="inlineStr">
        <is>
          <t>BOOK</t>
        </is>
      </c>
      <c r="BD468" t="inlineStr">
        <is>
          <t>9780198268635</t>
        </is>
      </c>
      <c r="BE468" t="inlineStr">
        <is>
          <t>32285004891551</t>
        </is>
      </c>
      <c r="BF468" t="inlineStr">
        <is>
          <t>893872711</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2022-06-26T23:46:46Z</dcterms:created>
  <dcterms:modified xsi:type="dcterms:W3CDTF">2022-06-26T23:46:46Z</dcterms:modified>
</cp:coreProperties>
</file>