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83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ND1002 .B3</t>
        </is>
      </c>
      <c r="C2" t="inlineStr">
        <is>
          <t>0                      ND 1002000B  3</t>
        </is>
      </c>
      <c r="D2" t="inlineStr">
        <is>
          <t>Painting of India, text by Douglas Barrett and Basil Gray.</t>
        </is>
      </c>
      <c r="F2" t="inlineStr">
        <is>
          <t>No</t>
        </is>
      </c>
      <c r="G2" t="inlineStr">
        <is>
          <t>1</t>
        </is>
      </c>
      <c r="H2" t="inlineStr">
        <is>
          <t>No</t>
        </is>
      </c>
      <c r="I2" t="inlineStr">
        <is>
          <t>No</t>
        </is>
      </c>
      <c r="J2" t="inlineStr">
        <is>
          <t>0</t>
        </is>
      </c>
      <c r="K2" t="inlineStr">
        <is>
          <t>Barrett, Douglas E.</t>
        </is>
      </c>
      <c r="L2" t="inlineStr">
        <is>
          <t>[Geneva?] Skira; [distributed in the U.S. by World Pub. Co., Cleveland, 1963]</t>
        </is>
      </c>
      <c r="M2" t="inlineStr">
        <is>
          <t>1963</t>
        </is>
      </c>
      <c r="O2" t="inlineStr">
        <is>
          <t>eng</t>
        </is>
      </c>
      <c r="P2" t="inlineStr">
        <is>
          <t xml:space="preserve">sz </t>
        </is>
      </c>
      <c r="Q2" t="inlineStr">
        <is>
          <t>Treasures of Asia</t>
        </is>
      </c>
      <c r="R2" t="inlineStr">
        <is>
          <t xml:space="preserve">ND </t>
        </is>
      </c>
      <c r="S2" t="n">
        <v>2</v>
      </c>
      <c r="T2" t="n">
        <v>2</v>
      </c>
      <c r="U2" t="inlineStr">
        <is>
          <t>2006-06-16</t>
        </is>
      </c>
      <c r="V2" t="inlineStr">
        <is>
          <t>2006-06-16</t>
        </is>
      </c>
      <c r="W2" t="inlineStr">
        <is>
          <t>1997-08-05</t>
        </is>
      </c>
      <c r="X2" t="inlineStr">
        <is>
          <t>1997-08-05</t>
        </is>
      </c>
      <c r="Y2" t="n">
        <v>878</v>
      </c>
      <c r="Z2" t="n">
        <v>795</v>
      </c>
      <c r="AA2" t="n">
        <v>812</v>
      </c>
      <c r="AB2" t="n">
        <v>6</v>
      </c>
      <c r="AC2" t="n">
        <v>6</v>
      </c>
      <c r="AD2" t="n">
        <v>26</v>
      </c>
      <c r="AE2" t="n">
        <v>26</v>
      </c>
      <c r="AF2" t="n">
        <v>12</v>
      </c>
      <c r="AG2" t="n">
        <v>12</v>
      </c>
      <c r="AH2" t="n">
        <v>5</v>
      </c>
      <c r="AI2" t="n">
        <v>5</v>
      </c>
      <c r="AJ2" t="n">
        <v>12</v>
      </c>
      <c r="AK2" t="n">
        <v>12</v>
      </c>
      <c r="AL2" t="n">
        <v>4</v>
      </c>
      <c r="AM2" t="n">
        <v>4</v>
      </c>
      <c r="AN2" t="n">
        <v>0</v>
      </c>
      <c r="AO2" t="n">
        <v>0</v>
      </c>
      <c r="AP2" t="inlineStr">
        <is>
          <t>No</t>
        </is>
      </c>
      <c r="AQ2" t="inlineStr">
        <is>
          <t>Yes</t>
        </is>
      </c>
      <c r="AR2">
        <f>HYPERLINK("http://catalog.hathitrust.org/Record/004504942","HathiTrust Record")</f>
        <v/>
      </c>
      <c r="AS2">
        <f>HYPERLINK("https://creighton-primo.hosted.exlibrisgroup.com/primo-explore/search?tab=default_tab&amp;search_scope=EVERYTHING&amp;vid=01CRU&amp;lang=en_US&amp;offset=0&amp;query=any,contains,991001027109702656","Catalog Record")</f>
        <v/>
      </c>
      <c r="AT2">
        <f>HYPERLINK("http://www.worldcat.org/oclc/174726","WorldCat Record")</f>
        <v/>
      </c>
      <c r="AU2" t="inlineStr">
        <is>
          <t>11288741:eng</t>
        </is>
      </c>
      <c r="AV2" t="inlineStr">
        <is>
          <t>174726</t>
        </is>
      </c>
      <c r="AW2" t="inlineStr">
        <is>
          <t>991001027109702656</t>
        </is>
      </c>
      <c r="AX2" t="inlineStr">
        <is>
          <t>991001027109702656</t>
        </is>
      </c>
      <c r="AY2" t="inlineStr">
        <is>
          <t>2266545860002656</t>
        </is>
      </c>
      <c r="AZ2" t="inlineStr">
        <is>
          <t>BOOK</t>
        </is>
      </c>
      <c r="BC2" t="inlineStr">
        <is>
          <t>32285002969557</t>
        </is>
      </c>
      <c r="BD2" t="inlineStr">
        <is>
          <t>893419991</t>
        </is>
      </c>
    </row>
    <row r="3">
      <c r="A3" t="inlineStr">
        <is>
          <t>No</t>
        </is>
      </c>
      <c r="B3" t="inlineStr">
        <is>
          <t>ND1021 .S26813 2000</t>
        </is>
      </c>
      <c r="C3" t="inlineStr">
        <is>
          <t>0                      ND 1021000S  26813       2000</t>
        </is>
      </c>
      <c r="D3" t="inlineStr">
        <is>
          <t>Temples of gold : seven centuries of Thai Buddhist paintings / by Santi Leksukhum ; photographs by Gilles Mermet ; translated from the French by Kenneth D. Whitehead.</t>
        </is>
      </c>
      <c r="F3" t="inlineStr">
        <is>
          <t>No</t>
        </is>
      </c>
      <c r="G3" t="inlineStr">
        <is>
          <t>1</t>
        </is>
      </c>
      <c r="H3" t="inlineStr">
        <is>
          <t>No</t>
        </is>
      </c>
      <c r="I3" t="inlineStr">
        <is>
          <t>No</t>
        </is>
      </c>
      <c r="J3" t="inlineStr">
        <is>
          <t>0</t>
        </is>
      </c>
      <c r="K3" t="inlineStr">
        <is>
          <t>Santi Leksukhum.</t>
        </is>
      </c>
      <c r="L3" t="inlineStr">
        <is>
          <t>New York : George Braziller, 2000.</t>
        </is>
      </c>
      <c r="M3" t="inlineStr">
        <is>
          <t>2000</t>
        </is>
      </c>
      <c r="N3" t="inlineStr">
        <is>
          <t>1st ed.</t>
        </is>
      </c>
      <c r="O3" t="inlineStr">
        <is>
          <t>eng</t>
        </is>
      </c>
      <c r="P3" t="inlineStr">
        <is>
          <t>nyu</t>
        </is>
      </c>
      <c r="R3" t="inlineStr">
        <is>
          <t xml:space="preserve">ND </t>
        </is>
      </c>
      <c r="S3" t="n">
        <v>3</v>
      </c>
      <c r="T3" t="n">
        <v>3</v>
      </c>
      <c r="U3" t="inlineStr">
        <is>
          <t>2002-04-29</t>
        </is>
      </c>
      <c r="V3" t="inlineStr">
        <is>
          <t>2002-04-29</t>
        </is>
      </c>
      <c r="W3" t="inlineStr">
        <is>
          <t>2002-04-17</t>
        </is>
      </c>
      <c r="X3" t="inlineStr">
        <is>
          <t>2002-04-17</t>
        </is>
      </c>
      <c r="Y3" t="n">
        <v>443</v>
      </c>
      <c r="Z3" t="n">
        <v>411</v>
      </c>
      <c r="AA3" t="n">
        <v>416</v>
      </c>
      <c r="AB3" t="n">
        <v>3</v>
      </c>
      <c r="AC3" t="n">
        <v>3</v>
      </c>
      <c r="AD3" t="n">
        <v>14</v>
      </c>
      <c r="AE3" t="n">
        <v>14</v>
      </c>
      <c r="AF3" t="n">
        <v>6</v>
      </c>
      <c r="AG3" t="n">
        <v>6</v>
      </c>
      <c r="AH3" t="n">
        <v>3</v>
      </c>
      <c r="AI3" t="n">
        <v>3</v>
      </c>
      <c r="AJ3" t="n">
        <v>8</v>
      </c>
      <c r="AK3" t="n">
        <v>8</v>
      </c>
      <c r="AL3" t="n">
        <v>2</v>
      </c>
      <c r="AM3" t="n">
        <v>2</v>
      </c>
      <c r="AN3" t="n">
        <v>0</v>
      </c>
      <c r="AO3" t="n">
        <v>0</v>
      </c>
      <c r="AP3" t="inlineStr">
        <is>
          <t>No</t>
        </is>
      </c>
      <c r="AQ3" t="inlineStr">
        <is>
          <t>Yes</t>
        </is>
      </c>
      <c r="AR3">
        <f>HYPERLINK("http://catalog.hathitrust.org/Record/004154599","HathiTrust Record")</f>
        <v/>
      </c>
      <c r="AS3">
        <f>HYPERLINK("https://creighton-primo.hosted.exlibrisgroup.com/primo-explore/search?tab=default_tab&amp;search_scope=EVERYTHING&amp;vid=01CRU&amp;lang=en_US&amp;offset=0&amp;query=any,contains,991003782209702656","Catalog Record")</f>
        <v/>
      </c>
      <c r="AT3">
        <f>HYPERLINK("http://www.worldcat.org/oclc/44016499","WorldCat Record")</f>
        <v/>
      </c>
      <c r="AU3" t="inlineStr">
        <is>
          <t>51027:eng</t>
        </is>
      </c>
      <c r="AV3" t="inlineStr">
        <is>
          <t>44016499</t>
        </is>
      </c>
      <c r="AW3" t="inlineStr">
        <is>
          <t>991003782209702656</t>
        </is>
      </c>
      <c r="AX3" t="inlineStr">
        <is>
          <t>991003782209702656</t>
        </is>
      </c>
      <c r="AY3" t="inlineStr">
        <is>
          <t>2260079580002656</t>
        </is>
      </c>
      <c r="AZ3" t="inlineStr">
        <is>
          <t>BOOK</t>
        </is>
      </c>
      <c r="BB3" t="inlineStr">
        <is>
          <t>9780807614761</t>
        </is>
      </c>
      <c r="BC3" t="inlineStr">
        <is>
          <t>32285004480900</t>
        </is>
      </c>
      <c r="BD3" t="inlineStr">
        <is>
          <t>893693152</t>
        </is>
      </c>
    </row>
    <row r="4">
      <c r="A4" t="inlineStr">
        <is>
          <t>No</t>
        </is>
      </c>
      <c r="B4" t="inlineStr">
        <is>
          <t>ND1040 .G613</t>
        </is>
      </c>
      <c r="C4" t="inlineStr">
        <is>
          <t>0                      ND 1040000G  613</t>
        </is>
      </c>
      <c r="D4" t="inlineStr">
        <is>
          <t>The essence of Chinese painting / [translated by Michael Bullock.</t>
        </is>
      </c>
      <c r="F4" t="inlineStr">
        <is>
          <t>No</t>
        </is>
      </c>
      <c r="G4" t="inlineStr">
        <is>
          <t>1</t>
        </is>
      </c>
      <c r="H4" t="inlineStr">
        <is>
          <t>No</t>
        </is>
      </c>
      <c r="I4" t="inlineStr">
        <is>
          <t>No</t>
        </is>
      </c>
      <c r="J4" t="inlineStr">
        <is>
          <t>0</t>
        </is>
      </c>
      <c r="K4" t="inlineStr">
        <is>
          <t>Goepper, Roger.</t>
        </is>
      </c>
      <c r="L4" t="inlineStr">
        <is>
          <t>Boston : Boston Book and Art Shop, [c1963]</t>
        </is>
      </c>
      <c r="M4" t="inlineStr">
        <is>
          <t>1963</t>
        </is>
      </c>
      <c r="N4" t="inlineStr">
        <is>
          <t>1st American ed.]</t>
        </is>
      </c>
      <c r="O4" t="inlineStr">
        <is>
          <t>eng</t>
        </is>
      </c>
      <c r="P4" t="inlineStr">
        <is>
          <t>mau</t>
        </is>
      </c>
      <c r="R4" t="inlineStr">
        <is>
          <t xml:space="preserve">ND </t>
        </is>
      </c>
      <c r="S4" t="n">
        <v>1</v>
      </c>
      <c r="T4" t="n">
        <v>1</v>
      </c>
      <c r="U4" t="inlineStr">
        <is>
          <t>2002-03-26</t>
        </is>
      </c>
      <c r="V4" t="inlineStr">
        <is>
          <t>2002-03-26</t>
        </is>
      </c>
      <c r="W4" t="inlineStr">
        <is>
          <t>1994-10-12</t>
        </is>
      </c>
      <c r="X4" t="inlineStr">
        <is>
          <t>1994-10-12</t>
        </is>
      </c>
      <c r="Y4" t="n">
        <v>401</v>
      </c>
      <c r="Z4" t="n">
        <v>382</v>
      </c>
      <c r="AA4" t="n">
        <v>424</v>
      </c>
      <c r="AB4" t="n">
        <v>3</v>
      </c>
      <c r="AC4" t="n">
        <v>3</v>
      </c>
      <c r="AD4" t="n">
        <v>19</v>
      </c>
      <c r="AE4" t="n">
        <v>20</v>
      </c>
      <c r="AF4" t="n">
        <v>10</v>
      </c>
      <c r="AG4" t="n">
        <v>11</v>
      </c>
      <c r="AH4" t="n">
        <v>3</v>
      </c>
      <c r="AI4" t="n">
        <v>3</v>
      </c>
      <c r="AJ4" t="n">
        <v>9</v>
      </c>
      <c r="AK4" t="n">
        <v>9</v>
      </c>
      <c r="AL4" t="n">
        <v>2</v>
      </c>
      <c r="AM4" t="n">
        <v>2</v>
      </c>
      <c r="AN4" t="n">
        <v>0</v>
      </c>
      <c r="AO4" t="n">
        <v>0</v>
      </c>
      <c r="AP4" t="inlineStr">
        <is>
          <t>No</t>
        </is>
      </c>
      <c r="AQ4" t="inlineStr">
        <is>
          <t>Yes</t>
        </is>
      </c>
      <c r="AR4">
        <f>HYPERLINK("http://catalog.hathitrust.org/Record/000653496","HathiTrust Record")</f>
        <v/>
      </c>
      <c r="AS4">
        <f>HYPERLINK("https://creighton-primo.hosted.exlibrisgroup.com/primo-explore/search?tab=default_tab&amp;search_scope=EVERYTHING&amp;vid=01CRU&amp;lang=en_US&amp;offset=0&amp;query=any,contains,991002351159702656","Catalog Record")</f>
        <v/>
      </c>
      <c r="AT4">
        <f>HYPERLINK("http://www.worldcat.org/oclc/325201","WorldCat Record")</f>
        <v/>
      </c>
      <c r="AU4" t="inlineStr">
        <is>
          <t>1413092:eng</t>
        </is>
      </c>
      <c r="AV4" t="inlineStr">
        <is>
          <t>325201</t>
        </is>
      </c>
      <c r="AW4" t="inlineStr">
        <is>
          <t>991002351159702656</t>
        </is>
      </c>
      <c r="AX4" t="inlineStr">
        <is>
          <t>991002351159702656</t>
        </is>
      </c>
      <c r="AY4" t="inlineStr">
        <is>
          <t>2271712700002656</t>
        </is>
      </c>
      <c r="AZ4" t="inlineStr">
        <is>
          <t>BOOK</t>
        </is>
      </c>
      <c r="BC4" t="inlineStr">
        <is>
          <t>32285001961381</t>
        </is>
      </c>
      <c r="BD4" t="inlineStr">
        <is>
          <t>893809439</t>
        </is>
      </c>
    </row>
    <row r="5">
      <c r="A5" t="inlineStr">
        <is>
          <t>No</t>
        </is>
      </c>
      <c r="B5" t="inlineStr">
        <is>
          <t>ND1040 .S45</t>
        </is>
      </c>
      <c r="C5" t="inlineStr">
        <is>
          <t>0                      ND 1040000S  45</t>
        </is>
      </c>
      <c r="D5" t="inlineStr">
        <is>
          <t>Zhongguo li dai ming hua xuan / [Chʻen Chʻing-kʻao, Chʻen Chi-fa pien chi] Selected famous paintings through China's dynasties [editors, Zhen Jinghao and Zhen Jifa.</t>
        </is>
      </c>
      <c r="F5" t="inlineStr">
        <is>
          <t>No</t>
        </is>
      </c>
      <c r="G5" t="inlineStr">
        <is>
          <t>1</t>
        </is>
      </c>
      <c r="H5" t="inlineStr">
        <is>
          <t>No</t>
        </is>
      </c>
      <c r="I5" t="inlineStr">
        <is>
          <t>No</t>
        </is>
      </c>
      <c r="J5" t="inlineStr">
        <is>
          <t>0</t>
        </is>
      </c>
      <c r="L5" t="inlineStr">
        <is>
          <t>Tʻai-pei : Xin Zhongguo chu ban she, 1971.</t>
        </is>
      </c>
      <c r="M5" t="inlineStr">
        <is>
          <t>1971</t>
        </is>
      </c>
      <c r="O5" t="inlineStr">
        <is>
          <t>chi</t>
        </is>
      </c>
      <c r="P5" t="inlineStr">
        <is>
          <t xml:space="preserve">ch </t>
        </is>
      </c>
      <c r="Q5" t="inlineStr">
        <is>
          <t>Qing zhu Zhonghua min guo jian guo liu shi nian ji nian cong shu ; 2</t>
        </is>
      </c>
      <c r="R5" t="inlineStr">
        <is>
          <t xml:space="preserve">ND </t>
        </is>
      </c>
      <c r="S5" t="n">
        <v>1</v>
      </c>
      <c r="T5" t="n">
        <v>1</v>
      </c>
      <c r="U5" t="inlineStr">
        <is>
          <t>2004-11-16</t>
        </is>
      </c>
      <c r="V5" t="inlineStr">
        <is>
          <t>2004-11-16</t>
        </is>
      </c>
      <c r="W5" t="inlineStr">
        <is>
          <t>1997-05-28</t>
        </is>
      </c>
      <c r="X5" t="inlineStr">
        <is>
          <t>1997-05-28</t>
        </is>
      </c>
      <c r="Y5" t="n">
        <v>19</v>
      </c>
      <c r="Z5" t="n">
        <v>15</v>
      </c>
      <c r="AA5" t="n">
        <v>15</v>
      </c>
      <c r="AB5" t="n">
        <v>1</v>
      </c>
      <c r="AC5" t="n">
        <v>1</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HYPERLINK("https://creighton-primo.hosted.exlibrisgroup.com/primo-explore/search?tab=default_tab&amp;search_scope=EVERYTHING&amp;vid=01CRU&amp;lang=en_US&amp;offset=0&amp;query=any,contains,991000895399702656","Catalog Record")</f>
        <v/>
      </c>
      <c r="AT5">
        <f>HYPERLINK("http://www.worldcat.org/oclc/13974297","WorldCat Record")</f>
        <v/>
      </c>
      <c r="AU5" t="inlineStr">
        <is>
          <t>5090493354:chi</t>
        </is>
      </c>
      <c r="AV5" t="inlineStr">
        <is>
          <t>13974297</t>
        </is>
      </c>
      <c r="AW5" t="inlineStr">
        <is>
          <t>991000895399702656</t>
        </is>
      </c>
      <c r="AX5" t="inlineStr">
        <is>
          <t>991000895399702656</t>
        </is>
      </c>
      <c r="AY5" t="inlineStr">
        <is>
          <t>2259407680002656</t>
        </is>
      </c>
      <c r="AZ5" t="inlineStr">
        <is>
          <t>BOOK</t>
        </is>
      </c>
      <c r="BC5" t="inlineStr">
        <is>
          <t>32285002698750</t>
        </is>
      </c>
      <c r="BD5" t="inlineStr">
        <is>
          <t>893778347</t>
        </is>
      </c>
    </row>
    <row r="6">
      <c r="A6" t="inlineStr">
        <is>
          <t>No</t>
        </is>
      </c>
      <c r="B6" t="inlineStr">
        <is>
          <t>ND1040 .Y866</t>
        </is>
      </c>
      <c r="C6" t="inlineStr">
        <is>
          <t>0                      ND 1040000Y  866</t>
        </is>
      </c>
      <c r="D6" t="inlineStr">
        <is>
          <t>Chinese painting in four seasons : a manual of aesthetics and techniques / Leslie Tseng-Tseng Yu ; text with Gail Schiller Tuchman.</t>
        </is>
      </c>
      <c r="F6" t="inlineStr">
        <is>
          <t>No</t>
        </is>
      </c>
      <c r="G6" t="inlineStr">
        <is>
          <t>1</t>
        </is>
      </c>
      <c r="H6" t="inlineStr">
        <is>
          <t>No</t>
        </is>
      </c>
      <c r="I6" t="inlineStr">
        <is>
          <t>No</t>
        </is>
      </c>
      <c r="J6" t="inlineStr">
        <is>
          <t>0</t>
        </is>
      </c>
      <c r="K6" t="inlineStr">
        <is>
          <t>Yu, Leslie Tseng-Tseng.</t>
        </is>
      </c>
      <c r="L6" t="inlineStr">
        <is>
          <t>Englewood Cliffs, N.J. : Prentice-Hall, c1981.</t>
        </is>
      </c>
      <c r="M6" t="inlineStr">
        <is>
          <t>1981</t>
        </is>
      </c>
      <c r="O6" t="inlineStr">
        <is>
          <t>eng</t>
        </is>
      </c>
      <c r="P6" t="inlineStr">
        <is>
          <t>nju</t>
        </is>
      </c>
      <c r="Q6" t="inlineStr">
        <is>
          <t>A Spectrum book</t>
        </is>
      </c>
      <c r="R6" t="inlineStr">
        <is>
          <t xml:space="preserve">ND </t>
        </is>
      </c>
      <c r="S6" t="n">
        <v>3</v>
      </c>
      <c r="T6" t="n">
        <v>3</v>
      </c>
      <c r="U6" t="inlineStr">
        <is>
          <t>2001-03-13</t>
        </is>
      </c>
      <c r="V6" t="inlineStr">
        <is>
          <t>2001-03-13</t>
        </is>
      </c>
      <c r="W6" t="inlineStr">
        <is>
          <t>1993-05-24</t>
        </is>
      </c>
      <c r="X6" t="inlineStr">
        <is>
          <t>1993-05-24</t>
        </is>
      </c>
      <c r="Y6" t="n">
        <v>405</v>
      </c>
      <c r="Z6" t="n">
        <v>361</v>
      </c>
      <c r="AA6" t="n">
        <v>363</v>
      </c>
      <c r="AB6" t="n">
        <v>3</v>
      </c>
      <c r="AC6" t="n">
        <v>3</v>
      </c>
      <c r="AD6" t="n">
        <v>10</v>
      </c>
      <c r="AE6" t="n">
        <v>10</v>
      </c>
      <c r="AF6" t="n">
        <v>4</v>
      </c>
      <c r="AG6" t="n">
        <v>4</v>
      </c>
      <c r="AH6" t="n">
        <v>1</v>
      </c>
      <c r="AI6" t="n">
        <v>1</v>
      </c>
      <c r="AJ6" t="n">
        <v>6</v>
      </c>
      <c r="AK6" t="n">
        <v>6</v>
      </c>
      <c r="AL6" t="n">
        <v>2</v>
      </c>
      <c r="AM6" t="n">
        <v>2</v>
      </c>
      <c r="AN6" t="n">
        <v>0</v>
      </c>
      <c r="AO6" t="n">
        <v>0</v>
      </c>
      <c r="AP6" t="inlineStr">
        <is>
          <t>No</t>
        </is>
      </c>
      <c r="AQ6" t="inlineStr">
        <is>
          <t>Yes</t>
        </is>
      </c>
      <c r="AR6">
        <f>HYPERLINK("http://catalog.hathitrust.org/Record/008232115","HathiTrust Record")</f>
        <v/>
      </c>
      <c r="AS6">
        <f>HYPERLINK("https://creighton-primo.hosted.exlibrisgroup.com/primo-explore/search?tab=default_tab&amp;search_scope=EVERYTHING&amp;vid=01CRU&amp;lang=en_US&amp;offset=0&amp;query=any,contains,991005097329702656","Catalog Record")</f>
        <v/>
      </c>
      <c r="AT6">
        <f>HYPERLINK("http://www.worldcat.org/oclc/7275935","WorldCat Record")</f>
        <v/>
      </c>
      <c r="AU6" t="inlineStr">
        <is>
          <t>935821367:eng</t>
        </is>
      </c>
      <c r="AV6" t="inlineStr">
        <is>
          <t>7275935</t>
        </is>
      </c>
      <c r="AW6" t="inlineStr">
        <is>
          <t>991005097329702656</t>
        </is>
      </c>
      <c r="AX6" t="inlineStr">
        <is>
          <t>991005097329702656</t>
        </is>
      </c>
      <c r="AY6" t="inlineStr">
        <is>
          <t>2259921040002656</t>
        </is>
      </c>
      <c r="AZ6" t="inlineStr">
        <is>
          <t>BOOK</t>
        </is>
      </c>
      <c r="BB6" t="inlineStr">
        <is>
          <t>9780131330177</t>
        </is>
      </c>
      <c r="BC6" t="inlineStr">
        <is>
          <t>32285001692853</t>
        </is>
      </c>
      <c r="BD6" t="inlineStr">
        <is>
          <t>893870503</t>
        </is>
      </c>
    </row>
    <row r="7">
      <c r="A7" t="inlineStr">
        <is>
          <t>No</t>
        </is>
      </c>
      <c r="B7" t="inlineStr">
        <is>
          <t>ND1043 .C28</t>
        </is>
      </c>
      <c r="C7" t="inlineStr">
        <is>
          <t>0                      ND 1043000C  28</t>
        </is>
      </c>
      <c r="D7" t="inlineStr">
        <is>
          <t>Chinese painting.</t>
        </is>
      </c>
      <c r="F7" t="inlineStr">
        <is>
          <t>No</t>
        </is>
      </c>
      <c r="G7" t="inlineStr">
        <is>
          <t>1</t>
        </is>
      </c>
      <c r="H7" t="inlineStr">
        <is>
          <t>No</t>
        </is>
      </c>
      <c r="I7" t="inlineStr">
        <is>
          <t>No</t>
        </is>
      </c>
      <c r="J7" t="inlineStr">
        <is>
          <t>0</t>
        </is>
      </c>
      <c r="K7" t="inlineStr">
        <is>
          <t>Cahill, James, 1926-2014.</t>
        </is>
      </c>
      <c r="L7" t="inlineStr">
        <is>
          <t>[Geneva?] : Skira ; [distributed in the U.S. by World Pub. Co., Cleveland, 1960]</t>
        </is>
      </c>
      <c r="M7" t="inlineStr">
        <is>
          <t>1960</t>
        </is>
      </c>
      <c r="O7" t="inlineStr">
        <is>
          <t>eng</t>
        </is>
      </c>
      <c r="P7" t="inlineStr">
        <is>
          <t xml:space="preserve">sz </t>
        </is>
      </c>
      <c r="Q7" t="inlineStr">
        <is>
          <t>Treasures of Asia</t>
        </is>
      </c>
      <c r="R7" t="inlineStr">
        <is>
          <t xml:space="preserve">ND </t>
        </is>
      </c>
      <c r="S7" t="n">
        <v>3</v>
      </c>
      <c r="T7" t="n">
        <v>3</v>
      </c>
      <c r="U7" t="inlineStr">
        <is>
          <t>1999-02-24</t>
        </is>
      </c>
      <c r="V7" t="inlineStr">
        <is>
          <t>1999-02-24</t>
        </is>
      </c>
      <c r="W7" t="inlineStr">
        <is>
          <t>1992-08-05</t>
        </is>
      </c>
      <c r="X7" t="inlineStr">
        <is>
          <t>1992-08-05</t>
        </is>
      </c>
      <c r="Y7" t="n">
        <v>1213</v>
      </c>
      <c r="Z7" t="n">
        <v>1102</v>
      </c>
      <c r="AA7" t="n">
        <v>1460</v>
      </c>
      <c r="AB7" t="n">
        <v>10</v>
      </c>
      <c r="AC7" t="n">
        <v>11</v>
      </c>
      <c r="AD7" t="n">
        <v>41</v>
      </c>
      <c r="AE7" t="n">
        <v>49</v>
      </c>
      <c r="AF7" t="n">
        <v>19</v>
      </c>
      <c r="AG7" t="n">
        <v>22</v>
      </c>
      <c r="AH7" t="n">
        <v>8</v>
      </c>
      <c r="AI7" t="n">
        <v>9</v>
      </c>
      <c r="AJ7" t="n">
        <v>17</v>
      </c>
      <c r="AK7" t="n">
        <v>23</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HYPERLINK("https://creighton-primo.hosted.exlibrisgroup.com/primo-explore/search?tab=default_tab&amp;search_scope=EVERYTHING&amp;vid=01CRU&amp;lang=en_US&amp;offset=0&amp;query=any,contains,991002905669702656","Catalog Record")</f>
        <v/>
      </c>
      <c r="AT7">
        <f>HYPERLINK("http://www.worldcat.org/oclc/519341","WorldCat Record")</f>
        <v/>
      </c>
      <c r="AU7" t="inlineStr">
        <is>
          <t>4920892124:eng</t>
        </is>
      </c>
      <c r="AV7" t="inlineStr">
        <is>
          <t>519341</t>
        </is>
      </c>
      <c r="AW7" t="inlineStr">
        <is>
          <t>991002905669702656</t>
        </is>
      </c>
      <c r="AX7" t="inlineStr">
        <is>
          <t>991002905669702656</t>
        </is>
      </c>
      <c r="AY7" t="inlineStr">
        <is>
          <t>2256818200002656</t>
        </is>
      </c>
      <c r="AZ7" t="inlineStr">
        <is>
          <t>BOOK</t>
        </is>
      </c>
      <c r="BC7" t="inlineStr">
        <is>
          <t>32285001242410</t>
        </is>
      </c>
      <c r="BD7" t="inlineStr">
        <is>
          <t>893616744</t>
        </is>
      </c>
    </row>
    <row r="8">
      <c r="A8" t="inlineStr">
        <is>
          <t>No</t>
        </is>
      </c>
      <c r="B8" t="inlineStr">
        <is>
          <t>ND1043 .C34 1996</t>
        </is>
      </c>
      <c r="C8" t="inlineStr">
        <is>
          <t>0                      ND 1043000C  34          1996</t>
        </is>
      </c>
      <c r="D8" t="inlineStr">
        <is>
          <t>The lyric journey : poetic painting in China and Japan / James Cahill.</t>
        </is>
      </c>
      <c r="F8" t="inlineStr">
        <is>
          <t>No</t>
        </is>
      </c>
      <c r="G8" t="inlineStr">
        <is>
          <t>1</t>
        </is>
      </c>
      <c r="H8" t="inlineStr">
        <is>
          <t>No</t>
        </is>
      </c>
      <c r="I8" t="inlineStr">
        <is>
          <t>No</t>
        </is>
      </c>
      <c r="J8" t="inlineStr">
        <is>
          <t>0</t>
        </is>
      </c>
      <c r="K8" t="inlineStr">
        <is>
          <t>Cahill, James, 1926-2014.</t>
        </is>
      </c>
      <c r="L8" t="inlineStr">
        <is>
          <t>Cambridge, Mass. : Harvard University Press, 1996.</t>
        </is>
      </c>
      <c r="M8" t="inlineStr">
        <is>
          <t>1996</t>
        </is>
      </c>
      <c r="O8" t="inlineStr">
        <is>
          <t>eng</t>
        </is>
      </c>
      <c r="P8" t="inlineStr">
        <is>
          <t>mau</t>
        </is>
      </c>
      <c r="R8" t="inlineStr">
        <is>
          <t xml:space="preserve">ND </t>
        </is>
      </c>
      <c r="S8" t="n">
        <v>1</v>
      </c>
      <c r="T8" t="n">
        <v>1</v>
      </c>
      <c r="U8" t="inlineStr">
        <is>
          <t>1999-11-21</t>
        </is>
      </c>
      <c r="V8" t="inlineStr">
        <is>
          <t>1999-11-21</t>
        </is>
      </c>
      <c r="W8" t="inlineStr">
        <is>
          <t>1996-12-06</t>
        </is>
      </c>
      <c r="X8" t="inlineStr">
        <is>
          <t>1996-12-06</t>
        </is>
      </c>
      <c r="Y8" t="n">
        <v>487</v>
      </c>
      <c r="Z8" t="n">
        <v>412</v>
      </c>
      <c r="AA8" t="n">
        <v>443</v>
      </c>
      <c r="AB8" t="n">
        <v>3</v>
      </c>
      <c r="AC8" t="n">
        <v>3</v>
      </c>
      <c r="AD8" t="n">
        <v>25</v>
      </c>
      <c r="AE8" t="n">
        <v>26</v>
      </c>
      <c r="AF8" t="n">
        <v>10</v>
      </c>
      <c r="AG8" t="n">
        <v>11</v>
      </c>
      <c r="AH8" t="n">
        <v>7</v>
      </c>
      <c r="AI8" t="n">
        <v>7</v>
      </c>
      <c r="AJ8" t="n">
        <v>10</v>
      </c>
      <c r="AK8" t="n">
        <v>10</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HYPERLINK("https://creighton-primo.hosted.exlibrisgroup.com/primo-explore/search?tab=default_tab&amp;search_scope=EVERYTHING&amp;vid=01CRU&amp;lang=en_US&amp;offset=0&amp;query=any,contains,991002531329702656","Catalog Record")</f>
        <v/>
      </c>
      <c r="AT8">
        <f>HYPERLINK("http://www.worldcat.org/oclc/32893497","WorldCat Record")</f>
        <v/>
      </c>
      <c r="AU8" t="inlineStr">
        <is>
          <t>932380:eng</t>
        </is>
      </c>
      <c r="AV8" t="inlineStr">
        <is>
          <t>32893497</t>
        </is>
      </c>
      <c r="AW8" t="inlineStr">
        <is>
          <t>991002531329702656</t>
        </is>
      </c>
      <c r="AX8" t="inlineStr">
        <is>
          <t>991002531329702656</t>
        </is>
      </c>
      <c r="AY8" t="inlineStr">
        <is>
          <t>2257612640002656</t>
        </is>
      </c>
      <c r="AZ8" t="inlineStr">
        <is>
          <t>BOOK</t>
        </is>
      </c>
      <c r="BB8" t="inlineStr">
        <is>
          <t>9780674539709</t>
        </is>
      </c>
      <c r="BC8" t="inlineStr">
        <is>
          <t>32285002388964</t>
        </is>
      </c>
      <c r="BD8" t="inlineStr">
        <is>
          <t>893421491</t>
        </is>
      </c>
    </row>
    <row r="9">
      <c r="A9" t="inlineStr">
        <is>
          <t>No</t>
        </is>
      </c>
      <c r="B9" t="inlineStr">
        <is>
          <t>ND1043 .S9 1959</t>
        </is>
      </c>
      <c r="C9" t="inlineStr">
        <is>
          <t>0                      ND 1043000S  9           1959</t>
        </is>
      </c>
      <c r="D9" t="inlineStr">
        <is>
          <t>The way of Chinese painting, its ideas and technique; with selections from the seventeenth-century Mustard Seed Garden manual of painting.</t>
        </is>
      </c>
      <c r="F9" t="inlineStr">
        <is>
          <t>No</t>
        </is>
      </c>
      <c r="G9" t="inlineStr">
        <is>
          <t>1</t>
        </is>
      </c>
      <c r="H9" t="inlineStr">
        <is>
          <t>No</t>
        </is>
      </c>
      <c r="I9" t="inlineStr">
        <is>
          <t>No</t>
        </is>
      </c>
      <c r="J9" t="inlineStr">
        <is>
          <t>0</t>
        </is>
      </c>
      <c r="K9" t="inlineStr">
        <is>
          <t>Sze, Mai-mai.</t>
        </is>
      </c>
      <c r="L9" t="inlineStr">
        <is>
          <t>New York, Random House [c1959]</t>
        </is>
      </c>
      <c r="M9" t="inlineStr">
        <is>
          <t>1959</t>
        </is>
      </c>
      <c r="O9" t="inlineStr">
        <is>
          <t>eng</t>
        </is>
      </c>
      <c r="P9" t="inlineStr">
        <is>
          <t>nyu</t>
        </is>
      </c>
      <c r="Q9" t="inlineStr">
        <is>
          <t>Modern Library paperbacks ; P-57</t>
        </is>
      </c>
      <c r="R9" t="inlineStr">
        <is>
          <t xml:space="preserve">ND </t>
        </is>
      </c>
      <c r="S9" t="n">
        <v>2</v>
      </c>
      <c r="T9" t="n">
        <v>2</v>
      </c>
      <c r="U9" t="inlineStr">
        <is>
          <t>1999-03-26</t>
        </is>
      </c>
      <c r="V9" t="inlineStr">
        <is>
          <t>1999-03-26</t>
        </is>
      </c>
      <c r="W9" t="inlineStr">
        <is>
          <t>1997-08-05</t>
        </is>
      </c>
      <c r="X9" t="inlineStr">
        <is>
          <t>1997-08-05</t>
        </is>
      </c>
      <c r="Y9" t="n">
        <v>344</v>
      </c>
      <c r="Z9" t="n">
        <v>297</v>
      </c>
      <c r="AA9" t="n">
        <v>536</v>
      </c>
      <c r="AB9" t="n">
        <v>3</v>
      </c>
      <c r="AC9" t="n">
        <v>7</v>
      </c>
      <c r="AD9" t="n">
        <v>10</v>
      </c>
      <c r="AE9" t="n">
        <v>20</v>
      </c>
      <c r="AF9" t="n">
        <v>6</v>
      </c>
      <c r="AG9" t="n">
        <v>7</v>
      </c>
      <c r="AH9" t="n">
        <v>2</v>
      </c>
      <c r="AI9" t="n">
        <v>4</v>
      </c>
      <c r="AJ9" t="n">
        <v>4</v>
      </c>
      <c r="AK9" t="n">
        <v>10</v>
      </c>
      <c r="AL9" t="n">
        <v>1</v>
      </c>
      <c r="AM9" t="n">
        <v>5</v>
      </c>
      <c r="AN9" t="n">
        <v>0</v>
      </c>
      <c r="AO9" t="n">
        <v>0</v>
      </c>
      <c r="AP9" t="inlineStr">
        <is>
          <t>No</t>
        </is>
      </c>
      <c r="AQ9" t="inlineStr">
        <is>
          <t>Yes</t>
        </is>
      </c>
      <c r="AR9">
        <f>HYPERLINK("http://catalog.hathitrust.org/Record/000771394","HathiTrust Record")</f>
        <v/>
      </c>
      <c r="AS9">
        <f>HYPERLINK("https://creighton-primo.hosted.exlibrisgroup.com/primo-explore/search?tab=default_tab&amp;search_scope=EVERYTHING&amp;vid=01CRU&amp;lang=en_US&amp;offset=0&amp;query=any,contains,991000109599702656","Catalog Record")</f>
        <v/>
      </c>
      <c r="AT9">
        <f>HYPERLINK("http://www.worldcat.org/oclc/8991506","WorldCat Record")</f>
        <v/>
      </c>
      <c r="AU9" t="inlineStr">
        <is>
          <t>463758:eng</t>
        </is>
      </c>
      <c r="AV9" t="inlineStr">
        <is>
          <t>8991506</t>
        </is>
      </c>
      <c r="AW9" t="inlineStr">
        <is>
          <t>991000109599702656</t>
        </is>
      </c>
      <c r="AX9" t="inlineStr">
        <is>
          <t>991000109599702656</t>
        </is>
      </c>
      <c r="AY9" t="inlineStr">
        <is>
          <t>2258760170002656</t>
        </is>
      </c>
      <c r="AZ9" t="inlineStr">
        <is>
          <t>BOOK</t>
        </is>
      </c>
      <c r="BC9" t="inlineStr">
        <is>
          <t>32285002969581</t>
        </is>
      </c>
      <c r="BD9" t="inlineStr">
        <is>
          <t>893237079</t>
        </is>
      </c>
    </row>
    <row r="10">
      <c r="A10" t="inlineStr">
        <is>
          <t>No</t>
        </is>
      </c>
      <c r="B10" t="inlineStr">
        <is>
          <t>ND1043 .S9 1963</t>
        </is>
      </c>
      <c r="C10" t="inlineStr">
        <is>
          <t>0                      ND 1043000S  9           1963</t>
        </is>
      </c>
      <c r="D10" t="inlineStr">
        <is>
          <t>The tao of painting.</t>
        </is>
      </c>
      <c r="F10" t="inlineStr">
        <is>
          <t>No</t>
        </is>
      </c>
      <c r="G10" t="inlineStr">
        <is>
          <t>1</t>
        </is>
      </c>
      <c r="H10" t="inlineStr">
        <is>
          <t>No</t>
        </is>
      </c>
      <c r="I10" t="inlineStr">
        <is>
          <t>No</t>
        </is>
      </c>
      <c r="J10" t="inlineStr">
        <is>
          <t>0</t>
        </is>
      </c>
      <c r="K10" t="inlineStr">
        <is>
          <t>Sze, Mai-mai.</t>
        </is>
      </c>
      <c r="L10" t="inlineStr">
        <is>
          <t>New York] Pantheon Books [c1963]</t>
        </is>
      </c>
      <c r="M10" t="inlineStr">
        <is>
          <t>1963</t>
        </is>
      </c>
      <c r="N10" t="inlineStr">
        <is>
          <t>[2d ed., with corrections.</t>
        </is>
      </c>
      <c r="O10" t="inlineStr">
        <is>
          <t>eng</t>
        </is>
      </c>
      <c r="P10" t="inlineStr">
        <is>
          <t xml:space="preserve">xx </t>
        </is>
      </c>
      <c r="Q10" t="inlineStr">
        <is>
          <t>Bollingen series ; 49</t>
        </is>
      </c>
      <c r="R10" t="inlineStr">
        <is>
          <t xml:space="preserve">ND </t>
        </is>
      </c>
      <c r="S10" t="n">
        <v>3</v>
      </c>
      <c r="T10" t="n">
        <v>3</v>
      </c>
      <c r="U10" t="inlineStr">
        <is>
          <t>1999-09-05</t>
        </is>
      </c>
      <c r="V10" t="inlineStr">
        <is>
          <t>1999-09-05</t>
        </is>
      </c>
      <c r="W10" t="inlineStr">
        <is>
          <t>1997-08-05</t>
        </is>
      </c>
      <c r="X10" t="inlineStr">
        <is>
          <t>1997-08-05</t>
        </is>
      </c>
      <c r="Y10" t="n">
        <v>163</v>
      </c>
      <c r="Z10" t="n">
        <v>160</v>
      </c>
      <c r="AA10" t="n">
        <v>161</v>
      </c>
      <c r="AB10" t="n">
        <v>2</v>
      </c>
      <c r="AC10" t="n">
        <v>2</v>
      </c>
      <c r="AD10" t="n">
        <v>9</v>
      </c>
      <c r="AE10" t="n">
        <v>9</v>
      </c>
      <c r="AF10" t="n">
        <v>6</v>
      </c>
      <c r="AG10" t="n">
        <v>6</v>
      </c>
      <c r="AH10" t="n">
        <v>0</v>
      </c>
      <c r="AI10" t="n">
        <v>0</v>
      </c>
      <c r="AJ10" t="n">
        <v>4</v>
      </c>
      <c r="AK10" t="n">
        <v>4</v>
      </c>
      <c r="AL10" t="n">
        <v>1</v>
      </c>
      <c r="AM10" t="n">
        <v>1</v>
      </c>
      <c r="AN10" t="n">
        <v>0</v>
      </c>
      <c r="AO10" t="n">
        <v>0</v>
      </c>
      <c r="AP10" t="inlineStr">
        <is>
          <t>No</t>
        </is>
      </c>
      <c r="AQ10" t="inlineStr">
        <is>
          <t>No</t>
        </is>
      </c>
      <c r="AS10">
        <f>HYPERLINK("https://creighton-primo.hosted.exlibrisgroup.com/primo-explore/search?tab=default_tab&amp;search_scope=EVERYTHING&amp;vid=01CRU&amp;lang=en_US&amp;offset=0&amp;query=any,contains,991002903609702656","Catalog Record")</f>
        <v/>
      </c>
      <c r="AT10">
        <f>HYPERLINK("http://www.worldcat.org/oclc/518403","WorldCat Record")</f>
        <v/>
      </c>
      <c r="AU10" t="inlineStr">
        <is>
          <t>4529218838:eng</t>
        </is>
      </c>
      <c r="AV10" t="inlineStr">
        <is>
          <t>518403</t>
        </is>
      </c>
      <c r="AW10" t="inlineStr">
        <is>
          <t>991002903609702656</t>
        </is>
      </c>
      <c r="AX10" t="inlineStr">
        <is>
          <t>991002903609702656</t>
        </is>
      </c>
      <c r="AY10" t="inlineStr">
        <is>
          <t>2255905510002656</t>
        </is>
      </c>
      <c r="AZ10" t="inlineStr">
        <is>
          <t>BOOK</t>
        </is>
      </c>
      <c r="BC10" t="inlineStr">
        <is>
          <t>32285002969607</t>
        </is>
      </c>
      <c r="BD10" t="inlineStr">
        <is>
          <t>893342005</t>
        </is>
      </c>
    </row>
    <row r="11">
      <c r="A11" t="inlineStr">
        <is>
          <t>No</t>
        </is>
      </c>
      <c r="B11" t="inlineStr">
        <is>
          <t>ND1043.4 .C33 1976</t>
        </is>
      </c>
      <c r="C11" t="inlineStr">
        <is>
          <t>0                      ND 1043400C  33          1976</t>
        </is>
      </c>
      <c r="D11" t="inlineStr">
        <is>
          <t>Hills beyond a river : Chinese painting of the Yüan Dynasty, 1279-1368 / James Cahill.</t>
        </is>
      </c>
      <c r="F11" t="inlineStr">
        <is>
          <t>No</t>
        </is>
      </c>
      <c r="G11" t="inlineStr">
        <is>
          <t>1</t>
        </is>
      </c>
      <c r="H11" t="inlineStr">
        <is>
          <t>No</t>
        </is>
      </c>
      <c r="I11" t="inlineStr">
        <is>
          <t>No</t>
        </is>
      </c>
      <c r="J11" t="inlineStr">
        <is>
          <t>0</t>
        </is>
      </c>
      <c r="K11" t="inlineStr">
        <is>
          <t>Cahill, James, 1926-2014.</t>
        </is>
      </c>
      <c r="L11" t="inlineStr">
        <is>
          <t>New York : Weatherhill, 1976.</t>
        </is>
      </c>
      <c r="M11" t="inlineStr">
        <is>
          <t>1976</t>
        </is>
      </c>
      <c r="N11" t="inlineStr">
        <is>
          <t>1st ed.</t>
        </is>
      </c>
      <c r="O11" t="inlineStr">
        <is>
          <t>eng</t>
        </is>
      </c>
      <c r="P11" t="inlineStr">
        <is>
          <t>nyu</t>
        </is>
      </c>
      <c r="Q11" t="inlineStr">
        <is>
          <t>[His A history of later Chinese painting, 1279-1950 ; v. 1]</t>
        </is>
      </c>
      <c r="R11" t="inlineStr">
        <is>
          <t xml:space="preserve">ND </t>
        </is>
      </c>
      <c r="S11" t="n">
        <v>1</v>
      </c>
      <c r="T11" t="n">
        <v>1</v>
      </c>
      <c r="U11" t="inlineStr">
        <is>
          <t>1999-11-21</t>
        </is>
      </c>
      <c r="V11" t="inlineStr">
        <is>
          <t>1999-11-21</t>
        </is>
      </c>
      <c r="W11" t="inlineStr">
        <is>
          <t>1997-08-05</t>
        </is>
      </c>
      <c r="X11" t="inlineStr">
        <is>
          <t>1997-08-05</t>
        </is>
      </c>
      <c r="Y11" t="n">
        <v>705</v>
      </c>
      <c r="Z11" t="n">
        <v>578</v>
      </c>
      <c r="AA11" t="n">
        <v>596</v>
      </c>
      <c r="AB11" t="n">
        <v>5</v>
      </c>
      <c r="AC11" t="n">
        <v>5</v>
      </c>
      <c r="AD11" t="n">
        <v>21</v>
      </c>
      <c r="AE11" t="n">
        <v>21</v>
      </c>
      <c r="AF11" t="n">
        <v>7</v>
      </c>
      <c r="AG11" t="n">
        <v>7</v>
      </c>
      <c r="AH11" t="n">
        <v>6</v>
      </c>
      <c r="AI11" t="n">
        <v>6</v>
      </c>
      <c r="AJ11" t="n">
        <v>9</v>
      </c>
      <c r="AK11" t="n">
        <v>9</v>
      </c>
      <c r="AL11" t="n">
        <v>4</v>
      </c>
      <c r="AM11" t="n">
        <v>4</v>
      </c>
      <c r="AN11" t="n">
        <v>0</v>
      </c>
      <c r="AO11" t="n">
        <v>0</v>
      </c>
      <c r="AP11" t="inlineStr">
        <is>
          <t>No</t>
        </is>
      </c>
      <c r="AQ11" t="inlineStr">
        <is>
          <t>Yes</t>
        </is>
      </c>
      <c r="AR11">
        <f>HYPERLINK("http://catalog.hathitrust.org/Record/000687010","HathiTrust Record")</f>
        <v/>
      </c>
      <c r="AS11">
        <f>HYPERLINK("https://creighton-primo.hosted.exlibrisgroup.com/primo-explore/search?tab=default_tab&amp;search_scope=EVERYTHING&amp;vid=01CRU&amp;lang=en_US&amp;offset=0&amp;query=any,contains,991003963809702656","Catalog Record")</f>
        <v/>
      </c>
      <c r="AT11">
        <f>HYPERLINK("http://www.worldcat.org/oclc/1976781","WorldCat Record")</f>
        <v/>
      </c>
      <c r="AU11" t="inlineStr">
        <is>
          <t>2751983:eng</t>
        </is>
      </c>
      <c r="AV11" t="inlineStr">
        <is>
          <t>1976781</t>
        </is>
      </c>
      <c r="AW11" t="inlineStr">
        <is>
          <t>991003963809702656</t>
        </is>
      </c>
      <c r="AX11" t="inlineStr">
        <is>
          <t>991003963809702656</t>
        </is>
      </c>
      <c r="AY11" t="inlineStr">
        <is>
          <t>2268547880002656</t>
        </is>
      </c>
      <c r="AZ11" t="inlineStr">
        <is>
          <t>BOOK</t>
        </is>
      </c>
      <c r="BB11" t="inlineStr">
        <is>
          <t>9780834801202</t>
        </is>
      </c>
      <c r="BC11" t="inlineStr">
        <is>
          <t>32285002969615</t>
        </is>
      </c>
      <c r="BD11" t="inlineStr">
        <is>
          <t>893512615</t>
        </is>
      </c>
    </row>
    <row r="12">
      <c r="A12" t="inlineStr">
        <is>
          <t>No</t>
        </is>
      </c>
      <c r="B12" t="inlineStr">
        <is>
          <t>ND1043.5 .V54 1988</t>
        </is>
      </c>
      <c r="C12" t="inlineStr">
        <is>
          <t>0                      ND 1043500V  54          1988</t>
        </is>
      </c>
      <c r="D12" t="inlineStr">
        <is>
          <t>Views from Jade Terrace : Chinese women artists, 1300-1912 / Marsha Weidner ... [et al.].</t>
        </is>
      </c>
      <c r="F12" t="inlineStr">
        <is>
          <t>No</t>
        </is>
      </c>
      <c r="G12" t="inlineStr">
        <is>
          <t>1</t>
        </is>
      </c>
      <c r="H12" t="inlineStr">
        <is>
          <t>No</t>
        </is>
      </c>
      <c r="I12" t="inlineStr">
        <is>
          <t>No</t>
        </is>
      </c>
      <c r="J12" t="inlineStr">
        <is>
          <t>0</t>
        </is>
      </c>
      <c r="L12" t="inlineStr">
        <is>
          <t>Indianapolis, Ind. : Indianapolis Museum of Art ; New York : Rizzoli, c1988.</t>
        </is>
      </c>
      <c r="M12" t="inlineStr">
        <is>
          <t>1988</t>
        </is>
      </c>
      <c r="O12" t="inlineStr">
        <is>
          <t>eng</t>
        </is>
      </c>
      <c r="P12" t="inlineStr">
        <is>
          <t>inu</t>
        </is>
      </c>
      <c r="R12" t="inlineStr">
        <is>
          <t xml:space="preserve">ND </t>
        </is>
      </c>
      <c r="S12" t="n">
        <v>8</v>
      </c>
      <c r="T12" t="n">
        <v>8</v>
      </c>
      <c r="U12" t="inlineStr">
        <is>
          <t>2001-03-13</t>
        </is>
      </c>
      <c r="V12" t="inlineStr">
        <is>
          <t>2001-03-13</t>
        </is>
      </c>
      <c r="W12" t="inlineStr">
        <is>
          <t>1993-10-28</t>
        </is>
      </c>
      <c r="X12" t="inlineStr">
        <is>
          <t>1993-10-28</t>
        </is>
      </c>
      <c r="Y12" t="n">
        <v>600</v>
      </c>
      <c r="Z12" t="n">
        <v>513</v>
      </c>
      <c r="AA12" t="n">
        <v>525</v>
      </c>
      <c r="AB12" t="n">
        <v>3</v>
      </c>
      <c r="AC12" t="n">
        <v>4</v>
      </c>
      <c r="AD12" t="n">
        <v>19</v>
      </c>
      <c r="AE12" t="n">
        <v>20</v>
      </c>
      <c r="AF12" t="n">
        <v>6</v>
      </c>
      <c r="AG12" t="n">
        <v>6</v>
      </c>
      <c r="AH12" t="n">
        <v>5</v>
      </c>
      <c r="AI12" t="n">
        <v>5</v>
      </c>
      <c r="AJ12" t="n">
        <v>10</v>
      </c>
      <c r="AK12" t="n">
        <v>10</v>
      </c>
      <c r="AL12" t="n">
        <v>2</v>
      </c>
      <c r="AM12" t="n">
        <v>3</v>
      </c>
      <c r="AN12" t="n">
        <v>0</v>
      </c>
      <c r="AO12" t="n">
        <v>0</v>
      </c>
      <c r="AP12" t="inlineStr">
        <is>
          <t>Yes</t>
        </is>
      </c>
      <c r="AQ12" t="inlineStr">
        <is>
          <t>No</t>
        </is>
      </c>
      <c r="AR12">
        <f>HYPERLINK("http://catalog.hathitrust.org/Record/001074222","HathiTrust Record")</f>
        <v/>
      </c>
      <c r="AS12">
        <f>HYPERLINK("https://creighton-primo.hosted.exlibrisgroup.com/primo-explore/search?tab=default_tab&amp;search_scope=EVERYTHING&amp;vid=01CRU&amp;lang=en_US&amp;offset=0&amp;query=any,contains,991001370819702656","Catalog Record")</f>
        <v/>
      </c>
      <c r="AT12">
        <f>HYPERLINK("http://www.worldcat.org/oclc/18563433","WorldCat Record")</f>
        <v/>
      </c>
      <c r="AU12" t="inlineStr">
        <is>
          <t>190581843:eng</t>
        </is>
      </c>
      <c r="AV12" t="inlineStr">
        <is>
          <t>18563433</t>
        </is>
      </c>
      <c r="AW12" t="inlineStr">
        <is>
          <t>991001370819702656</t>
        </is>
      </c>
      <c r="AX12" t="inlineStr">
        <is>
          <t>991001370819702656</t>
        </is>
      </c>
      <c r="AY12" t="inlineStr">
        <is>
          <t>2265918000002656</t>
        </is>
      </c>
      <c r="AZ12" t="inlineStr">
        <is>
          <t>BOOK</t>
        </is>
      </c>
      <c r="BB12" t="inlineStr">
        <is>
          <t>9780936260228</t>
        </is>
      </c>
      <c r="BC12" t="inlineStr">
        <is>
          <t>32285001788974</t>
        </is>
      </c>
      <c r="BD12" t="inlineStr">
        <is>
          <t>893346442</t>
        </is>
      </c>
    </row>
    <row r="13">
      <c r="A13" t="inlineStr">
        <is>
          <t>No</t>
        </is>
      </c>
      <c r="B13" t="inlineStr">
        <is>
          <t>ND1046.M6 I613</t>
        </is>
      </c>
      <c r="C13" t="inlineStr">
        <is>
          <t>0                      ND 1046000M  6                  I  613</t>
        </is>
      </c>
      <c r="D13" t="inlineStr">
        <is>
          <t>Painting and culture of the Mongols [by] M.S. Ipsiroglu. [Translated from German by E.D. Phillips]</t>
        </is>
      </c>
      <c r="F13" t="inlineStr">
        <is>
          <t>No</t>
        </is>
      </c>
      <c r="G13" t="inlineStr">
        <is>
          <t>1</t>
        </is>
      </c>
      <c r="H13" t="inlineStr">
        <is>
          <t>No</t>
        </is>
      </c>
      <c r="I13" t="inlineStr">
        <is>
          <t>No</t>
        </is>
      </c>
      <c r="J13" t="inlineStr">
        <is>
          <t>0</t>
        </is>
      </c>
      <c r="K13" t="inlineStr">
        <is>
          <t>İpşiroğlu, M. Ş. (Mazhar Şevket)</t>
        </is>
      </c>
      <c r="L13" t="inlineStr">
        <is>
          <t>New York, Abrams [1966]</t>
        </is>
      </c>
      <c r="M13" t="inlineStr">
        <is>
          <t>1966</t>
        </is>
      </c>
      <c r="O13" t="inlineStr">
        <is>
          <t>eng</t>
        </is>
      </c>
      <c r="P13" t="inlineStr">
        <is>
          <t>nyu</t>
        </is>
      </c>
      <c r="R13" t="inlineStr">
        <is>
          <t xml:space="preserve">ND </t>
        </is>
      </c>
      <c r="S13" t="n">
        <v>2</v>
      </c>
      <c r="T13" t="n">
        <v>2</v>
      </c>
      <c r="U13" t="inlineStr">
        <is>
          <t>1998-02-16</t>
        </is>
      </c>
      <c r="V13" t="inlineStr">
        <is>
          <t>1998-02-16</t>
        </is>
      </c>
      <c r="W13" t="inlineStr">
        <is>
          <t>1997-08-05</t>
        </is>
      </c>
      <c r="X13" t="inlineStr">
        <is>
          <t>1997-08-05</t>
        </is>
      </c>
      <c r="Y13" t="n">
        <v>464</v>
      </c>
      <c r="Z13" t="n">
        <v>436</v>
      </c>
      <c r="AA13" t="n">
        <v>463</v>
      </c>
      <c r="AB13" t="n">
        <v>7</v>
      </c>
      <c r="AC13" t="n">
        <v>7</v>
      </c>
      <c r="AD13" t="n">
        <v>16</v>
      </c>
      <c r="AE13" t="n">
        <v>17</v>
      </c>
      <c r="AF13" t="n">
        <v>7</v>
      </c>
      <c r="AG13" t="n">
        <v>7</v>
      </c>
      <c r="AH13" t="n">
        <v>1</v>
      </c>
      <c r="AI13" t="n">
        <v>1</v>
      </c>
      <c r="AJ13" t="n">
        <v>7</v>
      </c>
      <c r="AK13" t="n">
        <v>8</v>
      </c>
      <c r="AL13" t="n">
        <v>5</v>
      </c>
      <c r="AM13" t="n">
        <v>5</v>
      </c>
      <c r="AN13" t="n">
        <v>0</v>
      </c>
      <c r="AO13" t="n">
        <v>0</v>
      </c>
      <c r="AP13" t="inlineStr">
        <is>
          <t>No</t>
        </is>
      </c>
      <c r="AQ13" t="inlineStr">
        <is>
          <t>Yes</t>
        </is>
      </c>
      <c r="AR13">
        <f>HYPERLINK("http://catalog.hathitrust.org/Record/000653771","HathiTrust Record")</f>
        <v/>
      </c>
      <c r="AS13">
        <f>HYPERLINK("https://creighton-primo.hosted.exlibrisgroup.com/primo-explore/search?tab=default_tab&amp;search_scope=EVERYTHING&amp;vid=01CRU&amp;lang=en_US&amp;offset=0&amp;query=any,contains,991003174139702656","Catalog Record")</f>
        <v/>
      </c>
      <c r="AT13">
        <f>HYPERLINK("http://www.worldcat.org/oclc/709707","WorldCat Record")</f>
        <v/>
      </c>
      <c r="AU13" t="inlineStr">
        <is>
          <t>2452600602:eng</t>
        </is>
      </c>
      <c r="AV13" t="inlineStr">
        <is>
          <t>709707</t>
        </is>
      </c>
      <c r="AW13" t="inlineStr">
        <is>
          <t>991003174139702656</t>
        </is>
      </c>
      <c r="AX13" t="inlineStr">
        <is>
          <t>991003174139702656</t>
        </is>
      </c>
      <c r="AY13" t="inlineStr">
        <is>
          <t>2267499120002656</t>
        </is>
      </c>
      <c r="AZ13" t="inlineStr">
        <is>
          <t>BOOK</t>
        </is>
      </c>
      <c r="BC13" t="inlineStr">
        <is>
          <t>32285002969631</t>
        </is>
      </c>
      <c r="BD13" t="inlineStr">
        <is>
          <t>893899692</t>
        </is>
      </c>
    </row>
    <row r="14">
      <c r="A14" t="inlineStr">
        <is>
          <t>No</t>
        </is>
      </c>
      <c r="B14" t="inlineStr">
        <is>
          <t>ND1050 .A41</t>
        </is>
      </c>
      <c r="C14" t="inlineStr">
        <is>
          <t>0                      ND 1050000A  41</t>
        </is>
      </c>
      <c r="D14" t="inlineStr">
        <is>
          <t>Japanese painting.</t>
        </is>
      </c>
      <c r="F14" t="inlineStr">
        <is>
          <t>No</t>
        </is>
      </c>
      <c r="G14" t="inlineStr">
        <is>
          <t>1</t>
        </is>
      </c>
      <c r="H14" t="inlineStr">
        <is>
          <t>No</t>
        </is>
      </c>
      <c r="I14" t="inlineStr">
        <is>
          <t>No</t>
        </is>
      </c>
      <c r="J14" t="inlineStr">
        <is>
          <t>0</t>
        </is>
      </c>
      <c r="K14" t="inlineStr">
        <is>
          <t>Akiyama, Terukazu, 1918-2009.</t>
        </is>
      </c>
      <c r="L14" t="inlineStr">
        <is>
          <t>[Geneva?] Skira; [distributed by World Pub. Co., Cleveland, 1961]</t>
        </is>
      </c>
      <c r="M14" t="inlineStr">
        <is>
          <t>1961</t>
        </is>
      </c>
      <c r="O14" t="inlineStr">
        <is>
          <t>eng</t>
        </is>
      </c>
      <c r="P14" t="inlineStr">
        <is>
          <t xml:space="preserve">sz </t>
        </is>
      </c>
      <c r="Q14" t="inlineStr">
        <is>
          <t>Treasures of Asia</t>
        </is>
      </c>
      <c r="R14" t="inlineStr">
        <is>
          <t xml:space="preserve">ND </t>
        </is>
      </c>
      <c r="S14" t="n">
        <v>3</v>
      </c>
      <c r="T14" t="n">
        <v>3</v>
      </c>
      <c r="U14" t="inlineStr">
        <is>
          <t>2005-04-22</t>
        </is>
      </c>
      <c r="V14" t="inlineStr">
        <is>
          <t>2005-04-22</t>
        </is>
      </c>
      <c r="W14" t="inlineStr">
        <is>
          <t>1997-05-28</t>
        </is>
      </c>
      <c r="X14" t="inlineStr">
        <is>
          <t>1997-05-28</t>
        </is>
      </c>
      <c r="Y14" t="n">
        <v>909</v>
      </c>
      <c r="Z14" t="n">
        <v>820</v>
      </c>
      <c r="AA14" t="n">
        <v>1176</v>
      </c>
      <c r="AB14" t="n">
        <v>8</v>
      </c>
      <c r="AC14" t="n">
        <v>9</v>
      </c>
      <c r="AD14" t="n">
        <v>26</v>
      </c>
      <c r="AE14" t="n">
        <v>37</v>
      </c>
      <c r="AF14" t="n">
        <v>11</v>
      </c>
      <c r="AG14" t="n">
        <v>17</v>
      </c>
      <c r="AH14" t="n">
        <v>4</v>
      </c>
      <c r="AI14" t="n">
        <v>7</v>
      </c>
      <c r="AJ14" t="n">
        <v>10</v>
      </c>
      <c r="AK14" t="n">
        <v>17</v>
      </c>
      <c r="AL14" t="n">
        <v>5</v>
      </c>
      <c r="AM14" t="n">
        <v>5</v>
      </c>
      <c r="AN14" t="n">
        <v>0</v>
      </c>
      <c r="AO14" t="n">
        <v>0</v>
      </c>
      <c r="AP14" t="inlineStr">
        <is>
          <t>No</t>
        </is>
      </c>
      <c r="AQ14" t="inlineStr">
        <is>
          <t>No</t>
        </is>
      </c>
      <c r="AR14">
        <f>HYPERLINK("http://catalog.hathitrust.org/Record/000654033","HathiTrust Record")</f>
        <v/>
      </c>
      <c r="AS14">
        <f>HYPERLINK("https://creighton-primo.hosted.exlibrisgroup.com/primo-explore/search?tab=default_tab&amp;search_scope=EVERYTHING&amp;vid=01CRU&amp;lang=en_US&amp;offset=0&amp;query=any,contains,991002905609702656","Catalog Record")</f>
        <v/>
      </c>
      <c r="AT14">
        <f>HYPERLINK("http://www.worldcat.org/oclc/519340","WorldCat Record")</f>
        <v/>
      </c>
      <c r="AU14" t="inlineStr">
        <is>
          <t>3881940968:eng</t>
        </is>
      </c>
      <c r="AV14" t="inlineStr">
        <is>
          <t>519340</t>
        </is>
      </c>
      <c r="AW14" t="inlineStr">
        <is>
          <t>991002905609702656</t>
        </is>
      </c>
      <c r="AX14" t="inlineStr">
        <is>
          <t>991002905609702656</t>
        </is>
      </c>
      <c r="AY14" t="inlineStr">
        <is>
          <t>2256818050002656</t>
        </is>
      </c>
      <c r="AZ14" t="inlineStr">
        <is>
          <t>BOOK</t>
        </is>
      </c>
      <c r="BC14" t="inlineStr">
        <is>
          <t>32285002698610</t>
        </is>
      </c>
      <c r="BD14" t="inlineStr">
        <is>
          <t>893517904</t>
        </is>
      </c>
    </row>
    <row r="15">
      <c r="A15" t="inlineStr">
        <is>
          <t>No</t>
        </is>
      </c>
      <c r="B15" t="inlineStr">
        <is>
          <t>ND1052 .M885 1986</t>
        </is>
      </c>
      <c r="C15" t="inlineStr">
        <is>
          <t>0                      ND 1052000M  885         1986</t>
        </is>
      </c>
      <c r="D15" t="inlineStr">
        <is>
          <t>Tales of Japan : scrolls and prints from the New York Public Library / Miyeko Murase.</t>
        </is>
      </c>
      <c r="F15" t="inlineStr">
        <is>
          <t>No</t>
        </is>
      </c>
      <c r="G15" t="inlineStr">
        <is>
          <t>1</t>
        </is>
      </c>
      <c r="H15" t="inlineStr">
        <is>
          <t>No</t>
        </is>
      </c>
      <c r="I15" t="inlineStr">
        <is>
          <t>No</t>
        </is>
      </c>
      <c r="J15" t="inlineStr">
        <is>
          <t>0</t>
        </is>
      </c>
      <c r="K15" t="inlineStr">
        <is>
          <t>Murase, Miyeko.</t>
        </is>
      </c>
      <c r="L15" t="inlineStr">
        <is>
          <t>Oxford ; New York : Oxford University Press, 1986.</t>
        </is>
      </c>
      <c r="M15" t="inlineStr">
        <is>
          <t>1986</t>
        </is>
      </c>
      <c r="O15" t="inlineStr">
        <is>
          <t>eng</t>
        </is>
      </c>
      <c r="P15" t="inlineStr">
        <is>
          <t>enk</t>
        </is>
      </c>
      <c r="R15" t="inlineStr">
        <is>
          <t xml:space="preserve">ND </t>
        </is>
      </c>
      <c r="S15" t="n">
        <v>1</v>
      </c>
      <c r="T15" t="n">
        <v>1</v>
      </c>
      <c r="U15" t="inlineStr">
        <is>
          <t>2007-02-01</t>
        </is>
      </c>
      <c r="V15" t="inlineStr">
        <is>
          <t>2007-02-01</t>
        </is>
      </c>
      <c r="W15" t="inlineStr">
        <is>
          <t>2007-02-01</t>
        </is>
      </c>
      <c r="X15" t="inlineStr">
        <is>
          <t>2007-02-01</t>
        </is>
      </c>
      <c r="Y15" t="n">
        <v>393</v>
      </c>
      <c r="Z15" t="n">
        <v>339</v>
      </c>
      <c r="AA15" t="n">
        <v>351</v>
      </c>
      <c r="AB15" t="n">
        <v>3</v>
      </c>
      <c r="AC15" t="n">
        <v>3</v>
      </c>
      <c r="AD15" t="n">
        <v>14</v>
      </c>
      <c r="AE15" t="n">
        <v>14</v>
      </c>
      <c r="AF15" t="n">
        <v>6</v>
      </c>
      <c r="AG15" t="n">
        <v>6</v>
      </c>
      <c r="AH15" t="n">
        <v>4</v>
      </c>
      <c r="AI15" t="n">
        <v>4</v>
      </c>
      <c r="AJ15" t="n">
        <v>7</v>
      </c>
      <c r="AK15" t="n">
        <v>7</v>
      </c>
      <c r="AL15" t="n">
        <v>1</v>
      </c>
      <c r="AM15" t="n">
        <v>1</v>
      </c>
      <c r="AN15" t="n">
        <v>0</v>
      </c>
      <c r="AO15" t="n">
        <v>0</v>
      </c>
      <c r="AP15" t="inlineStr">
        <is>
          <t>No</t>
        </is>
      </c>
      <c r="AQ15" t="inlineStr">
        <is>
          <t>Yes</t>
        </is>
      </c>
      <c r="AR15">
        <f>HYPERLINK("http://catalog.hathitrust.org/Record/000588220","HathiTrust Record")</f>
        <v/>
      </c>
      <c r="AS15">
        <f>HYPERLINK("https://creighton-primo.hosted.exlibrisgroup.com/primo-explore/search?tab=default_tab&amp;search_scope=EVERYTHING&amp;vid=01CRU&amp;lang=en_US&amp;offset=0&amp;query=any,contains,991005008639702656","Catalog Record")</f>
        <v/>
      </c>
      <c r="AT15">
        <f>HYPERLINK("http://www.worldcat.org/oclc/12944923","WorldCat Record")</f>
        <v/>
      </c>
      <c r="AU15" t="inlineStr">
        <is>
          <t>5849447:eng</t>
        </is>
      </c>
      <c r="AV15" t="inlineStr">
        <is>
          <t>12944923</t>
        </is>
      </c>
      <c r="AW15" t="inlineStr">
        <is>
          <t>991005008639702656</t>
        </is>
      </c>
      <c r="AX15" t="inlineStr">
        <is>
          <t>991005008639702656</t>
        </is>
      </c>
      <c r="AY15" t="inlineStr">
        <is>
          <t>2272232820002656</t>
        </is>
      </c>
      <c r="AZ15" t="inlineStr">
        <is>
          <t>BOOK</t>
        </is>
      </c>
      <c r="BB15" t="inlineStr">
        <is>
          <t>9780195040203</t>
        </is>
      </c>
      <c r="BC15" t="inlineStr">
        <is>
          <t>32285005274542</t>
        </is>
      </c>
      <c r="BD15" t="inlineStr">
        <is>
          <t>893722697</t>
        </is>
      </c>
    </row>
    <row r="16">
      <c r="A16" t="inlineStr">
        <is>
          <t>No</t>
        </is>
      </c>
      <c r="B16" t="inlineStr">
        <is>
          <t>ND1053.5 .C3</t>
        </is>
      </c>
      <c r="C16" t="inlineStr">
        <is>
          <t>0                      ND 1053500C  3</t>
        </is>
      </c>
      <c r="D16" t="inlineStr">
        <is>
          <t>Scholar painters of Japan: the Nanga school [by] James Cahill</t>
        </is>
      </c>
      <c r="F16" t="inlineStr">
        <is>
          <t>No</t>
        </is>
      </c>
      <c r="G16" t="inlineStr">
        <is>
          <t>1</t>
        </is>
      </c>
      <c r="H16" t="inlineStr">
        <is>
          <t>No</t>
        </is>
      </c>
      <c r="I16" t="inlineStr">
        <is>
          <t>No</t>
        </is>
      </c>
      <c r="J16" t="inlineStr">
        <is>
          <t>0</t>
        </is>
      </c>
      <c r="K16" t="inlineStr">
        <is>
          <t>Cahill, James, 1926-2014.</t>
        </is>
      </c>
      <c r="M16" t="inlineStr">
        <is>
          <t>1972</t>
        </is>
      </c>
      <c r="O16" t="inlineStr">
        <is>
          <t>eng</t>
        </is>
      </c>
      <c r="P16" t="inlineStr">
        <is>
          <t>nyu</t>
        </is>
      </c>
      <c r="R16" t="inlineStr">
        <is>
          <t xml:space="preserve">ND </t>
        </is>
      </c>
      <c r="S16" t="n">
        <v>4</v>
      </c>
      <c r="T16" t="n">
        <v>4</v>
      </c>
      <c r="U16" t="inlineStr">
        <is>
          <t>2000-08-23</t>
        </is>
      </c>
      <c r="V16" t="inlineStr">
        <is>
          <t>2000-08-23</t>
        </is>
      </c>
      <c r="W16" t="inlineStr">
        <is>
          <t>1997-08-05</t>
        </is>
      </c>
      <c r="X16" t="inlineStr">
        <is>
          <t>1997-08-05</t>
        </is>
      </c>
      <c r="Y16" t="n">
        <v>535</v>
      </c>
      <c r="Z16" t="n">
        <v>475</v>
      </c>
      <c r="AA16" t="n">
        <v>489</v>
      </c>
      <c r="AB16" t="n">
        <v>5</v>
      </c>
      <c r="AC16" t="n">
        <v>5</v>
      </c>
      <c r="AD16" t="n">
        <v>14</v>
      </c>
      <c r="AE16" t="n">
        <v>15</v>
      </c>
      <c r="AF16" t="n">
        <v>4</v>
      </c>
      <c r="AG16" t="n">
        <v>4</v>
      </c>
      <c r="AH16" t="n">
        <v>4</v>
      </c>
      <c r="AI16" t="n">
        <v>5</v>
      </c>
      <c r="AJ16" t="n">
        <v>5</v>
      </c>
      <c r="AK16" t="n">
        <v>6</v>
      </c>
      <c r="AL16" t="n">
        <v>3</v>
      </c>
      <c r="AM16" t="n">
        <v>3</v>
      </c>
      <c r="AN16" t="n">
        <v>0</v>
      </c>
      <c r="AO16" t="n">
        <v>0</v>
      </c>
      <c r="AP16" t="inlineStr">
        <is>
          <t>No</t>
        </is>
      </c>
      <c r="AQ16" t="inlineStr">
        <is>
          <t>Yes</t>
        </is>
      </c>
      <c r="AR16">
        <f>HYPERLINK("http://catalog.hathitrust.org/Record/009912975","HathiTrust Record")</f>
        <v/>
      </c>
      <c r="AS16">
        <f>HYPERLINK("https://creighton-primo.hosted.exlibrisgroup.com/primo-explore/search?tab=default_tab&amp;search_scope=EVERYTHING&amp;vid=01CRU&amp;lang=en_US&amp;offset=0&amp;query=any,contains,991001717669702656","Catalog Record")</f>
        <v/>
      </c>
      <c r="AT16">
        <f>HYPERLINK("http://www.worldcat.org/oclc/257578","WorldCat Record")</f>
        <v/>
      </c>
      <c r="AU16" t="inlineStr">
        <is>
          <t>907901409:eng</t>
        </is>
      </c>
      <c r="AV16" t="inlineStr">
        <is>
          <t>257578</t>
        </is>
      </c>
      <c r="AW16" t="inlineStr">
        <is>
          <t>991001717669702656</t>
        </is>
      </c>
      <c r="AX16" t="inlineStr">
        <is>
          <t>991001717669702656</t>
        </is>
      </c>
      <c r="AY16" t="inlineStr">
        <is>
          <t>2256330700002656</t>
        </is>
      </c>
      <c r="AZ16" t="inlineStr">
        <is>
          <t>BOOK</t>
        </is>
      </c>
      <c r="BC16" t="inlineStr">
        <is>
          <t>32285002969821</t>
        </is>
      </c>
      <c r="BD16" t="inlineStr">
        <is>
          <t>893516434</t>
        </is>
      </c>
    </row>
    <row r="17">
      <c r="A17" t="inlineStr">
        <is>
          <t>No</t>
        </is>
      </c>
      <c r="B17" t="inlineStr">
        <is>
          <t>ND1053.5 .C75 2004</t>
        </is>
      </c>
      <c r="C17" t="inlineStr">
        <is>
          <t>0                      ND 1053500C  75          2004</t>
        </is>
      </c>
      <c r="D17" t="inlineStr">
        <is>
          <t>Critical perspectives on classicism in Japanese painting, 1600-1700 / edited by Elizabeth Lillehoj.</t>
        </is>
      </c>
      <c r="F17" t="inlineStr">
        <is>
          <t>No</t>
        </is>
      </c>
      <c r="G17" t="inlineStr">
        <is>
          <t>1</t>
        </is>
      </c>
      <c r="H17" t="inlineStr">
        <is>
          <t>No</t>
        </is>
      </c>
      <c r="I17" t="inlineStr">
        <is>
          <t>No</t>
        </is>
      </c>
      <c r="J17" t="inlineStr">
        <is>
          <t>0</t>
        </is>
      </c>
      <c r="L17" t="inlineStr">
        <is>
          <t>Honolulu : University of Hawaii Press, c2004.</t>
        </is>
      </c>
      <c r="M17" t="inlineStr">
        <is>
          <t>2004</t>
        </is>
      </c>
      <c r="O17" t="inlineStr">
        <is>
          <t>eng</t>
        </is>
      </c>
      <c r="P17" t="inlineStr">
        <is>
          <t>hiu</t>
        </is>
      </c>
      <c r="R17" t="inlineStr">
        <is>
          <t xml:space="preserve">ND </t>
        </is>
      </c>
      <c r="S17" t="n">
        <v>1</v>
      </c>
      <c r="T17" t="n">
        <v>1</v>
      </c>
      <c r="U17" t="inlineStr">
        <is>
          <t>2005-05-31</t>
        </is>
      </c>
      <c r="V17" t="inlineStr">
        <is>
          <t>2005-05-31</t>
        </is>
      </c>
      <c r="W17" t="inlineStr">
        <is>
          <t>2005-05-31</t>
        </is>
      </c>
      <c r="X17" t="inlineStr">
        <is>
          <t>2005-05-31</t>
        </is>
      </c>
      <c r="Y17" t="n">
        <v>416</v>
      </c>
      <c r="Z17" t="n">
        <v>362</v>
      </c>
      <c r="AA17" t="n">
        <v>626</v>
      </c>
      <c r="AB17" t="n">
        <v>2</v>
      </c>
      <c r="AC17" t="n">
        <v>3</v>
      </c>
      <c r="AD17" t="n">
        <v>13</v>
      </c>
      <c r="AE17" t="n">
        <v>23</v>
      </c>
      <c r="AF17" t="n">
        <v>5</v>
      </c>
      <c r="AG17" t="n">
        <v>10</v>
      </c>
      <c r="AH17" t="n">
        <v>3</v>
      </c>
      <c r="AI17" t="n">
        <v>6</v>
      </c>
      <c r="AJ17" t="n">
        <v>7</v>
      </c>
      <c r="AK17" t="n">
        <v>12</v>
      </c>
      <c r="AL17" t="n">
        <v>1</v>
      </c>
      <c r="AM17" t="n">
        <v>2</v>
      </c>
      <c r="AN17" t="n">
        <v>0</v>
      </c>
      <c r="AO17" t="n">
        <v>0</v>
      </c>
      <c r="AP17" t="inlineStr">
        <is>
          <t>No</t>
        </is>
      </c>
      <c r="AQ17" t="inlineStr">
        <is>
          <t>Yes</t>
        </is>
      </c>
      <c r="AR17">
        <f>HYPERLINK("http://catalog.hathitrust.org/Record/004362643","HathiTrust Record")</f>
        <v/>
      </c>
      <c r="AS17">
        <f>HYPERLINK("https://creighton-primo.hosted.exlibrisgroup.com/primo-explore/search?tab=default_tab&amp;search_scope=EVERYTHING&amp;vid=01CRU&amp;lang=en_US&amp;offset=0&amp;query=any,contains,991004539789702656","Catalog Record")</f>
        <v/>
      </c>
      <c r="AT17">
        <f>HYPERLINK("http://www.worldcat.org/oclc/52178956","WorldCat Record")</f>
        <v/>
      </c>
      <c r="AU17" t="inlineStr">
        <is>
          <t>718120:eng</t>
        </is>
      </c>
      <c r="AV17" t="inlineStr">
        <is>
          <t>52178956</t>
        </is>
      </c>
      <c r="AW17" t="inlineStr">
        <is>
          <t>991004539789702656</t>
        </is>
      </c>
      <c r="AX17" t="inlineStr">
        <is>
          <t>991004539789702656</t>
        </is>
      </c>
      <c r="AY17" t="inlineStr">
        <is>
          <t>2264942470002656</t>
        </is>
      </c>
      <c r="AZ17" t="inlineStr">
        <is>
          <t>BOOK</t>
        </is>
      </c>
      <c r="BB17" t="inlineStr">
        <is>
          <t>9780824826994</t>
        </is>
      </c>
      <c r="BC17" t="inlineStr">
        <is>
          <t>32285005091771</t>
        </is>
      </c>
      <c r="BD17" t="inlineStr">
        <is>
          <t>893519779</t>
        </is>
      </c>
    </row>
    <row r="18">
      <c r="A18" t="inlineStr">
        <is>
          <t>No</t>
        </is>
      </c>
      <c r="B18" t="inlineStr">
        <is>
          <t>ND1053.5 .M9 1983</t>
        </is>
      </c>
      <c r="C18" t="inlineStr">
        <is>
          <t>0                      ND 1053500M  9           1983</t>
        </is>
      </c>
      <c r="D18" t="inlineStr">
        <is>
          <t>A Myriad of autumn leaves : Japanese art from the Kurt and Millie Gitter collection : catalog / by Stephen Addiss ... [et al.].</t>
        </is>
      </c>
      <c r="F18" t="inlineStr">
        <is>
          <t>No</t>
        </is>
      </c>
      <c r="G18" t="inlineStr">
        <is>
          <t>1</t>
        </is>
      </c>
      <c r="H18" t="inlineStr">
        <is>
          <t>No</t>
        </is>
      </c>
      <c r="I18" t="inlineStr">
        <is>
          <t>No</t>
        </is>
      </c>
      <c r="J18" t="inlineStr">
        <is>
          <t>0</t>
        </is>
      </c>
      <c r="L18" t="inlineStr">
        <is>
          <t>New Orleans, LA : New Orleans Museum of Art, 1983.</t>
        </is>
      </c>
      <c r="M18" t="inlineStr">
        <is>
          <t>1983</t>
        </is>
      </c>
      <c r="O18" t="inlineStr">
        <is>
          <t>eng</t>
        </is>
      </c>
      <c r="P18" t="inlineStr">
        <is>
          <t>lau</t>
        </is>
      </c>
      <c r="R18" t="inlineStr">
        <is>
          <t xml:space="preserve">ND </t>
        </is>
      </c>
      <c r="S18" t="n">
        <v>2</v>
      </c>
      <c r="T18" t="n">
        <v>2</v>
      </c>
      <c r="U18" t="inlineStr">
        <is>
          <t>2007-02-01</t>
        </is>
      </c>
      <c r="V18" t="inlineStr">
        <is>
          <t>2007-02-01</t>
        </is>
      </c>
      <c r="W18" t="inlineStr">
        <is>
          <t>2007-02-01</t>
        </is>
      </c>
      <c r="X18" t="inlineStr">
        <is>
          <t>2007-02-01</t>
        </is>
      </c>
      <c r="Y18" t="n">
        <v>238</v>
      </c>
      <c r="Z18" t="n">
        <v>213</v>
      </c>
      <c r="AA18" t="n">
        <v>215</v>
      </c>
      <c r="AB18" t="n">
        <v>2</v>
      </c>
      <c r="AC18" t="n">
        <v>2</v>
      </c>
      <c r="AD18" t="n">
        <v>4</v>
      </c>
      <c r="AE18" t="n">
        <v>4</v>
      </c>
      <c r="AF18" t="n">
        <v>1</v>
      </c>
      <c r="AG18" t="n">
        <v>1</v>
      </c>
      <c r="AH18" t="n">
        <v>2</v>
      </c>
      <c r="AI18" t="n">
        <v>2</v>
      </c>
      <c r="AJ18" t="n">
        <v>3</v>
      </c>
      <c r="AK18" t="n">
        <v>3</v>
      </c>
      <c r="AL18" t="n">
        <v>0</v>
      </c>
      <c r="AM18" t="n">
        <v>0</v>
      </c>
      <c r="AN18" t="n">
        <v>0</v>
      </c>
      <c r="AO18" t="n">
        <v>0</v>
      </c>
      <c r="AP18" t="inlineStr">
        <is>
          <t>No</t>
        </is>
      </c>
      <c r="AQ18" t="inlineStr">
        <is>
          <t>Yes</t>
        </is>
      </c>
      <c r="AR18">
        <f>HYPERLINK("http://catalog.hathitrust.org/Record/000324006","HathiTrust Record")</f>
        <v/>
      </c>
      <c r="AS18">
        <f>HYPERLINK("https://creighton-primo.hosted.exlibrisgroup.com/primo-explore/search?tab=default_tab&amp;search_scope=EVERYTHING&amp;vid=01CRU&amp;lang=en_US&amp;offset=0&amp;query=any,contains,991005007819702656","Catalog Record")</f>
        <v/>
      </c>
      <c r="AT18">
        <f>HYPERLINK("http://www.worldcat.org/oclc/10825197","WorldCat Record")</f>
        <v/>
      </c>
      <c r="AU18" t="inlineStr">
        <is>
          <t>865059395:eng</t>
        </is>
      </c>
      <c r="AV18" t="inlineStr">
        <is>
          <t>10825197</t>
        </is>
      </c>
      <c r="AW18" t="inlineStr">
        <is>
          <t>991005007819702656</t>
        </is>
      </c>
      <c r="AX18" t="inlineStr">
        <is>
          <t>991005007819702656</t>
        </is>
      </c>
      <c r="AY18" t="inlineStr">
        <is>
          <t>2264480230002656</t>
        </is>
      </c>
      <c r="AZ18" t="inlineStr">
        <is>
          <t>BOOK</t>
        </is>
      </c>
      <c r="BB18" t="inlineStr">
        <is>
          <t>9780894940170</t>
        </is>
      </c>
      <c r="BC18" t="inlineStr">
        <is>
          <t>32285005274740</t>
        </is>
      </c>
      <c r="BD18" t="inlineStr">
        <is>
          <t>893613003</t>
        </is>
      </c>
    </row>
    <row r="19">
      <c r="A19" t="inlineStr">
        <is>
          <t>No</t>
        </is>
      </c>
      <c r="B19" t="inlineStr">
        <is>
          <t>ND1055 .N3313</t>
        </is>
      </c>
      <c r="C19" t="inlineStr">
        <is>
          <t>0                      ND 1055000N  3313</t>
        </is>
      </c>
      <c r="D19" t="inlineStr">
        <is>
          <t>Contemporary Japanese-style painting. Translated and adapted by Mikio Itō.</t>
        </is>
      </c>
      <c r="F19" t="inlineStr">
        <is>
          <t>No</t>
        </is>
      </c>
      <c r="G19" t="inlineStr">
        <is>
          <t>1</t>
        </is>
      </c>
      <c r="H19" t="inlineStr">
        <is>
          <t>No</t>
        </is>
      </c>
      <c r="I19" t="inlineStr">
        <is>
          <t>No</t>
        </is>
      </c>
      <c r="J19" t="inlineStr">
        <is>
          <t>0</t>
        </is>
      </c>
      <c r="K19" t="inlineStr">
        <is>
          <t>Nakamura, Tanio.</t>
        </is>
      </c>
      <c r="L19" t="inlineStr">
        <is>
          <t>New York, Tudor Pub. Co. [1969]</t>
        </is>
      </c>
      <c r="M19" t="inlineStr">
        <is>
          <t>1969</t>
        </is>
      </c>
      <c r="O19" t="inlineStr">
        <is>
          <t>eng</t>
        </is>
      </c>
      <c r="P19" t="inlineStr">
        <is>
          <t>nyu</t>
        </is>
      </c>
      <c r="R19" t="inlineStr">
        <is>
          <t xml:space="preserve">ND </t>
        </is>
      </c>
      <c r="S19" t="n">
        <v>3</v>
      </c>
      <c r="T19" t="n">
        <v>3</v>
      </c>
      <c r="U19" t="inlineStr">
        <is>
          <t>1998-02-17</t>
        </is>
      </c>
      <c r="V19" t="inlineStr">
        <is>
          <t>1998-02-17</t>
        </is>
      </c>
      <c r="W19" t="inlineStr">
        <is>
          <t>1997-08-05</t>
        </is>
      </c>
      <c r="X19" t="inlineStr">
        <is>
          <t>1997-08-05</t>
        </is>
      </c>
      <c r="Y19" t="n">
        <v>435</v>
      </c>
      <c r="Z19" t="n">
        <v>412</v>
      </c>
      <c r="AA19" t="n">
        <v>418</v>
      </c>
      <c r="AB19" t="n">
        <v>4</v>
      </c>
      <c r="AC19" t="n">
        <v>4</v>
      </c>
      <c r="AD19" t="n">
        <v>10</v>
      </c>
      <c r="AE19" t="n">
        <v>10</v>
      </c>
      <c r="AF19" t="n">
        <v>4</v>
      </c>
      <c r="AG19" t="n">
        <v>4</v>
      </c>
      <c r="AH19" t="n">
        <v>3</v>
      </c>
      <c r="AI19" t="n">
        <v>3</v>
      </c>
      <c r="AJ19" t="n">
        <v>4</v>
      </c>
      <c r="AK19" t="n">
        <v>4</v>
      </c>
      <c r="AL19" t="n">
        <v>3</v>
      </c>
      <c r="AM19" t="n">
        <v>3</v>
      </c>
      <c r="AN19" t="n">
        <v>0</v>
      </c>
      <c r="AO19" t="n">
        <v>0</v>
      </c>
      <c r="AP19" t="inlineStr">
        <is>
          <t>No</t>
        </is>
      </c>
      <c r="AQ19" t="inlineStr">
        <is>
          <t>Yes</t>
        </is>
      </c>
      <c r="AR19">
        <f>HYPERLINK("http://catalog.hathitrust.org/Record/000654938","HathiTrust Record")</f>
        <v/>
      </c>
      <c r="AS19">
        <f>HYPERLINK("https://creighton-primo.hosted.exlibrisgroup.com/primo-explore/search?tab=default_tab&amp;search_scope=EVERYTHING&amp;vid=01CRU&amp;lang=en_US&amp;offset=0&amp;query=any,contains,991000217339702656","Catalog Record")</f>
        <v/>
      </c>
      <c r="AT19">
        <f>HYPERLINK("http://www.worldcat.org/oclc/67208","WorldCat Record")</f>
        <v/>
      </c>
      <c r="AU19" t="inlineStr">
        <is>
          <t>1233533:eng</t>
        </is>
      </c>
      <c r="AV19" t="inlineStr">
        <is>
          <t>67208</t>
        </is>
      </c>
      <c r="AW19" t="inlineStr">
        <is>
          <t>991000217339702656</t>
        </is>
      </c>
      <c r="AX19" t="inlineStr">
        <is>
          <t>991000217339702656</t>
        </is>
      </c>
      <c r="AY19" t="inlineStr">
        <is>
          <t>2256300900002656</t>
        </is>
      </c>
      <c r="AZ19" t="inlineStr">
        <is>
          <t>BOOK</t>
        </is>
      </c>
      <c r="BC19" t="inlineStr">
        <is>
          <t>32285002969839</t>
        </is>
      </c>
      <c r="BD19" t="inlineStr">
        <is>
          <t>893802610</t>
        </is>
      </c>
    </row>
    <row r="20">
      <c r="A20" t="inlineStr">
        <is>
          <t>No</t>
        </is>
      </c>
      <c r="B20" t="inlineStr">
        <is>
          <t>ND1055 .R57 1999</t>
        </is>
      </c>
      <c r="C20" t="inlineStr">
        <is>
          <t>0                      ND 1055000R  57          1999</t>
        </is>
      </c>
      <c r="D20" t="inlineStr">
        <is>
          <t>The Rise of modern Japanese art.</t>
        </is>
      </c>
      <c r="F20" t="inlineStr">
        <is>
          <t>No</t>
        </is>
      </c>
      <c r="G20" t="inlineStr">
        <is>
          <t>1</t>
        </is>
      </c>
      <c r="H20" t="inlineStr">
        <is>
          <t>No</t>
        </is>
      </c>
      <c r="I20" t="inlineStr">
        <is>
          <t>No</t>
        </is>
      </c>
      <c r="J20" t="inlineStr">
        <is>
          <t>0</t>
        </is>
      </c>
      <c r="L20" t="inlineStr">
        <is>
          <t>Greenwich : Shorewood Fine Art Books, c1999.</t>
        </is>
      </c>
      <c r="M20" t="inlineStr">
        <is>
          <t>1999</t>
        </is>
      </c>
      <c r="N20" t="inlineStr">
        <is>
          <t>1st ed.</t>
        </is>
      </c>
      <c r="O20" t="inlineStr">
        <is>
          <t>eng</t>
        </is>
      </c>
      <c r="P20" t="inlineStr">
        <is>
          <t>ctu</t>
        </is>
      </c>
      <c r="R20" t="inlineStr">
        <is>
          <t xml:space="preserve">ND </t>
        </is>
      </c>
      <c r="S20" t="n">
        <v>2</v>
      </c>
      <c r="T20" t="n">
        <v>2</v>
      </c>
      <c r="U20" t="inlineStr">
        <is>
          <t>2001-01-08</t>
        </is>
      </c>
      <c r="V20" t="inlineStr">
        <is>
          <t>2001-01-08</t>
        </is>
      </c>
      <c r="W20" t="inlineStr">
        <is>
          <t>2000-04-11</t>
        </is>
      </c>
      <c r="X20" t="inlineStr">
        <is>
          <t>2000-04-11</t>
        </is>
      </c>
      <c r="Y20" t="n">
        <v>270</v>
      </c>
      <c r="Z20" t="n">
        <v>149</v>
      </c>
      <c r="AA20" t="n">
        <v>149</v>
      </c>
      <c r="AB20" t="n">
        <v>3</v>
      </c>
      <c r="AC20" t="n">
        <v>3</v>
      </c>
      <c r="AD20" t="n">
        <v>8</v>
      </c>
      <c r="AE20" t="n">
        <v>8</v>
      </c>
      <c r="AF20" t="n">
        <v>1</v>
      </c>
      <c r="AG20" t="n">
        <v>1</v>
      </c>
      <c r="AH20" t="n">
        <v>3</v>
      </c>
      <c r="AI20" t="n">
        <v>3</v>
      </c>
      <c r="AJ20" t="n">
        <v>4</v>
      </c>
      <c r="AK20" t="n">
        <v>4</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HYPERLINK("https://creighton-primo.hosted.exlibrisgroup.com/primo-explore/search?tab=default_tab&amp;search_scope=EVERYTHING&amp;vid=01CRU&amp;lang=en_US&amp;offset=0&amp;query=any,contains,991003053219702656","Catalog Record")</f>
        <v/>
      </c>
      <c r="AT20">
        <f>HYPERLINK("http://www.worldcat.org/oclc/43424599","WorldCat Record")</f>
        <v/>
      </c>
      <c r="AU20" t="inlineStr">
        <is>
          <t>45186954:eng</t>
        </is>
      </c>
      <c r="AV20" t="inlineStr">
        <is>
          <t>43424599</t>
        </is>
      </c>
      <c r="AW20" t="inlineStr">
        <is>
          <t>991003053219702656</t>
        </is>
      </c>
      <c r="AX20" t="inlineStr">
        <is>
          <t>991003053219702656</t>
        </is>
      </c>
      <c r="AY20" t="inlineStr">
        <is>
          <t>2261437500002656</t>
        </is>
      </c>
      <c r="AZ20" t="inlineStr">
        <is>
          <t>BOOK</t>
        </is>
      </c>
      <c r="BB20" t="inlineStr">
        <is>
          <t>9780872301023</t>
        </is>
      </c>
      <c r="BC20" t="inlineStr">
        <is>
          <t>32285003676185</t>
        </is>
      </c>
      <c r="BD20" t="inlineStr">
        <is>
          <t>893623102</t>
        </is>
      </c>
    </row>
    <row r="21">
      <c r="A21" t="inlineStr">
        <is>
          <t>No</t>
        </is>
      </c>
      <c r="B21" t="inlineStr">
        <is>
          <t>ND1055 .T45</t>
        </is>
      </c>
      <c r="C21" t="inlineStr">
        <is>
          <t>0                      ND 1055000T  45</t>
        </is>
      </c>
      <c r="D21" t="inlineStr">
        <is>
          <t>The art and technique of sumi-e : Japanese ink-painting / as taught by Ukai Uchiyama.</t>
        </is>
      </c>
      <c r="F21" t="inlineStr">
        <is>
          <t>No</t>
        </is>
      </c>
      <c r="G21" t="inlineStr">
        <is>
          <t>1</t>
        </is>
      </c>
      <c r="H21" t="inlineStr">
        <is>
          <t>No</t>
        </is>
      </c>
      <c r="I21" t="inlineStr">
        <is>
          <t>No</t>
        </is>
      </c>
      <c r="J21" t="inlineStr">
        <is>
          <t>0</t>
        </is>
      </c>
      <c r="K21" t="inlineStr">
        <is>
          <t>Thompson, Kay Morrissey.</t>
        </is>
      </c>
      <c r="L21" t="inlineStr">
        <is>
          <t>Tokyo, Rutland, Vt., C.E. Tuttle Co. [1960]</t>
        </is>
      </c>
      <c r="M21" t="inlineStr">
        <is>
          <t>1960</t>
        </is>
      </c>
      <c r="N21" t="inlineStr">
        <is>
          <t>[1st ed.]</t>
        </is>
      </c>
      <c r="O21" t="inlineStr">
        <is>
          <t>eng</t>
        </is>
      </c>
      <c r="P21" t="inlineStr">
        <is>
          <t xml:space="preserve">ja </t>
        </is>
      </c>
      <c r="R21" t="inlineStr">
        <is>
          <t xml:space="preserve">ND </t>
        </is>
      </c>
      <c r="S21" t="n">
        <v>8</v>
      </c>
      <c r="T21" t="n">
        <v>8</v>
      </c>
      <c r="U21" t="inlineStr">
        <is>
          <t>2008-04-02</t>
        </is>
      </c>
      <c r="V21" t="inlineStr">
        <is>
          <t>2008-04-02</t>
        </is>
      </c>
      <c r="W21" t="inlineStr">
        <is>
          <t>1997-05-28</t>
        </is>
      </c>
      <c r="X21" t="inlineStr">
        <is>
          <t>1997-05-28</t>
        </is>
      </c>
      <c r="Y21" t="n">
        <v>409</v>
      </c>
      <c r="Z21" t="n">
        <v>381</v>
      </c>
      <c r="AA21" t="n">
        <v>593</v>
      </c>
      <c r="AB21" t="n">
        <v>3</v>
      </c>
      <c r="AC21" t="n">
        <v>4</v>
      </c>
      <c r="AD21" t="n">
        <v>9</v>
      </c>
      <c r="AE21" t="n">
        <v>14</v>
      </c>
      <c r="AF21" t="n">
        <v>4</v>
      </c>
      <c r="AG21" t="n">
        <v>7</v>
      </c>
      <c r="AH21" t="n">
        <v>1</v>
      </c>
      <c r="AI21" t="n">
        <v>3</v>
      </c>
      <c r="AJ21" t="n">
        <v>3</v>
      </c>
      <c r="AK21" t="n">
        <v>4</v>
      </c>
      <c r="AL21" t="n">
        <v>1</v>
      </c>
      <c r="AM21" t="n">
        <v>2</v>
      </c>
      <c r="AN21" t="n">
        <v>0</v>
      </c>
      <c r="AO21" t="n">
        <v>0</v>
      </c>
      <c r="AP21" t="inlineStr">
        <is>
          <t>No</t>
        </is>
      </c>
      <c r="AQ21" t="inlineStr">
        <is>
          <t>Yes</t>
        </is>
      </c>
      <c r="AR21">
        <f>HYPERLINK("http://catalog.hathitrust.org/Record/000654946","HathiTrust Record")</f>
        <v/>
      </c>
      <c r="AS21">
        <f>HYPERLINK("https://creighton-primo.hosted.exlibrisgroup.com/primo-explore/search?tab=default_tab&amp;search_scope=EVERYTHING&amp;vid=01CRU&amp;lang=en_US&amp;offset=0&amp;query=any,contains,991004829909702656","Catalog Record")</f>
        <v/>
      </c>
      <c r="AT21">
        <f>HYPERLINK("http://www.worldcat.org/oclc/5396009","WorldCat Record")</f>
        <v/>
      </c>
      <c r="AU21" t="inlineStr">
        <is>
          <t>19936371:eng</t>
        </is>
      </c>
      <c r="AV21" t="inlineStr">
        <is>
          <t>5396009</t>
        </is>
      </c>
      <c r="AW21" t="inlineStr">
        <is>
          <t>991004829909702656</t>
        </is>
      </c>
      <c r="AX21" t="inlineStr">
        <is>
          <t>991004829909702656</t>
        </is>
      </c>
      <c r="AY21" t="inlineStr">
        <is>
          <t>2269544330002656</t>
        </is>
      </c>
      <c r="AZ21" t="inlineStr">
        <is>
          <t>BOOK</t>
        </is>
      </c>
      <c r="BC21" t="inlineStr">
        <is>
          <t>32285002698628</t>
        </is>
      </c>
      <c r="BD21" t="inlineStr">
        <is>
          <t>893254144</t>
        </is>
      </c>
    </row>
    <row r="22">
      <c r="A22" t="inlineStr">
        <is>
          <t>No</t>
        </is>
      </c>
      <c r="B22" t="inlineStr">
        <is>
          <t>ND110 .B78 1977</t>
        </is>
      </c>
      <c r="C22" t="inlineStr">
        <is>
          <t>0                      ND 0110000B  78          1977</t>
        </is>
      </c>
      <c r="D22" t="inlineStr">
        <is>
          <t>Form and color in Greek painting / Vincent J. Bruno.</t>
        </is>
      </c>
      <c r="F22" t="inlineStr">
        <is>
          <t>No</t>
        </is>
      </c>
      <c r="G22" t="inlineStr">
        <is>
          <t>1</t>
        </is>
      </c>
      <c r="H22" t="inlineStr">
        <is>
          <t>No</t>
        </is>
      </c>
      <c r="I22" t="inlineStr">
        <is>
          <t>No</t>
        </is>
      </c>
      <c r="J22" t="inlineStr">
        <is>
          <t>0</t>
        </is>
      </c>
      <c r="K22" t="inlineStr">
        <is>
          <t>Bruno, Vincent J.</t>
        </is>
      </c>
      <c r="L22" t="inlineStr">
        <is>
          <t>New York : Norton, c1977.</t>
        </is>
      </c>
      <c r="M22" t="inlineStr">
        <is>
          <t>1977</t>
        </is>
      </c>
      <c r="N22" t="inlineStr">
        <is>
          <t>1st ed.</t>
        </is>
      </c>
      <c r="O22" t="inlineStr">
        <is>
          <t>eng</t>
        </is>
      </c>
      <c r="P22" t="inlineStr">
        <is>
          <t>nyu</t>
        </is>
      </c>
      <c r="R22" t="inlineStr">
        <is>
          <t xml:space="preserve">ND </t>
        </is>
      </c>
      <c r="S22" t="n">
        <v>1</v>
      </c>
      <c r="T22" t="n">
        <v>1</v>
      </c>
      <c r="U22" t="inlineStr">
        <is>
          <t>1993-11-04</t>
        </is>
      </c>
      <c r="V22" t="inlineStr">
        <is>
          <t>1993-11-04</t>
        </is>
      </c>
      <c r="W22" t="inlineStr">
        <is>
          <t>1993-05-20</t>
        </is>
      </c>
      <c r="X22" t="inlineStr">
        <is>
          <t>1993-05-20</t>
        </is>
      </c>
      <c r="Y22" t="n">
        <v>605</v>
      </c>
      <c r="Z22" t="n">
        <v>516</v>
      </c>
      <c r="AA22" t="n">
        <v>527</v>
      </c>
      <c r="AB22" t="n">
        <v>3</v>
      </c>
      <c r="AC22" t="n">
        <v>3</v>
      </c>
      <c r="AD22" t="n">
        <v>21</v>
      </c>
      <c r="AE22" t="n">
        <v>23</v>
      </c>
      <c r="AF22" t="n">
        <v>6</v>
      </c>
      <c r="AG22" t="n">
        <v>7</v>
      </c>
      <c r="AH22" t="n">
        <v>7</v>
      </c>
      <c r="AI22" t="n">
        <v>7</v>
      </c>
      <c r="AJ22" t="n">
        <v>13</v>
      </c>
      <c r="AK22" t="n">
        <v>15</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HYPERLINK("https://creighton-primo.hosted.exlibrisgroup.com/primo-explore/search?tab=default_tab&amp;search_scope=EVERYTHING&amp;vid=01CRU&amp;lang=en_US&amp;offset=0&amp;query=any,contains,991004255699702656","Catalog Record")</f>
        <v/>
      </c>
      <c r="AT22">
        <f>HYPERLINK("http://www.worldcat.org/oclc/2823189","WorldCat Record")</f>
        <v/>
      </c>
      <c r="AU22" t="inlineStr">
        <is>
          <t>4606231:eng</t>
        </is>
      </c>
      <c r="AV22" t="inlineStr">
        <is>
          <t>2823189</t>
        </is>
      </c>
      <c r="AW22" t="inlineStr">
        <is>
          <t>991004255699702656</t>
        </is>
      </c>
      <c r="AX22" t="inlineStr">
        <is>
          <t>991004255699702656</t>
        </is>
      </c>
      <c r="AY22" t="inlineStr">
        <is>
          <t>2256816750002656</t>
        </is>
      </c>
      <c r="AZ22" t="inlineStr">
        <is>
          <t>BOOK</t>
        </is>
      </c>
      <c r="BB22" t="inlineStr">
        <is>
          <t>9780393044454</t>
        </is>
      </c>
      <c r="BC22" t="inlineStr">
        <is>
          <t>32285001690956</t>
        </is>
      </c>
      <c r="BD22" t="inlineStr">
        <is>
          <t>893693720</t>
        </is>
      </c>
    </row>
    <row r="23">
      <c r="A23" t="inlineStr">
        <is>
          <t>No</t>
        </is>
      </c>
      <c r="B23" t="inlineStr">
        <is>
          <t>ND1108.L5 G7</t>
        </is>
      </c>
      <c r="C23" t="inlineStr">
        <is>
          <t>0                      ND 1108000L  5                  G  7</t>
        </is>
      </c>
      <c r="D23" t="inlineStr">
        <is>
          <t>Maori paintings; pictures from the Partridge collection of paintings by Gottfried Lindauer. Edited by J.C. Graham.</t>
        </is>
      </c>
      <c r="F23" t="inlineStr">
        <is>
          <t>No</t>
        </is>
      </c>
      <c r="G23" t="inlineStr">
        <is>
          <t>1</t>
        </is>
      </c>
      <c r="H23" t="inlineStr">
        <is>
          <t>No</t>
        </is>
      </c>
      <c r="I23" t="inlineStr">
        <is>
          <t>No</t>
        </is>
      </c>
      <c r="J23" t="inlineStr">
        <is>
          <t>0</t>
        </is>
      </c>
      <c r="K23" t="inlineStr">
        <is>
          <t>Lindauer, Gottfried, 1839-1926.</t>
        </is>
      </c>
      <c r="L23" t="inlineStr">
        <is>
          <t>Honolulu, East-West Center Press [c1965]</t>
        </is>
      </c>
      <c r="M23" t="inlineStr">
        <is>
          <t>1965</t>
        </is>
      </c>
      <c r="O23" t="inlineStr">
        <is>
          <t>eng</t>
        </is>
      </c>
      <c r="P23" t="inlineStr">
        <is>
          <t>hiu</t>
        </is>
      </c>
      <c r="R23" t="inlineStr">
        <is>
          <t xml:space="preserve">ND </t>
        </is>
      </c>
      <c r="S23" t="n">
        <v>1</v>
      </c>
      <c r="T23" t="n">
        <v>1</v>
      </c>
      <c r="U23" t="inlineStr">
        <is>
          <t>1997-11-18</t>
        </is>
      </c>
      <c r="V23" t="inlineStr">
        <is>
          <t>1997-11-18</t>
        </is>
      </c>
      <c r="W23" t="inlineStr">
        <is>
          <t>1997-08-05</t>
        </is>
      </c>
      <c r="X23" t="inlineStr">
        <is>
          <t>1997-08-05</t>
        </is>
      </c>
      <c r="Y23" t="n">
        <v>206</v>
      </c>
      <c r="Z23" t="n">
        <v>197</v>
      </c>
      <c r="AA23" t="n">
        <v>390</v>
      </c>
      <c r="AB23" t="n">
        <v>2</v>
      </c>
      <c r="AC23" t="n">
        <v>6</v>
      </c>
      <c r="AD23" t="n">
        <v>6</v>
      </c>
      <c r="AE23" t="n">
        <v>15</v>
      </c>
      <c r="AF23" t="n">
        <v>3</v>
      </c>
      <c r="AG23" t="n">
        <v>7</v>
      </c>
      <c r="AH23" t="n">
        <v>2</v>
      </c>
      <c r="AI23" t="n">
        <v>2</v>
      </c>
      <c r="AJ23" t="n">
        <v>0</v>
      </c>
      <c r="AK23" t="n">
        <v>2</v>
      </c>
      <c r="AL23" t="n">
        <v>1</v>
      </c>
      <c r="AM23" t="n">
        <v>5</v>
      </c>
      <c r="AN23" t="n">
        <v>0</v>
      </c>
      <c r="AO23" t="n">
        <v>0</v>
      </c>
      <c r="AP23" t="inlineStr">
        <is>
          <t>No</t>
        </is>
      </c>
      <c r="AQ23" t="inlineStr">
        <is>
          <t>No</t>
        </is>
      </c>
      <c r="AS23">
        <f>HYPERLINK("https://creighton-primo.hosted.exlibrisgroup.com/primo-explore/search?tab=default_tab&amp;search_scope=EVERYTHING&amp;vid=01CRU&amp;lang=en_US&amp;offset=0&amp;query=any,contains,991003507909702656","Catalog Record")</f>
        <v/>
      </c>
      <c r="AT23">
        <f>HYPERLINK("http://www.worldcat.org/oclc/35792140","WorldCat Record")</f>
        <v/>
      </c>
      <c r="AU23" t="inlineStr">
        <is>
          <t>14673140:eng</t>
        </is>
      </c>
      <c r="AV23" t="inlineStr">
        <is>
          <t>35792140</t>
        </is>
      </c>
      <c r="AW23" t="inlineStr">
        <is>
          <t>991003507909702656</t>
        </is>
      </c>
      <c r="AX23" t="inlineStr">
        <is>
          <t>991003507909702656</t>
        </is>
      </c>
      <c r="AY23" t="inlineStr">
        <is>
          <t>2258996660002656</t>
        </is>
      </c>
      <c r="AZ23" t="inlineStr">
        <is>
          <t>BOOK</t>
        </is>
      </c>
      <c r="BC23" t="inlineStr">
        <is>
          <t>32285002969854</t>
        </is>
      </c>
      <c r="BD23" t="inlineStr">
        <is>
          <t>893518545</t>
        </is>
      </c>
    </row>
    <row r="24">
      <c r="A24" t="inlineStr">
        <is>
          <t>No</t>
        </is>
      </c>
      <c r="B24" t="inlineStr">
        <is>
          <t>ND1130 .L513 1964</t>
        </is>
      </c>
      <c r="C24" t="inlineStr">
        <is>
          <t>0                      ND 1130000L  513         1964</t>
        </is>
      </c>
      <c r="D24" t="inlineStr">
        <is>
          <t>Leonardo da Vinci on painting : a lost book (Libro A) reassembled from the Codex Vaticanus Urbinas 1270 and from the Codex Leicester by Carlo Pedretti ; with a chronology of Leonardo's Treatise on painting. Foreword by Sir Kenneth Clark.</t>
        </is>
      </c>
      <c r="F24" t="inlineStr">
        <is>
          <t>No</t>
        </is>
      </c>
      <c r="G24" t="inlineStr">
        <is>
          <t>1</t>
        </is>
      </c>
      <c r="H24" t="inlineStr">
        <is>
          <t>No</t>
        </is>
      </c>
      <c r="I24" t="inlineStr">
        <is>
          <t>No</t>
        </is>
      </c>
      <c r="J24" t="inlineStr">
        <is>
          <t>0</t>
        </is>
      </c>
      <c r="K24" t="inlineStr">
        <is>
          <t>Leonardo, da Vinci, 1452-1519.</t>
        </is>
      </c>
      <c r="L24" t="inlineStr">
        <is>
          <t>Berkeley : University of California Press, 1964.</t>
        </is>
      </c>
      <c r="M24" t="inlineStr">
        <is>
          <t>1964</t>
        </is>
      </c>
      <c r="O24" t="inlineStr">
        <is>
          <t>eng</t>
        </is>
      </c>
      <c r="P24" t="inlineStr">
        <is>
          <t>cau</t>
        </is>
      </c>
      <c r="Q24" t="inlineStr">
        <is>
          <t>California studies in the history of art ; 3</t>
        </is>
      </c>
      <c r="R24" t="inlineStr">
        <is>
          <t xml:space="preserve">ND </t>
        </is>
      </c>
      <c r="S24" t="n">
        <v>1</v>
      </c>
      <c r="T24" t="n">
        <v>1</v>
      </c>
      <c r="U24" t="inlineStr">
        <is>
          <t>2009-12-10</t>
        </is>
      </c>
      <c r="V24" t="inlineStr">
        <is>
          <t>2009-12-10</t>
        </is>
      </c>
      <c r="W24" t="inlineStr">
        <is>
          <t>1990-09-04</t>
        </is>
      </c>
      <c r="X24" t="inlineStr">
        <is>
          <t>1990-09-04</t>
        </is>
      </c>
      <c r="Y24" t="n">
        <v>802</v>
      </c>
      <c r="Z24" t="n">
        <v>738</v>
      </c>
      <c r="AA24" t="n">
        <v>743</v>
      </c>
      <c r="AB24" t="n">
        <v>10</v>
      </c>
      <c r="AC24" t="n">
        <v>10</v>
      </c>
      <c r="AD24" t="n">
        <v>29</v>
      </c>
      <c r="AE24" t="n">
        <v>29</v>
      </c>
      <c r="AF24" t="n">
        <v>8</v>
      </c>
      <c r="AG24" t="n">
        <v>8</v>
      </c>
      <c r="AH24" t="n">
        <v>6</v>
      </c>
      <c r="AI24" t="n">
        <v>6</v>
      </c>
      <c r="AJ24" t="n">
        <v>13</v>
      </c>
      <c r="AK24" t="n">
        <v>13</v>
      </c>
      <c r="AL24" t="n">
        <v>7</v>
      </c>
      <c r="AM24" t="n">
        <v>7</v>
      </c>
      <c r="AN24" t="n">
        <v>0</v>
      </c>
      <c r="AO24" t="n">
        <v>0</v>
      </c>
      <c r="AP24" t="inlineStr">
        <is>
          <t>No</t>
        </is>
      </c>
      <c r="AQ24" t="inlineStr">
        <is>
          <t>Yes</t>
        </is>
      </c>
      <c r="AR24">
        <f>HYPERLINK("http://catalog.hathitrust.org/Record/000655185","HathiTrust Record")</f>
        <v/>
      </c>
      <c r="AS24">
        <f>HYPERLINK("https://creighton-primo.hosted.exlibrisgroup.com/primo-explore/search?tab=default_tab&amp;search_scope=EVERYTHING&amp;vid=01CRU&amp;lang=en_US&amp;offset=0&amp;query=any,contains,991003690499702656","Catalog Record")</f>
        <v/>
      </c>
      <c r="AT24">
        <f>HYPERLINK("http://www.worldcat.org/oclc/1321893","WorldCat Record")</f>
        <v/>
      </c>
      <c r="AU24" t="inlineStr">
        <is>
          <t>10567130603:eng</t>
        </is>
      </c>
      <c r="AV24" t="inlineStr">
        <is>
          <t>1321893</t>
        </is>
      </c>
      <c r="AW24" t="inlineStr">
        <is>
          <t>991003690499702656</t>
        </is>
      </c>
      <c r="AX24" t="inlineStr">
        <is>
          <t>991003690499702656</t>
        </is>
      </c>
      <c r="AY24" t="inlineStr">
        <is>
          <t>2255929470002656</t>
        </is>
      </c>
      <c r="AZ24" t="inlineStr">
        <is>
          <t>BOOK</t>
        </is>
      </c>
      <c r="BC24" t="inlineStr">
        <is>
          <t>32285000300243</t>
        </is>
      </c>
      <c r="BD24" t="inlineStr">
        <is>
          <t>893787628</t>
        </is>
      </c>
    </row>
    <row r="25">
      <c r="A25" t="inlineStr">
        <is>
          <t>No</t>
        </is>
      </c>
      <c r="B25" t="inlineStr">
        <is>
          <t>ND1130 .L515</t>
        </is>
      </c>
      <c r="C25" t="inlineStr">
        <is>
          <t>0                      ND 1130000L  515</t>
        </is>
      </c>
      <c r="D25" t="inlineStr">
        <is>
          <t>Treatise on painting &lt;Codex urbinas latinus 1270&gt; Translated and annotated by A. Philip McMahon. With an introd. by Ludwig H. Heydenreich.</t>
        </is>
      </c>
      <c r="E25" t="inlineStr">
        <is>
          <t>V.1</t>
        </is>
      </c>
      <c r="F25" t="inlineStr">
        <is>
          <t>Yes</t>
        </is>
      </c>
      <c r="G25" t="inlineStr">
        <is>
          <t>1</t>
        </is>
      </c>
      <c r="H25" t="inlineStr">
        <is>
          <t>No</t>
        </is>
      </c>
      <c r="I25" t="inlineStr">
        <is>
          <t>Yes</t>
        </is>
      </c>
      <c r="J25" t="inlineStr">
        <is>
          <t>0</t>
        </is>
      </c>
      <c r="K25" t="inlineStr">
        <is>
          <t>Leonardo, da Vinci, 1452-1519.</t>
        </is>
      </c>
      <c r="L25" t="inlineStr">
        <is>
          <t>Princeton, Princeton University Press, 1956.</t>
        </is>
      </c>
      <c r="M25" t="inlineStr">
        <is>
          <t>1956</t>
        </is>
      </c>
      <c r="O25" t="inlineStr">
        <is>
          <t>eng</t>
        </is>
      </c>
      <c r="P25" t="inlineStr">
        <is>
          <t>nju</t>
        </is>
      </c>
      <c r="R25" t="inlineStr">
        <is>
          <t xml:space="preserve">ND </t>
        </is>
      </c>
      <c r="S25" t="n">
        <v>1</v>
      </c>
      <c r="T25" t="n">
        <v>2</v>
      </c>
      <c r="U25" t="inlineStr">
        <is>
          <t>2009-12-10</t>
        </is>
      </c>
      <c r="V25" t="inlineStr">
        <is>
          <t>2009-12-10</t>
        </is>
      </c>
      <c r="W25" t="inlineStr">
        <is>
          <t>1997-08-05</t>
        </is>
      </c>
      <c r="X25" t="inlineStr">
        <is>
          <t>1997-08-05</t>
        </is>
      </c>
      <c r="Y25" t="n">
        <v>526</v>
      </c>
      <c r="Z25" t="n">
        <v>455</v>
      </c>
      <c r="AA25" t="n">
        <v>986</v>
      </c>
      <c r="AB25" t="n">
        <v>4</v>
      </c>
      <c r="AC25" t="n">
        <v>8</v>
      </c>
      <c r="AD25" t="n">
        <v>18</v>
      </c>
      <c r="AE25" t="n">
        <v>38</v>
      </c>
      <c r="AF25" t="n">
        <v>4</v>
      </c>
      <c r="AG25" t="n">
        <v>16</v>
      </c>
      <c r="AH25" t="n">
        <v>5</v>
      </c>
      <c r="AI25" t="n">
        <v>10</v>
      </c>
      <c r="AJ25" t="n">
        <v>10</v>
      </c>
      <c r="AK25" t="n">
        <v>17</v>
      </c>
      <c r="AL25" t="n">
        <v>3</v>
      </c>
      <c r="AM25" t="n">
        <v>6</v>
      </c>
      <c r="AN25" t="n">
        <v>0</v>
      </c>
      <c r="AO25" t="n">
        <v>0</v>
      </c>
      <c r="AP25" t="inlineStr">
        <is>
          <t>No</t>
        </is>
      </c>
      <c r="AQ25" t="inlineStr">
        <is>
          <t>Yes</t>
        </is>
      </c>
      <c r="AR25">
        <f>HYPERLINK("http://catalog.hathitrust.org/Record/000655119","HathiTrust Record")</f>
        <v/>
      </c>
      <c r="AS25">
        <f>HYPERLINK("https://creighton-primo.hosted.exlibrisgroup.com/primo-explore/search?tab=default_tab&amp;search_scope=EVERYTHING&amp;vid=01CRU&amp;lang=en_US&amp;offset=0&amp;query=any,contains,991002913549702656","Catalog Record")</f>
        <v/>
      </c>
      <c r="AT25">
        <f>HYPERLINK("http://www.worldcat.org/oclc/523318","WorldCat Record")</f>
        <v/>
      </c>
      <c r="AU25" t="inlineStr">
        <is>
          <t>9622529511:eng</t>
        </is>
      </c>
      <c r="AV25" t="inlineStr">
        <is>
          <t>523318</t>
        </is>
      </c>
      <c r="AW25" t="inlineStr">
        <is>
          <t>991002913549702656</t>
        </is>
      </c>
      <c r="AX25" t="inlineStr">
        <is>
          <t>991002913549702656</t>
        </is>
      </c>
      <c r="AY25" t="inlineStr">
        <is>
          <t>2261686430002656</t>
        </is>
      </c>
      <c r="AZ25" t="inlineStr">
        <is>
          <t>BOOK</t>
        </is>
      </c>
      <c r="BC25" t="inlineStr">
        <is>
          <t>32285002969896</t>
        </is>
      </c>
      <c r="BD25" t="inlineStr">
        <is>
          <t>893604206</t>
        </is>
      </c>
    </row>
    <row r="26">
      <c r="A26" t="inlineStr">
        <is>
          <t>No</t>
        </is>
      </c>
      <c r="B26" t="inlineStr">
        <is>
          <t>ND1130 .L515</t>
        </is>
      </c>
      <c r="C26" t="inlineStr">
        <is>
          <t>0                      ND 1130000L  515</t>
        </is>
      </c>
      <c r="D26" t="inlineStr">
        <is>
          <t>Treatise on painting &lt;Codex urbinas latinus 1270&gt; Translated and annotated by A. Philip McMahon. With an introd. by Ludwig H. Heydenreich.</t>
        </is>
      </c>
      <c r="E26" t="inlineStr">
        <is>
          <t>V.2</t>
        </is>
      </c>
      <c r="F26" t="inlineStr">
        <is>
          <t>Yes</t>
        </is>
      </c>
      <c r="G26" t="inlineStr">
        <is>
          <t>1</t>
        </is>
      </c>
      <c r="H26" t="inlineStr">
        <is>
          <t>No</t>
        </is>
      </c>
      <c r="I26" t="inlineStr">
        <is>
          <t>Yes</t>
        </is>
      </c>
      <c r="J26" t="inlineStr">
        <is>
          <t>0</t>
        </is>
      </c>
      <c r="K26" t="inlineStr">
        <is>
          <t>Leonardo, da Vinci, 1452-1519.</t>
        </is>
      </c>
      <c r="L26" t="inlineStr">
        <is>
          <t>Princeton, Princeton University Press, 1956.</t>
        </is>
      </c>
      <c r="M26" t="inlineStr">
        <is>
          <t>1956</t>
        </is>
      </c>
      <c r="O26" t="inlineStr">
        <is>
          <t>eng</t>
        </is>
      </c>
      <c r="P26" t="inlineStr">
        <is>
          <t>nju</t>
        </is>
      </c>
      <c r="R26" t="inlineStr">
        <is>
          <t xml:space="preserve">ND </t>
        </is>
      </c>
      <c r="S26" t="n">
        <v>1</v>
      </c>
      <c r="T26" t="n">
        <v>2</v>
      </c>
      <c r="U26" t="inlineStr">
        <is>
          <t>2009-12-10</t>
        </is>
      </c>
      <c r="V26" t="inlineStr">
        <is>
          <t>2009-12-10</t>
        </is>
      </c>
      <c r="W26" t="inlineStr">
        <is>
          <t>1997-08-05</t>
        </is>
      </c>
      <c r="X26" t="inlineStr">
        <is>
          <t>1997-08-05</t>
        </is>
      </c>
      <c r="Y26" t="n">
        <v>526</v>
      </c>
      <c r="Z26" t="n">
        <v>455</v>
      </c>
      <c r="AA26" t="n">
        <v>986</v>
      </c>
      <c r="AB26" t="n">
        <v>4</v>
      </c>
      <c r="AC26" t="n">
        <v>8</v>
      </c>
      <c r="AD26" t="n">
        <v>18</v>
      </c>
      <c r="AE26" t="n">
        <v>38</v>
      </c>
      <c r="AF26" t="n">
        <v>4</v>
      </c>
      <c r="AG26" t="n">
        <v>16</v>
      </c>
      <c r="AH26" t="n">
        <v>5</v>
      </c>
      <c r="AI26" t="n">
        <v>10</v>
      </c>
      <c r="AJ26" t="n">
        <v>10</v>
      </c>
      <c r="AK26" t="n">
        <v>17</v>
      </c>
      <c r="AL26" t="n">
        <v>3</v>
      </c>
      <c r="AM26" t="n">
        <v>6</v>
      </c>
      <c r="AN26" t="n">
        <v>0</v>
      </c>
      <c r="AO26" t="n">
        <v>0</v>
      </c>
      <c r="AP26" t="inlineStr">
        <is>
          <t>No</t>
        </is>
      </c>
      <c r="AQ26" t="inlineStr">
        <is>
          <t>Yes</t>
        </is>
      </c>
      <c r="AR26">
        <f>HYPERLINK("http://catalog.hathitrust.org/Record/000655119","HathiTrust Record")</f>
        <v/>
      </c>
      <c r="AS26">
        <f>HYPERLINK("https://creighton-primo.hosted.exlibrisgroup.com/primo-explore/search?tab=default_tab&amp;search_scope=EVERYTHING&amp;vid=01CRU&amp;lang=en_US&amp;offset=0&amp;query=any,contains,991002913549702656","Catalog Record")</f>
        <v/>
      </c>
      <c r="AT26">
        <f>HYPERLINK("http://www.worldcat.org/oclc/523318","WorldCat Record")</f>
        <v/>
      </c>
      <c r="AU26" t="inlineStr">
        <is>
          <t>9622529511:eng</t>
        </is>
      </c>
      <c r="AV26" t="inlineStr">
        <is>
          <t>523318</t>
        </is>
      </c>
      <c r="AW26" t="inlineStr">
        <is>
          <t>991002913549702656</t>
        </is>
      </c>
      <c r="AX26" t="inlineStr">
        <is>
          <t>991002913549702656</t>
        </is>
      </c>
      <c r="AY26" t="inlineStr">
        <is>
          <t>2261686430002656</t>
        </is>
      </c>
      <c r="AZ26" t="inlineStr">
        <is>
          <t>BOOK</t>
        </is>
      </c>
      <c r="BC26" t="inlineStr">
        <is>
          <t>32285002969904</t>
        </is>
      </c>
      <c r="BD26" t="inlineStr">
        <is>
          <t>893604205</t>
        </is>
      </c>
    </row>
    <row r="27">
      <c r="A27" t="inlineStr">
        <is>
          <t>No</t>
        </is>
      </c>
      <c r="B27" t="inlineStr">
        <is>
          <t>ND1135 .C463</t>
        </is>
      </c>
      <c r="C27" t="inlineStr">
        <is>
          <t>0                      ND 1135000C  463</t>
        </is>
      </c>
      <c r="D27" t="inlineStr">
        <is>
          <t>The art of painting / edited by Pierre Seghers in collaboration with Jacques Charpier. Excerpts translated by Sally T. Abeles.</t>
        </is>
      </c>
      <c r="E27" t="inlineStr">
        <is>
          <t>V.1</t>
        </is>
      </c>
      <c r="F27" t="inlineStr">
        <is>
          <t>Yes</t>
        </is>
      </c>
      <c r="G27" t="inlineStr">
        <is>
          <t>1</t>
        </is>
      </c>
      <c r="H27" t="inlineStr">
        <is>
          <t>No</t>
        </is>
      </c>
      <c r="I27" t="inlineStr">
        <is>
          <t>No</t>
        </is>
      </c>
      <c r="J27" t="inlineStr">
        <is>
          <t>0</t>
        </is>
      </c>
      <c r="K27" t="inlineStr">
        <is>
          <t>Charpier, Jacques.</t>
        </is>
      </c>
      <c r="L27" t="inlineStr">
        <is>
          <t>New York : Hawthorn Books, [1964-65]</t>
        </is>
      </c>
      <c r="M27" t="inlineStr">
        <is>
          <t>1964</t>
        </is>
      </c>
      <c r="N27" t="inlineStr">
        <is>
          <t>[1st American ed.]</t>
        </is>
      </c>
      <c r="O27" t="inlineStr">
        <is>
          <t>eng</t>
        </is>
      </c>
      <c r="P27" t="inlineStr">
        <is>
          <t>nyu</t>
        </is>
      </c>
      <c r="R27" t="inlineStr">
        <is>
          <t xml:space="preserve">ND </t>
        </is>
      </c>
      <c r="S27" t="n">
        <v>1</v>
      </c>
      <c r="T27" t="n">
        <v>2</v>
      </c>
      <c r="U27" t="inlineStr">
        <is>
          <t>2010-04-30</t>
        </is>
      </c>
      <c r="V27" t="inlineStr">
        <is>
          <t>2010-04-30</t>
        </is>
      </c>
      <c r="W27" t="inlineStr">
        <is>
          <t>1990-04-02</t>
        </is>
      </c>
      <c r="X27" t="inlineStr">
        <is>
          <t>1990-04-02</t>
        </is>
      </c>
      <c r="Y27" t="n">
        <v>492</v>
      </c>
      <c r="Z27" t="n">
        <v>474</v>
      </c>
      <c r="AA27" t="n">
        <v>546</v>
      </c>
      <c r="AB27" t="n">
        <v>3</v>
      </c>
      <c r="AC27" t="n">
        <v>4</v>
      </c>
      <c r="AD27" t="n">
        <v>10</v>
      </c>
      <c r="AE27" t="n">
        <v>13</v>
      </c>
      <c r="AF27" t="n">
        <v>2</v>
      </c>
      <c r="AG27" t="n">
        <v>3</v>
      </c>
      <c r="AH27" t="n">
        <v>2</v>
      </c>
      <c r="AI27" t="n">
        <v>2</v>
      </c>
      <c r="AJ27" t="n">
        <v>6</v>
      </c>
      <c r="AK27" t="n">
        <v>7</v>
      </c>
      <c r="AL27" t="n">
        <v>2</v>
      </c>
      <c r="AM27" t="n">
        <v>3</v>
      </c>
      <c r="AN27" t="n">
        <v>0</v>
      </c>
      <c r="AO27" t="n">
        <v>0</v>
      </c>
      <c r="AP27" t="inlineStr">
        <is>
          <t>No</t>
        </is>
      </c>
      <c r="AQ27" t="inlineStr">
        <is>
          <t>Yes</t>
        </is>
      </c>
      <c r="AR27">
        <f>HYPERLINK("http://catalog.hathitrust.org/Record/000316480","HathiTrust Record")</f>
        <v/>
      </c>
      <c r="AS27">
        <f>HYPERLINK("https://creighton-primo.hosted.exlibrisgroup.com/primo-explore/search?tab=default_tab&amp;search_scope=EVERYTHING&amp;vid=01CRU&amp;lang=en_US&amp;offset=0&amp;query=any,contains,991003231459702656","Catalog Record")</f>
        <v/>
      </c>
      <c r="AT27">
        <f>HYPERLINK("http://www.worldcat.org/oclc/756168","WorldCat Record")</f>
        <v/>
      </c>
      <c r="AU27" t="inlineStr">
        <is>
          <t>3137210238:eng</t>
        </is>
      </c>
      <c r="AV27" t="inlineStr">
        <is>
          <t>756168</t>
        </is>
      </c>
      <c r="AW27" t="inlineStr">
        <is>
          <t>991003231459702656</t>
        </is>
      </c>
      <c r="AX27" t="inlineStr">
        <is>
          <t>991003231459702656</t>
        </is>
      </c>
      <c r="AY27" t="inlineStr">
        <is>
          <t>2271129190002656</t>
        </is>
      </c>
      <c r="AZ27" t="inlineStr">
        <is>
          <t>BOOK</t>
        </is>
      </c>
      <c r="BC27" t="inlineStr">
        <is>
          <t>32285000101351</t>
        </is>
      </c>
      <c r="BD27" t="inlineStr">
        <is>
          <t>893233941</t>
        </is>
      </c>
    </row>
    <row r="28">
      <c r="A28" t="inlineStr">
        <is>
          <t>No</t>
        </is>
      </c>
      <c r="B28" t="inlineStr">
        <is>
          <t>ND1135 .C463</t>
        </is>
      </c>
      <c r="C28" t="inlineStr">
        <is>
          <t>0                      ND 1135000C  463</t>
        </is>
      </c>
      <c r="D28" t="inlineStr">
        <is>
          <t>The art of painting / edited by Pierre Seghers in collaboration with Jacques Charpier. Excerpts translated by Sally T. Abeles.</t>
        </is>
      </c>
      <c r="E28" t="inlineStr">
        <is>
          <t>V.2</t>
        </is>
      </c>
      <c r="F28" t="inlineStr">
        <is>
          <t>Yes</t>
        </is>
      </c>
      <c r="G28" t="inlineStr">
        <is>
          <t>1</t>
        </is>
      </c>
      <c r="H28" t="inlineStr">
        <is>
          <t>No</t>
        </is>
      </c>
      <c r="I28" t="inlineStr">
        <is>
          <t>No</t>
        </is>
      </c>
      <c r="J28" t="inlineStr">
        <is>
          <t>0</t>
        </is>
      </c>
      <c r="K28" t="inlineStr">
        <is>
          <t>Charpier, Jacques.</t>
        </is>
      </c>
      <c r="L28" t="inlineStr">
        <is>
          <t>New York : Hawthorn Books, [1964-65]</t>
        </is>
      </c>
      <c r="M28" t="inlineStr">
        <is>
          <t>1964</t>
        </is>
      </c>
      <c r="N28" t="inlineStr">
        <is>
          <t>[1st American ed.]</t>
        </is>
      </c>
      <c r="O28" t="inlineStr">
        <is>
          <t>eng</t>
        </is>
      </c>
      <c r="P28" t="inlineStr">
        <is>
          <t>nyu</t>
        </is>
      </c>
      <c r="R28" t="inlineStr">
        <is>
          <t xml:space="preserve">ND </t>
        </is>
      </c>
      <c r="S28" t="n">
        <v>0</v>
      </c>
      <c r="T28" t="n">
        <v>2</v>
      </c>
      <c r="V28" t="inlineStr">
        <is>
          <t>2010-04-30</t>
        </is>
      </c>
      <c r="W28" t="inlineStr">
        <is>
          <t>1990-04-02</t>
        </is>
      </c>
      <c r="X28" t="inlineStr">
        <is>
          <t>1990-04-02</t>
        </is>
      </c>
      <c r="Y28" t="n">
        <v>492</v>
      </c>
      <c r="Z28" t="n">
        <v>474</v>
      </c>
      <c r="AA28" t="n">
        <v>546</v>
      </c>
      <c r="AB28" t="n">
        <v>3</v>
      </c>
      <c r="AC28" t="n">
        <v>4</v>
      </c>
      <c r="AD28" t="n">
        <v>10</v>
      </c>
      <c r="AE28" t="n">
        <v>13</v>
      </c>
      <c r="AF28" t="n">
        <v>2</v>
      </c>
      <c r="AG28" t="n">
        <v>3</v>
      </c>
      <c r="AH28" t="n">
        <v>2</v>
      </c>
      <c r="AI28" t="n">
        <v>2</v>
      </c>
      <c r="AJ28" t="n">
        <v>6</v>
      </c>
      <c r="AK28" t="n">
        <v>7</v>
      </c>
      <c r="AL28" t="n">
        <v>2</v>
      </c>
      <c r="AM28" t="n">
        <v>3</v>
      </c>
      <c r="AN28" t="n">
        <v>0</v>
      </c>
      <c r="AO28" t="n">
        <v>0</v>
      </c>
      <c r="AP28" t="inlineStr">
        <is>
          <t>No</t>
        </is>
      </c>
      <c r="AQ28" t="inlineStr">
        <is>
          <t>Yes</t>
        </is>
      </c>
      <c r="AR28">
        <f>HYPERLINK("http://catalog.hathitrust.org/Record/000316480","HathiTrust Record")</f>
        <v/>
      </c>
      <c r="AS28">
        <f>HYPERLINK("https://creighton-primo.hosted.exlibrisgroup.com/primo-explore/search?tab=default_tab&amp;search_scope=EVERYTHING&amp;vid=01CRU&amp;lang=en_US&amp;offset=0&amp;query=any,contains,991003231459702656","Catalog Record")</f>
        <v/>
      </c>
      <c r="AT28">
        <f>HYPERLINK("http://www.worldcat.org/oclc/756168","WorldCat Record")</f>
        <v/>
      </c>
      <c r="AU28" t="inlineStr">
        <is>
          <t>3137210238:eng</t>
        </is>
      </c>
      <c r="AV28" t="inlineStr">
        <is>
          <t>756168</t>
        </is>
      </c>
      <c r="AW28" t="inlineStr">
        <is>
          <t>991003231459702656</t>
        </is>
      </c>
      <c r="AX28" t="inlineStr">
        <is>
          <t>991003231459702656</t>
        </is>
      </c>
      <c r="AY28" t="inlineStr">
        <is>
          <t>2271129190002656</t>
        </is>
      </c>
      <c r="AZ28" t="inlineStr">
        <is>
          <t>BOOK</t>
        </is>
      </c>
      <c r="BC28" t="inlineStr">
        <is>
          <t>32285000101369</t>
        </is>
      </c>
      <c r="BD28" t="inlineStr">
        <is>
          <t>893246153</t>
        </is>
      </c>
    </row>
    <row r="29">
      <c r="A29" t="inlineStr">
        <is>
          <t>No</t>
        </is>
      </c>
      <c r="B29" t="inlineStr">
        <is>
          <t>ND1135 .C463</t>
        </is>
      </c>
      <c r="C29" t="inlineStr">
        <is>
          <t>0                      ND 1135000C  463</t>
        </is>
      </c>
      <c r="D29" t="inlineStr">
        <is>
          <t>The art of painting / edited by Pierre Seghers in collaboration with Jacques Charpier. Excerpts translated by Sally T. Abeles.</t>
        </is>
      </c>
      <c r="E29" t="inlineStr">
        <is>
          <t>V.3</t>
        </is>
      </c>
      <c r="F29" t="inlineStr">
        <is>
          <t>Yes</t>
        </is>
      </c>
      <c r="G29" t="inlineStr">
        <is>
          <t>1</t>
        </is>
      </c>
      <c r="H29" t="inlineStr">
        <is>
          <t>No</t>
        </is>
      </c>
      <c r="I29" t="inlineStr">
        <is>
          <t>No</t>
        </is>
      </c>
      <c r="J29" t="inlineStr">
        <is>
          <t>0</t>
        </is>
      </c>
      <c r="K29" t="inlineStr">
        <is>
          <t>Charpier, Jacques.</t>
        </is>
      </c>
      <c r="L29" t="inlineStr">
        <is>
          <t>New York : Hawthorn Books, [1964-65]</t>
        </is>
      </c>
      <c r="M29" t="inlineStr">
        <is>
          <t>1964</t>
        </is>
      </c>
      <c r="N29" t="inlineStr">
        <is>
          <t>[1st American ed.]</t>
        </is>
      </c>
      <c r="O29" t="inlineStr">
        <is>
          <t>eng</t>
        </is>
      </c>
      <c r="P29" t="inlineStr">
        <is>
          <t>nyu</t>
        </is>
      </c>
      <c r="R29" t="inlineStr">
        <is>
          <t xml:space="preserve">ND </t>
        </is>
      </c>
      <c r="S29" t="n">
        <v>1</v>
      </c>
      <c r="T29" t="n">
        <v>2</v>
      </c>
      <c r="U29" t="inlineStr">
        <is>
          <t>1992-11-23</t>
        </is>
      </c>
      <c r="V29" t="inlineStr">
        <is>
          <t>2010-04-30</t>
        </is>
      </c>
      <c r="W29" t="inlineStr">
        <is>
          <t>1990-04-02</t>
        </is>
      </c>
      <c r="X29" t="inlineStr">
        <is>
          <t>1990-04-02</t>
        </is>
      </c>
      <c r="Y29" t="n">
        <v>492</v>
      </c>
      <c r="Z29" t="n">
        <v>474</v>
      </c>
      <c r="AA29" t="n">
        <v>546</v>
      </c>
      <c r="AB29" t="n">
        <v>3</v>
      </c>
      <c r="AC29" t="n">
        <v>4</v>
      </c>
      <c r="AD29" t="n">
        <v>10</v>
      </c>
      <c r="AE29" t="n">
        <v>13</v>
      </c>
      <c r="AF29" t="n">
        <v>2</v>
      </c>
      <c r="AG29" t="n">
        <v>3</v>
      </c>
      <c r="AH29" t="n">
        <v>2</v>
      </c>
      <c r="AI29" t="n">
        <v>2</v>
      </c>
      <c r="AJ29" t="n">
        <v>6</v>
      </c>
      <c r="AK29" t="n">
        <v>7</v>
      </c>
      <c r="AL29" t="n">
        <v>2</v>
      </c>
      <c r="AM29" t="n">
        <v>3</v>
      </c>
      <c r="AN29" t="n">
        <v>0</v>
      </c>
      <c r="AO29" t="n">
        <v>0</v>
      </c>
      <c r="AP29" t="inlineStr">
        <is>
          <t>No</t>
        </is>
      </c>
      <c r="AQ29" t="inlineStr">
        <is>
          <t>Yes</t>
        </is>
      </c>
      <c r="AR29">
        <f>HYPERLINK("http://catalog.hathitrust.org/Record/000316480","HathiTrust Record")</f>
        <v/>
      </c>
      <c r="AS29">
        <f>HYPERLINK("https://creighton-primo.hosted.exlibrisgroup.com/primo-explore/search?tab=default_tab&amp;search_scope=EVERYTHING&amp;vid=01CRU&amp;lang=en_US&amp;offset=0&amp;query=any,contains,991003231459702656","Catalog Record")</f>
        <v/>
      </c>
      <c r="AT29">
        <f>HYPERLINK("http://www.worldcat.org/oclc/756168","WorldCat Record")</f>
        <v/>
      </c>
      <c r="AU29" t="inlineStr">
        <is>
          <t>3137210238:eng</t>
        </is>
      </c>
      <c r="AV29" t="inlineStr">
        <is>
          <t>756168</t>
        </is>
      </c>
      <c r="AW29" t="inlineStr">
        <is>
          <t>991003231459702656</t>
        </is>
      </c>
      <c r="AX29" t="inlineStr">
        <is>
          <t>991003231459702656</t>
        </is>
      </c>
      <c r="AY29" t="inlineStr">
        <is>
          <t>2271129190002656</t>
        </is>
      </c>
      <c r="AZ29" t="inlineStr">
        <is>
          <t>BOOK</t>
        </is>
      </c>
      <c r="BC29" t="inlineStr">
        <is>
          <t>32285000101377</t>
        </is>
      </c>
      <c r="BD29" t="inlineStr">
        <is>
          <t>893258192</t>
        </is>
      </c>
    </row>
    <row r="30">
      <c r="A30" t="inlineStr">
        <is>
          <t>No</t>
        </is>
      </c>
      <c r="B30" t="inlineStr">
        <is>
          <t>ND1135 .E44 1999</t>
        </is>
      </c>
      <c r="C30" t="inlineStr">
        <is>
          <t>0                      ND 1135000E  44          1999</t>
        </is>
      </c>
      <c r="D30" t="inlineStr">
        <is>
          <t>What painting is : how to think about oil painting, using the language of alchemy / James Elkins.</t>
        </is>
      </c>
      <c r="F30" t="inlineStr">
        <is>
          <t>No</t>
        </is>
      </c>
      <c r="G30" t="inlineStr">
        <is>
          <t>1</t>
        </is>
      </c>
      <c r="H30" t="inlineStr">
        <is>
          <t>No</t>
        </is>
      </c>
      <c r="I30" t="inlineStr">
        <is>
          <t>No</t>
        </is>
      </c>
      <c r="J30" t="inlineStr">
        <is>
          <t>0</t>
        </is>
      </c>
      <c r="K30" t="inlineStr">
        <is>
          <t>Elkins, James, 1955-</t>
        </is>
      </c>
      <c r="L30" t="inlineStr">
        <is>
          <t>New York : Routledge, 1999.</t>
        </is>
      </c>
      <c r="M30" t="inlineStr">
        <is>
          <t>1999</t>
        </is>
      </c>
      <c r="O30" t="inlineStr">
        <is>
          <t>eng</t>
        </is>
      </c>
      <c r="P30" t="inlineStr">
        <is>
          <t>nyu</t>
        </is>
      </c>
      <c r="R30" t="inlineStr">
        <is>
          <t xml:space="preserve">ND </t>
        </is>
      </c>
      <c r="S30" t="n">
        <v>3</v>
      </c>
      <c r="T30" t="n">
        <v>3</v>
      </c>
      <c r="U30" t="inlineStr">
        <is>
          <t>1999-12-14</t>
        </is>
      </c>
      <c r="V30" t="inlineStr">
        <is>
          <t>1999-12-14</t>
        </is>
      </c>
      <c r="W30" t="inlineStr">
        <is>
          <t>1999-02-11</t>
        </is>
      </c>
      <c r="X30" t="inlineStr">
        <is>
          <t>1999-02-11</t>
        </is>
      </c>
      <c r="Y30" t="n">
        <v>1105</v>
      </c>
      <c r="Z30" t="n">
        <v>965</v>
      </c>
      <c r="AA30" t="n">
        <v>1350</v>
      </c>
      <c r="AB30" t="n">
        <v>7</v>
      </c>
      <c r="AC30" t="n">
        <v>33</v>
      </c>
      <c r="AD30" t="n">
        <v>34</v>
      </c>
      <c r="AE30" t="n">
        <v>47</v>
      </c>
      <c r="AF30" t="n">
        <v>15</v>
      </c>
      <c r="AG30" t="n">
        <v>17</v>
      </c>
      <c r="AH30" t="n">
        <v>5</v>
      </c>
      <c r="AI30" t="n">
        <v>8</v>
      </c>
      <c r="AJ30" t="n">
        <v>14</v>
      </c>
      <c r="AK30" t="n">
        <v>17</v>
      </c>
      <c r="AL30" t="n">
        <v>6</v>
      </c>
      <c r="AM30" t="n">
        <v>14</v>
      </c>
      <c r="AN30" t="n">
        <v>0</v>
      </c>
      <c r="AO30" t="n">
        <v>0</v>
      </c>
      <c r="AP30" t="inlineStr">
        <is>
          <t>No</t>
        </is>
      </c>
      <c r="AQ30" t="inlineStr">
        <is>
          <t>No</t>
        </is>
      </c>
      <c r="AS30">
        <f>HYPERLINK("https://creighton-primo.hosted.exlibrisgroup.com/primo-explore/search?tab=default_tab&amp;search_scope=EVERYTHING&amp;vid=01CRU&amp;lang=en_US&amp;offset=0&amp;query=any,contains,991002916579702656","Catalog Record")</f>
        <v/>
      </c>
      <c r="AT30">
        <f>HYPERLINK("http://www.worldcat.org/oclc/38566030","WorldCat Record")</f>
        <v/>
      </c>
      <c r="AU30" t="inlineStr">
        <is>
          <t>1015703:eng</t>
        </is>
      </c>
      <c r="AV30" t="inlineStr">
        <is>
          <t>38566030</t>
        </is>
      </c>
      <c r="AW30" t="inlineStr">
        <is>
          <t>991002916579702656</t>
        </is>
      </c>
      <c r="AX30" t="inlineStr">
        <is>
          <t>991002916579702656</t>
        </is>
      </c>
      <c r="AY30" t="inlineStr">
        <is>
          <t>2260772960002656</t>
        </is>
      </c>
      <c r="AZ30" t="inlineStr">
        <is>
          <t>BOOK</t>
        </is>
      </c>
      <c r="BB30" t="inlineStr">
        <is>
          <t>9780415921138</t>
        </is>
      </c>
      <c r="BC30" t="inlineStr">
        <is>
          <t>32285003519526</t>
        </is>
      </c>
      <c r="BD30" t="inlineStr">
        <is>
          <t>893799167</t>
        </is>
      </c>
    </row>
    <row r="31">
      <c r="A31" t="inlineStr">
        <is>
          <t>No</t>
        </is>
      </c>
      <c r="B31" t="inlineStr">
        <is>
          <t>ND1140 .D2813 2002</t>
        </is>
      </c>
      <c r="C31" t="inlineStr">
        <is>
          <t>0                      ND 1140000D  2813        2002</t>
        </is>
      </c>
      <c r="D31" t="inlineStr">
        <is>
          <t>A theory of cloud : toward a history of painting / Hubert Damisch ; translated by Janet Lloyd.</t>
        </is>
      </c>
      <c r="F31" t="inlineStr">
        <is>
          <t>No</t>
        </is>
      </c>
      <c r="G31" t="inlineStr">
        <is>
          <t>1</t>
        </is>
      </c>
      <c r="H31" t="inlineStr">
        <is>
          <t>No</t>
        </is>
      </c>
      <c r="I31" t="inlineStr">
        <is>
          <t>No</t>
        </is>
      </c>
      <c r="J31" t="inlineStr">
        <is>
          <t>0</t>
        </is>
      </c>
      <c r="K31" t="inlineStr">
        <is>
          <t>Damisch, Hubert.</t>
        </is>
      </c>
      <c r="L31" t="inlineStr">
        <is>
          <t>Stanford, Calif. : Stanford University Press, 2002.</t>
        </is>
      </c>
      <c r="M31" t="inlineStr">
        <is>
          <t>2002</t>
        </is>
      </c>
      <c r="O31" t="inlineStr">
        <is>
          <t>eng</t>
        </is>
      </c>
      <c r="P31" t="inlineStr">
        <is>
          <t>cau</t>
        </is>
      </c>
      <c r="Q31" t="inlineStr">
        <is>
          <t>Cultural memory in the present</t>
        </is>
      </c>
      <c r="R31" t="inlineStr">
        <is>
          <t xml:space="preserve">ND </t>
        </is>
      </c>
      <c r="S31" t="n">
        <v>2</v>
      </c>
      <c r="T31" t="n">
        <v>2</v>
      </c>
      <c r="U31" t="inlineStr">
        <is>
          <t>2002-09-25</t>
        </is>
      </c>
      <c r="V31" t="inlineStr">
        <is>
          <t>2002-09-25</t>
        </is>
      </c>
      <c r="W31" t="inlineStr">
        <is>
          <t>2002-09-25</t>
        </is>
      </c>
      <c r="X31" t="inlineStr">
        <is>
          <t>2002-09-25</t>
        </is>
      </c>
      <c r="Y31" t="n">
        <v>330</v>
      </c>
      <c r="Z31" t="n">
        <v>239</v>
      </c>
      <c r="AA31" t="n">
        <v>239</v>
      </c>
      <c r="AB31" t="n">
        <v>3</v>
      </c>
      <c r="AC31" t="n">
        <v>3</v>
      </c>
      <c r="AD31" t="n">
        <v>8</v>
      </c>
      <c r="AE31" t="n">
        <v>8</v>
      </c>
      <c r="AF31" t="n">
        <v>2</v>
      </c>
      <c r="AG31" t="n">
        <v>2</v>
      </c>
      <c r="AH31" t="n">
        <v>1</v>
      </c>
      <c r="AI31" t="n">
        <v>1</v>
      </c>
      <c r="AJ31" t="n">
        <v>4</v>
      </c>
      <c r="AK31" t="n">
        <v>4</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HYPERLINK("https://creighton-primo.hosted.exlibrisgroup.com/primo-explore/search?tab=default_tab&amp;search_scope=EVERYTHING&amp;vid=01CRU&amp;lang=en_US&amp;offset=0&amp;query=any,contains,991003873199702656","Catalog Record")</f>
        <v/>
      </c>
      <c r="AT31">
        <f>HYPERLINK("http://www.worldcat.org/oclc/50617009","WorldCat Record")</f>
        <v/>
      </c>
      <c r="AU31" t="inlineStr">
        <is>
          <t>3901427765:eng</t>
        </is>
      </c>
      <c r="AV31" t="inlineStr">
        <is>
          <t>50617009</t>
        </is>
      </c>
      <c r="AW31" t="inlineStr">
        <is>
          <t>991003873199702656</t>
        </is>
      </c>
      <c r="AX31" t="inlineStr">
        <is>
          <t>991003873199702656</t>
        </is>
      </c>
      <c r="AY31" t="inlineStr">
        <is>
          <t>2267838000002656</t>
        </is>
      </c>
      <c r="AZ31" t="inlineStr">
        <is>
          <t>BOOK</t>
        </is>
      </c>
      <c r="BB31" t="inlineStr">
        <is>
          <t>9780804734394</t>
        </is>
      </c>
      <c r="BC31" t="inlineStr">
        <is>
          <t>32285004649207</t>
        </is>
      </c>
      <c r="BD31" t="inlineStr">
        <is>
          <t>893429319</t>
        </is>
      </c>
    </row>
    <row r="32">
      <c r="A32" t="inlineStr">
        <is>
          <t>No</t>
        </is>
      </c>
      <c r="B32" t="inlineStr">
        <is>
          <t>ND1140 .P88 1985</t>
        </is>
      </c>
      <c r="C32" t="inlineStr">
        <is>
          <t>0                      ND 1140000P  88          1985</t>
        </is>
      </c>
      <c r="D32" t="inlineStr">
        <is>
          <t>Roger de Piles' theory of art / Thomas Puttfarken.</t>
        </is>
      </c>
      <c r="F32" t="inlineStr">
        <is>
          <t>No</t>
        </is>
      </c>
      <c r="G32" t="inlineStr">
        <is>
          <t>1</t>
        </is>
      </c>
      <c r="H32" t="inlineStr">
        <is>
          <t>No</t>
        </is>
      </c>
      <c r="I32" t="inlineStr">
        <is>
          <t>No</t>
        </is>
      </c>
      <c r="J32" t="inlineStr">
        <is>
          <t>0</t>
        </is>
      </c>
      <c r="K32" t="inlineStr">
        <is>
          <t>Puttfarken, Thomas.</t>
        </is>
      </c>
      <c r="L32" t="inlineStr">
        <is>
          <t>New Haven : Yale University Press, 1985.</t>
        </is>
      </c>
      <c r="M32" t="inlineStr">
        <is>
          <t>1985</t>
        </is>
      </c>
      <c r="O32" t="inlineStr">
        <is>
          <t>eng</t>
        </is>
      </c>
      <c r="P32" t="inlineStr">
        <is>
          <t>ctu</t>
        </is>
      </c>
      <c r="R32" t="inlineStr">
        <is>
          <t xml:space="preserve">ND </t>
        </is>
      </c>
      <c r="S32" t="n">
        <v>1</v>
      </c>
      <c r="T32" t="n">
        <v>1</v>
      </c>
      <c r="U32" t="inlineStr">
        <is>
          <t>2008-05-14</t>
        </is>
      </c>
      <c r="V32" t="inlineStr">
        <is>
          <t>2008-05-14</t>
        </is>
      </c>
      <c r="W32" t="inlineStr">
        <is>
          <t>2008-05-14</t>
        </is>
      </c>
      <c r="X32" t="inlineStr">
        <is>
          <t>2008-05-14</t>
        </is>
      </c>
      <c r="Y32" t="n">
        <v>481</v>
      </c>
      <c r="Z32" t="n">
        <v>355</v>
      </c>
      <c r="AA32" t="n">
        <v>357</v>
      </c>
      <c r="AB32" t="n">
        <v>3</v>
      </c>
      <c r="AC32" t="n">
        <v>3</v>
      </c>
      <c r="AD32" t="n">
        <v>18</v>
      </c>
      <c r="AE32" t="n">
        <v>18</v>
      </c>
      <c r="AF32" t="n">
        <v>7</v>
      </c>
      <c r="AG32" t="n">
        <v>7</v>
      </c>
      <c r="AH32" t="n">
        <v>7</v>
      </c>
      <c r="AI32" t="n">
        <v>7</v>
      </c>
      <c r="AJ32" t="n">
        <v>7</v>
      </c>
      <c r="AK32" t="n">
        <v>7</v>
      </c>
      <c r="AL32" t="n">
        <v>2</v>
      </c>
      <c r="AM32" t="n">
        <v>2</v>
      </c>
      <c r="AN32" t="n">
        <v>0</v>
      </c>
      <c r="AO32" t="n">
        <v>0</v>
      </c>
      <c r="AP32" t="inlineStr">
        <is>
          <t>No</t>
        </is>
      </c>
      <c r="AQ32" t="inlineStr">
        <is>
          <t>No</t>
        </is>
      </c>
      <c r="AS32">
        <f>HYPERLINK("https://creighton-primo.hosted.exlibrisgroup.com/primo-explore/search?tab=default_tab&amp;search_scope=EVERYTHING&amp;vid=01CRU&amp;lang=en_US&amp;offset=0&amp;query=any,contains,991005220729702656","Catalog Record")</f>
        <v/>
      </c>
      <c r="AT32">
        <f>HYPERLINK("http://www.worldcat.org/oclc/13451039","WorldCat Record")</f>
        <v/>
      </c>
      <c r="AU32" t="inlineStr">
        <is>
          <t>5467336:eng</t>
        </is>
      </c>
      <c r="AV32" t="inlineStr">
        <is>
          <t>13451039</t>
        </is>
      </c>
      <c r="AW32" t="inlineStr">
        <is>
          <t>991005220729702656</t>
        </is>
      </c>
      <c r="AX32" t="inlineStr">
        <is>
          <t>991005220729702656</t>
        </is>
      </c>
      <c r="AY32" t="inlineStr">
        <is>
          <t>2261529770002656</t>
        </is>
      </c>
      <c r="AZ32" t="inlineStr">
        <is>
          <t>BOOK</t>
        </is>
      </c>
      <c r="BB32" t="inlineStr">
        <is>
          <t>9780300033564</t>
        </is>
      </c>
      <c r="BC32" t="inlineStr">
        <is>
          <t>32285005407894</t>
        </is>
      </c>
      <c r="BD32" t="inlineStr">
        <is>
          <t>893320267</t>
        </is>
      </c>
    </row>
    <row r="33">
      <c r="A33" t="inlineStr">
        <is>
          <t>No</t>
        </is>
      </c>
      <c r="B33" t="inlineStr">
        <is>
          <t>ND1140 .W78 1987</t>
        </is>
      </c>
      <c r="C33" t="inlineStr">
        <is>
          <t>0                      ND 1140000W  78          1987</t>
        </is>
      </c>
      <c r="D33" t="inlineStr">
        <is>
          <t>Painting as an art / Richard Wollheim.</t>
        </is>
      </c>
      <c r="F33" t="inlineStr">
        <is>
          <t>No</t>
        </is>
      </c>
      <c r="G33" t="inlineStr">
        <is>
          <t>1</t>
        </is>
      </c>
      <c r="H33" t="inlineStr">
        <is>
          <t>No</t>
        </is>
      </c>
      <c r="I33" t="inlineStr">
        <is>
          <t>No</t>
        </is>
      </c>
      <c r="J33" t="inlineStr">
        <is>
          <t>0</t>
        </is>
      </c>
      <c r="K33" t="inlineStr">
        <is>
          <t>Wollheim, Richard, 1923-2003.</t>
        </is>
      </c>
      <c r="L33" t="inlineStr">
        <is>
          <t>Princeton, N.J. : Princeton University Press, c1987.</t>
        </is>
      </c>
      <c r="M33" t="inlineStr">
        <is>
          <t>1987</t>
        </is>
      </c>
      <c r="O33" t="inlineStr">
        <is>
          <t>eng</t>
        </is>
      </c>
      <c r="P33" t="inlineStr">
        <is>
          <t>nju</t>
        </is>
      </c>
      <c r="Q33" t="inlineStr">
        <is>
          <t>The A.W. Mellon lectures in the fine arts ; [33]</t>
        </is>
      </c>
      <c r="R33" t="inlineStr">
        <is>
          <t xml:space="preserve">ND </t>
        </is>
      </c>
      <c r="S33" t="n">
        <v>4</v>
      </c>
      <c r="T33" t="n">
        <v>4</v>
      </c>
      <c r="U33" t="inlineStr">
        <is>
          <t>1999-01-19</t>
        </is>
      </c>
      <c r="V33" t="inlineStr">
        <is>
          <t>1999-01-19</t>
        </is>
      </c>
      <c r="W33" t="inlineStr">
        <is>
          <t>1993-10-25</t>
        </is>
      </c>
      <c r="X33" t="inlineStr">
        <is>
          <t>1993-10-25</t>
        </is>
      </c>
      <c r="Y33" t="n">
        <v>917</v>
      </c>
      <c r="Z33" t="n">
        <v>801</v>
      </c>
      <c r="AA33" t="n">
        <v>849</v>
      </c>
      <c r="AB33" t="n">
        <v>5</v>
      </c>
      <c r="AC33" t="n">
        <v>6</v>
      </c>
      <c r="AD33" t="n">
        <v>34</v>
      </c>
      <c r="AE33" t="n">
        <v>36</v>
      </c>
      <c r="AF33" t="n">
        <v>12</v>
      </c>
      <c r="AG33" t="n">
        <v>13</v>
      </c>
      <c r="AH33" t="n">
        <v>9</v>
      </c>
      <c r="AI33" t="n">
        <v>9</v>
      </c>
      <c r="AJ33" t="n">
        <v>19</v>
      </c>
      <c r="AK33" t="n">
        <v>19</v>
      </c>
      <c r="AL33" t="n">
        <v>4</v>
      </c>
      <c r="AM33" t="n">
        <v>5</v>
      </c>
      <c r="AN33" t="n">
        <v>0</v>
      </c>
      <c r="AO33" t="n">
        <v>0</v>
      </c>
      <c r="AP33" t="inlineStr">
        <is>
          <t>No</t>
        </is>
      </c>
      <c r="AQ33" t="inlineStr">
        <is>
          <t>No</t>
        </is>
      </c>
      <c r="AS33">
        <f>HYPERLINK("https://creighton-primo.hosted.exlibrisgroup.com/primo-explore/search?tab=default_tab&amp;search_scope=EVERYTHING&amp;vid=01CRU&amp;lang=en_US&amp;offset=0&amp;query=any,contains,991001048319702656","Catalog Record")</f>
        <v/>
      </c>
      <c r="AT33">
        <f>HYPERLINK("http://www.worldcat.org/oclc/15630626","WorldCat Record")</f>
        <v/>
      </c>
      <c r="AU33" t="inlineStr">
        <is>
          <t>57914956:eng</t>
        </is>
      </c>
      <c r="AV33" t="inlineStr">
        <is>
          <t>15630626</t>
        </is>
      </c>
      <c r="AW33" t="inlineStr">
        <is>
          <t>991001048319702656</t>
        </is>
      </c>
      <c r="AX33" t="inlineStr">
        <is>
          <t>991001048319702656</t>
        </is>
      </c>
      <c r="AY33" t="inlineStr">
        <is>
          <t>2260905510002656</t>
        </is>
      </c>
      <c r="AZ33" t="inlineStr">
        <is>
          <t>BOOK</t>
        </is>
      </c>
      <c r="BB33" t="inlineStr">
        <is>
          <t>9780691099644</t>
        </is>
      </c>
      <c r="BC33" t="inlineStr">
        <is>
          <t>32285001794428</t>
        </is>
      </c>
      <c r="BD33" t="inlineStr">
        <is>
          <t>893878574</t>
        </is>
      </c>
    </row>
    <row r="34">
      <c r="A34" t="inlineStr">
        <is>
          <t>No</t>
        </is>
      </c>
      <c r="B34" t="inlineStr">
        <is>
          <t>ND1143 .T34 2000</t>
        </is>
      </c>
      <c r="C34" t="inlineStr">
        <is>
          <t>0                      ND 1143000T  34          2000</t>
        </is>
      </c>
      <c r="D34" t="inlineStr">
        <is>
          <t>The science of paintings / W. Stanley Taft, Jr., James W. Mayer ; with contributions by Peter Ian Kuniholm, Richard Newman, Dusan C. Stulik.</t>
        </is>
      </c>
      <c r="F34" t="inlineStr">
        <is>
          <t>No</t>
        </is>
      </c>
      <c r="G34" t="inlineStr">
        <is>
          <t>1</t>
        </is>
      </c>
      <c r="H34" t="inlineStr">
        <is>
          <t>No</t>
        </is>
      </c>
      <c r="I34" t="inlineStr">
        <is>
          <t>No</t>
        </is>
      </c>
      <c r="J34" t="inlineStr">
        <is>
          <t>0</t>
        </is>
      </c>
      <c r="K34" t="inlineStr">
        <is>
          <t>Taft, W. Stanley.</t>
        </is>
      </c>
      <c r="L34" t="inlineStr">
        <is>
          <t>New York : Springer, 2000.</t>
        </is>
      </c>
      <c r="M34" t="inlineStr">
        <is>
          <t>2000</t>
        </is>
      </c>
      <c r="O34" t="inlineStr">
        <is>
          <t>eng</t>
        </is>
      </c>
      <c r="P34" t="inlineStr">
        <is>
          <t>nyu</t>
        </is>
      </c>
      <c r="R34" t="inlineStr">
        <is>
          <t xml:space="preserve">ND </t>
        </is>
      </c>
      <c r="S34" t="n">
        <v>1</v>
      </c>
      <c r="T34" t="n">
        <v>1</v>
      </c>
      <c r="U34" t="inlineStr">
        <is>
          <t>2005-07-19</t>
        </is>
      </c>
      <c r="V34" t="inlineStr">
        <is>
          <t>2005-07-19</t>
        </is>
      </c>
      <c r="W34" t="inlineStr">
        <is>
          <t>2005-06-28</t>
        </is>
      </c>
      <c r="X34" t="inlineStr">
        <is>
          <t>2005-06-28</t>
        </is>
      </c>
      <c r="Y34" t="n">
        <v>593</v>
      </c>
      <c r="Z34" t="n">
        <v>510</v>
      </c>
      <c r="AA34" t="n">
        <v>818</v>
      </c>
      <c r="AB34" t="n">
        <v>7</v>
      </c>
      <c r="AC34" t="n">
        <v>33</v>
      </c>
      <c r="AD34" t="n">
        <v>25</v>
      </c>
      <c r="AE34" t="n">
        <v>37</v>
      </c>
      <c r="AF34" t="n">
        <v>9</v>
      </c>
      <c r="AG34" t="n">
        <v>12</v>
      </c>
      <c r="AH34" t="n">
        <v>8</v>
      </c>
      <c r="AI34" t="n">
        <v>8</v>
      </c>
      <c r="AJ34" t="n">
        <v>9</v>
      </c>
      <c r="AK34" t="n">
        <v>11</v>
      </c>
      <c r="AL34" t="n">
        <v>6</v>
      </c>
      <c r="AM34" t="n">
        <v>14</v>
      </c>
      <c r="AN34" t="n">
        <v>0</v>
      </c>
      <c r="AO34" t="n">
        <v>0</v>
      </c>
      <c r="AP34" t="inlineStr">
        <is>
          <t>No</t>
        </is>
      </c>
      <c r="AQ34" t="inlineStr">
        <is>
          <t>No</t>
        </is>
      </c>
      <c r="AS34">
        <f>HYPERLINK("https://creighton-primo.hosted.exlibrisgroup.com/primo-explore/search?tab=default_tab&amp;search_scope=EVERYTHING&amp;vid=01CRU&amp;lang=en_US&amp;offset=0&amp;query=any,contains,991004591459702656","Catalog Record")</f>
        <v/>
      </c>
      <c r="AT34">
        <f>HYPERLINK("http://www.worldcat.org/oclc/42002588","WorldCat Record")</f>
        <v/>
      </c>
      <c r="AU34" t="inlineStr">
        <is>
          <t>15752474:eng</t>
        </is>
      </c>
      <c r="AV34" t="inlineStr">
        <is>
          <t>42002588</t>
        </is>
      </c>
      <c r="AW34" t="inlineStr">
        <is>
          <t>991004591459702656</t>
        </is>
      </c>
      <c r="AX34" t="inlineStr">
        <is>
          <t>991004591459702656</t>
        </is>
      </c>
      <c r="AY34" t="inlineStr">
        <is>
          <t>2271592490002656</t>
        </is>
      </c>
      <c r="AZ34" t="inlineStr">
        <is>
          <t>BOOK</t>
        </is>
      </c>
      <c r="BB34" t="inlineStr">
        <is>
          <t>9780387987224</t>
        </is>
      </c>
      <c r="BC34" t="inlineStr">
        <is>
          <t>32285005096838</t>
        </is>
      </c>
      <c r="BD34" t="inlineStr">
        <is>
          <t>893795022</t>
        </is>
      </c>
    </row>
    <row r="35">
      <c r="A35" t="inlineStr">
        <is>
          <t>No</t>
        </is>
      </c>
      <c r="B35" t="inlineStr">
        <is>
          <t>ND1145 .B36 1985</t>
        </is>
      </c>
      <c r="C35" t="inlineStr">
        <is>
          <t>0                      ND 1145000B  36          1985</t>
        </is>
      </c>
      <c r="D35" t="inlineStr">
        <is>
          <t>Patterns of intention : on the historical explanation of pictures / Michael Baxandall.</t>
        </is>
      </c>
      <c r="F35" t="inlineStr">
        <is>
          <t>No</t>
        </is>
      </c>
      <c r="G35" t="inlineStr">
        <is>
          <t>1</t>
        </is>
      </c>
      <c r="H35" t="inlineStr">
        <is>
          <t>No</t>
        </is>
      </c>
      <c r="I35" t="inlineStr">
        <is>
          <t>No</t>
        </is>
      </c>
      <c r="J35" t="inlineStr">
        <is>
          <t>0</t>
        </is>
      </c>
      <c r="K35" t="inlineStr">
        <is>
          <t>Baxandall, Michael.</t>
        </is>
      </c>
      <c r="L35" t="inlineStr">
        <is>
          <t>New Haven : Yale University Press, c1985.</t>
        </is>
      </c>
      <c r="M35" t="inlineStr">
        <is>
          <t>1985</t>
        </is>
      </c>
      <c r="O35" t="inlineStr">
        <is>
          <t>eng</t>
        </is>
      </c>
      <c r="P35" t="inlineStr">
        <is>
          <t>ctu</t>
        </is>
      </c>
      <c r="R35" t="inlineStr">
        <is>
          <t xml:space="preserve">ND </t>
        </is>
      </c>
      <c r="S35" t="n">
        <v>5</v>
      </c>
      <c r="T35" t="n">
        <v>5</v>
      </c>
      <c r="U35" t="inlineStr">
        <is>
          <t>2002-04-22</t>
        </is>
      </c>
      <c r="V35" t="inlineStr">
        <is>
          <t>2002-04-22</t>
        </is>
      </c>
      <c r="W35" t="inlineStr">
        <is>
          <t>1993-05-24</t>
        </is>
      </c>
      <c r="X35" t="inlineStr">
        <is>
          <t>1993-05-24</t>
        </is>
      </c>
      <c r="Y35" t="n">
        <v>1020</v>
      </c>
      <c r="Z35" t="n">
        <v>745</v>
      </c>
      <c r="AA35" t="n">
        <v>753</v>
      </c>
      <c r="AB35" t="n">
        <v>5</v>
      </c>
      <c r="AC35" t="n">
        <v>5</v>
      </c>
      <c r="AD35" t="n">
        <v>38</v>
      </c>
      <c r="AE35" t="n">
        <v>38</v>
      </c>
      <c r="AF35" t="n">
        <v>16</v>
      </c>
      <c r="AG35" t="n">
        <v>16</v>
      </c>
      <c r="AH35" t="n">
        <v>7</v>
      </c>
      <c r="AI35" t="n">
        <v>7</v>
      </c>
      <c r="AJ35" t="n">
        <v>20</v>
      </c>
      <c r="AK35" t="n">
        <v>20</v>
      </c>
      <c r="AL35" t="n">
        <v>3</v>
      </c>
      <c r="AM35" t="n">
        <v>3</v>
      </c>
      <c r="AN35" t="n">
        <v>0</v>
      </c>
      <c r="AO35" t="n">
        <v>0</v>
      </c>
      <c r="AP35" t="inlineStr">
        <is>
          <t>No</t>
        </is>
      </c>
      <c r="AQ35" t="inlineStr">
        <is>
          <t>No</t>
        </is>
      </c>
      <c r="AS35">
        <f>HYPERLINK("https://creighton-primo.hosted.exlibrisgroup.com/primo-explore/search?tab=default_tab&amp;search_scope=EVERYTHING&amp;vid=01CRU&amp;lang=en_US&amp;offset=0&amp;query=any,contains,991000607699702656","Catalog Record")</f>
        <v/>
      </c>
      <c r="AT35">
        <f>HYPERLINK("http://www.worldcat.org/oclc/11867765","WorldCat Record")</f>
        <v/>
      </c>
      <c r="AU35" t="inlineStr">
        <is>
          <t>473568653:eng</t>
        </is>
      </c>
      <c r="AV35" t="inlineStr">
        <is>
          <t>11867765</t>
        </is>
      </c>
      <c r="AW35" t="inlineStr">
        <is>
          <t>991000607699702656</t>
        </is>
      </c>
      <c r="AX35" t="inlineStr">
        <is>
          <t>991000607699702656</t>
        </is>
      </c>
      <c r="AY35" t="inlineStr">
        <is>
          <t>2262617500002656</t>
        </is>
      </c>
      <c r="AZ35" t="inlineStr">
        <is>
          <t>BOOK</t>
        </is>
      </c>
      <c r="BB35" t="inlineStr">
        <is>
          <t>9780300034653</t>
        </is>
      </c>
      <c r="BC35" t="inlineStr">
        <is>
          <t>32285001692945</t>
        </is>
      </c>
      <c r="BD35" t="inlineStr">
        <is>
          <t>893802919</t>
        </is>
      </c>
    </row>
    <row r="36">
      <c r="A36" t="inlineStr">
        <is>
          <t>No</t>
        </is>
      </c>
      <c r="B36" t="inlineStr">
        <is>
          <t>ND1145 V57 1991</t>
        </is>
      </c>
      <c r="C36" t="inlineStr">
        <is>
          <t>0                      ND 1145000V  57          1991</t>
        </is>
      </c>
      <c r="D36" t="inlineStr">
        <is>
          <t>Visual theory : painting and interpretation / edited by Norman Bryson, Michael Ann Holly, Keith Moxey.</t>
        </is>
      </c>
      <c r="F36" t="inlineStr">
        <is>
          <t>No</t>
        </is>
      </c>
      <c r="G36" t="inlineStr">
        <is>
          <t>1</t>
        </is>
      </c>
      <c r="H36" t="inlineStr">
        <is>
          <t>No</t>
        </is>
      </c>
      <c r="I36" t="inlineStr">
        <is>
          <t>No</t>
        </is>
      </c>
      <c r="J36" t="inlineStr">
        <is>
          <t>0</t>
        </is>
      </c>
      <c r="L36" t="inlineStr">
        <is>
          <t>New York, NY : HarperCollins, c1991.</t>
        </is>
      </c>
      <c r="M36" t="inlineStr">
        <is>
          <t>1991</t>
        </is>
      </c>
      <c r="O36" t="inlineStr">
        <is>
          <t>eng</t>
        </is>
      </c>
      <c r="P36" t="inlineStr">
        <is>
          <t>nyu</t>
        </is>
      </c>
      <c r="R36" t="inlineStr">
        <is>
          <t xml:space="preserve">ND </t>
        </is>
      </c>
      <c r="S36" t="n">
        <v>8</v>
      </c>
      <c r="T36" t="n">
        <v>8</v>
      </c>
      <c r="U36" t="inlineStr">
        <is>
          <t>2005-05-20</t>
        </is>
      </c>
      <c r="V36" t="inlineStr">
        <is>
          <t>2005-05-20</t>
        </is>
      </c>
      <c r="W36" t="inlineStr">
        <is>
          <t>1991-10-24</t>
        </is>
      </c>
      <c r="X36" t="inlineStr">
        <is>
          <t>1991-10-24</t>
        </is>
      </c>
      <c r="Y36" t="n">
        <v>370</v>
      </c>
      <c r="Z36" t="n">
        <v>338</v>
      </c>
      <c r="AA36" t="n">
        <v>380</v>
      </c>
      <c r="AB36" t="n">
        <v>2</v>
      </c>
      <c r="AC36" t="n">
        <v>3</v>
      </c>
      <c r="AD36" t="n">
        <v>11</v>
      </c>
      <c r="AE36" t="n">
        <v>13</v>
      </c>
      <c r="AF36" t="n">
        <v>3</v>
      </c>
      <c r="AG36" t="n">
        <v>3</v>
      </c>
      <c r="AH36" t="n">
        <v>4</v>
      </c>
      <c r="AI36" t="n">
        <v>4</v>
      </c>
      <c r="AJ36" t="n">
        <v>5</v>
      </c>
      <c r="AK36" t="n">
        <v>6</v>
      </c>
      <c r="AL36" t="n">
        <v>1</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HYPERLINK("https://creighton-primo.hosted.exlibrisgroup.com/primo-explore/search?tab=default_tab&amp;search_scope=EVERYTHING&amp;vid=01CRU&amp;lang=en_US&amp;offset=0&amp;query=any,contains,991001838949702656","Catalog Record")</f>
        <v/>
      </c>
      <c r="AT36">
        <f>HYPERLINK("http://www.worldcat.org/oclc/23109765","WorldCat Record")</f>
        <v/>
      </c>
      <c r="AU36" t="inlineStr">
        <is>
          <t>836764863:eng</t>
        </is>
      </c>
      <c r="AV36" t="inlineStr">
        <is>
          <t>23109765</t>
        </is>
      </c>
      <c r="AW36" t="inlineStr">
        <is>
          <t>991001838949702656</t>
        </is>
      </c>
      <c r="AX36" t="inlineStr">
        <is>
          <t>991001838949702656</t>
        </is>
      </c>
      <c r="AY36" t="inlineStr">
        <is>
          <t>2271617680002656</t>
        </is>
      </c>
      <c r="AZ36" t="inlineStr">
        <is>
          <t>BOOK</t>
        </is>
      </c>
      <c r="BB36" t="inlineStr">
        <is>
          <t>9780064304016</t>
        </is>
      </c>
      <c r="BC36" t="inlineStr">
        <is>
          <t>32285000728336</t>
        </is>
      </c>
      <c r="BD36" t="inlineStr">
        <is>
          <t>893232305</t>
        </is>
      </c>
    </row>
    <row r="37">
      <c r="A37" t="inlineStr">
        <is>
          <t>No</t>
        </is>
      </c>
      <c r="B37" t="inlineStr">
        <is>
          <t>ND1150 .G5</t>
        </is>
      </c>
      <c r="C37" t="inlineStr">
        <is>
          <t>0                      ND 1150000G  5</t>
        </is>
      </c>
      <c r="D37" t="inlineStr">
        <is>
          <t>Painting and reality.</t>
        </is>
      </c>
      <c r="F37" t="inlineStr">
        <is>
          <t>No</t>
        </is>
      </c>
      <c r="G37" t="inlineStr">
        <is>
          <t>1</t>
        </is>
      </c>
      <c r="H37" t="inlineStr">
        <is>
          <t>No</t>
        </is>
      </c>
      <c r="I37" t="inlineStr">
        <is>
          <t>No</t>
        </is>
      </c>
      <c r="J37" t="inlineStr">
        <is>
          <t>0</t>
        </is>
      </c>
      <c r="K37" t="inlineStr">
        <is>
          <t>Gilson, Étienne, 1884-1978.</t>
        </is>
      </c>
      <c r="L37" t="inlineStr">
        <is>
          <t>[New York] : Pantheon Books, [1957]</t>
        </is>
      </c>
      <c r="M37" t="inlineStr">
        <is>
          <t>1957</t>
        </is>
      </c>
      <c r="O37" t="inlineStr">
        <is>
          <t>eng</t>
        </is>
      </c>
      <c r="P37" t="inlineStr">
        <is>
          <t>nyu</t>
        </is>
      </c>
      <c r="Q37" t="inlineStr">
        <is>
          <t>Bollingen series ; 35</t>
        </is>
      </c>
      <c r="R37" t="inlineStr">
        <is>
          <t xml:space="preserve">ND </t>
        </is>
      </c>
      <c r="S37" t="n">
        <v>3</v>
      </c>
      <c r="T37" t="n">
        <v>3</v>
      </c>
      <c r="U37" t="inlineStr">
        <is>
          <t>2004-10-24</t>
        </is>
      </c>
      <c r="V37" t="inlineStr">
        <is>
          <t>2004-10-24</t>
        </is>
      </c>
      <c r="W37" t="inlineStr">
        <is>
          <t>1997-08-05</t>
        </is>
      </c>
      <c r="X37" t="inlineStr">
        <is>
          <t>1997-08-05</t>
        </is>
      </c>
      <c r="Y37" t="n">
        <v>943</v>
      </c>
      <c r="Z37" t="n">
        <v>861</v>
      </c>
      <c r="AA37" t="n">
        <v>1121</v>
      </c>
      <c r="AB37" t="n">
        <v>7</v>
      </c>
      <c r="AC37" t="n">
        <v>11</v>
      </c>
      <c r="AD37" t="n">
        <v>44</v>
      </c>
      <c r="AE37" t="n">
        <v>51</v>
      </c>
      <c r="AF37" t="n">
        <v>19</v>
      </c>
      <c r="AG37" t="n">
        <v>23</v>
      </c>
      <c r="AH37" t="n">
        <v>8</v>
      </c>
      <c r="AI37" t="n">
        <v>8</v>
      </c>
      <c r="AJ37" t="n">
        <v>24</v>
      </c>
      <c r="AK37" t="n">
        <v>24</v>
      </c>
      <c r="AL37" t="n">
        <v>4</v>
      </c>
      <c r="AM37" t="n">
        <v>7</v>
      </c>
      <c r="AN37" t="n">
        <v>0</v>
      </c>
      <c r="AO37" t="n">
        <v>0</v>
      </c>
      <c r="AP37" t="inlineStr">
        <is>
          <t>No</t>
        </is>
      </c>
      <c r="AQ37" t="inlineStr">
        <is>
          <t>No</t>
        </is>
      </c>
      <c r="AR37">
        <f>HYPERLINK("http://catalog.hathitrust.org/Record/000350963","HathiTrust Record")</f>
        <v/>
      </c>
      <c r="AS37">
        <f>HYPERLINK("https://creighton-primo.hosted.exlibrisgroup.com/primo-explore/search?tab=default_tab&amp;search_scope=EVERYTHING&amp;vid=01CRU&amp;lang=en_US&amp;offset=0&amp;query=any,contains,991002905409702656","Catalog Record")</f>
        <v/>
      </c>
      <c r="AT37">
        <f>HYPERLINK("http://www.worldcat.org/oclc/519264","WorldCat Record")</f>
        <v/>
      </c>
      <c r="AU37" t="inlineStr">
        <is>
          <t>1511660:eng</t>
        </is>
      </c>
      <c r="AV37" t="inlineStr">
        <is>
          <t>519264</t>
        </is>
      </c>
      <c r="AW37" t="inlineStr">
        <is>
          <t>991002905409702656</t>
        </is>
      </c>
      <c r="AX37" t="inlineStr">
        <is>
          <t>991002905409702656</t>
        </is>
      </c>
      <c r="AY37" t="inlineStr">
        <is>
          <t>2256787060002656</t>
        </is>
      </c>
      <c r="AZ37" t="inlineStr">
        <is>
          <t>BOOK</t>
        </is>
      </c>
      <c r="BC37" t="inlineStr">
        <is>
          <t>32285003045100</t>
        </is>
      </c>
      <c r="BD37" t="inlineStr">
        <is>
          <t>893415791</t>
        </is>
      </c>
    </row>
    <row r="38">
      <c r="A38" t="inlineStr">
        <is>
          <t>No</t>
        </is>
      </c>
      <c r="B38" t="inlineStr">
        <is>
          <t>ND1170 .C7</t>
        </is>
      </c>
      <c r="C38" t="inlineStr">
        <is>
          <t>0                      ND 1170000C  7</t>
        </is>
      </c>
      <c r="D38" t="inlineStr">
        <is>
          <t>A treasury of art masterpieces : from the renaissance to the present day / edited by Thomas Craven. --</t>
        </is>
      </c>
      <c r="F38" t="inlineStr">
        <is>
          <t>No</t>
        </is>
      </c>
      <c r="G38" t="inlineStr">
        <is>
          <t>1</t>
        </is>
      </c>
      <c r="H38" t="inlineStr">
        <is>
          <t>No</t>
        </is>
      </c>
      <c r="I38" t="inlineStr">
        <is>
          <t>No</t>
        </is>
      </c>
      <c r="J38" t="inlineStr">
        <is>
          <t>0</t>
        </is>
      </c>
      <c r="K38" t="inlineStr">
        <is>
          <t>Craven, Thomas, 1888-1969.</t>
        </is>
      </c>
      <c r="L38" t="inlineStr">
        <is>
          <t>New York : Simon and Schuster, 1939.</t>
        </is>
      </c>
      <c r="M38" t="inlineStr">
        <is>
          <t>1939</t>
        </is>
      </c>
      <c r="O38" t="inlineStr">
        <is>
          <t>eng</t>
        </is>
      </c>
      <c r="P38" t="inlineStr">
        <is>
          <t>nyu</t>
        </is>
      </c>
      <c r="R38" t="inlineStr">
        <is>
          <t xml:space="preserve">ND </t>
        </is>
      </c>
      <c r="S38" t="n">
        <v>3</v>
      </c>
      <c r="T38" t="n">
        <v>3</v>
      </c>
      <c r="U38" t="inlineStr">
        <is>
          <t>1995-02-14</t>
        </is>
      </c>
      <c r="V38" t="inlineStr">
        <is>
          <t>1995-02-14</t>
        </is>
      </c>
      <c r="W38" t="inlineStr">
        <is>
          <t>1993-05-24</t>
        </is>
      </c>
      <c r="X38" t="inlineStr">
        <is>
          <t>1993-05-24</t>
        </is>
      </c>
      <c r="Y38" t="n">
        <v>1215</v>
      </c>
      <c r="Z38" t="n">
        <v>1153</v>
      </c>
      <c r="AA38" t="n">
        <v>1236</v>
      </c>
      <c r="AB38" t="n">
        <v>12</v>
      </c>
      <c r="AC38" t="n">
        <v>12</v>
      </c>
      <c r="AD38" t="n">
        <v>40</v>
      </c>
      <c r="AE38" t="n">
        <v>42</v>
      </c>
      <c r="AF38" t="n">
        <v>17</v>
      </c>
      <c r="AG38" t="n">
        <v>18</v>
      </c>
      <c r="AH38" t="n">
        <v>6</v>
      </c>
      <c r="AI38" t="n">
        <v>6</v>
      </c>
      <c r="AJ38" t="n">
        <v>20</v>
      </c>
      <c r="AK38" t="n">
        <v>21</v>
      </c>
      <c r="AL38" t="n">
        <v>6</v>
      </c>
      <c r="AM38" t="n">
        <v>6</v>
      </c>
      <c r="AN38" t="n">
        <v>0</v>
      </c>
      <c r="AO38" t="n">
        <v>0</v>
      </c>
      <c r="AP38" t="inlineStr">
        <is>
          <t>No</t>
        </is>
      </c>
      <c r="AQ38" t="inlineStr">
        <is>
          <t>No</t>
        </is>
      </c>
      <c r="AS38">
        <f>HYPERLINK("https://creighton-primo.hosted.exlibrisgroup.com/primo-explore/search?tab=default_tab&amp;search_scope=EVERYTHING&amp;vid=01CRU&amp;lang=en_US&amp;offset=0&amp;query=any,contains,991002117079702656","Catalog Record")</f>
        <v/>
      </c>
      <c r="AT38">
        <f>HYPERLINK("http://www.worldcat.org/oclc/268378","WorldCat Record")</f>
        <v/>
      </c>
      <c r="AU38" t="inlineStr">
        <is>
          <t>9490335129:eng</t>
        </is>
      </c>
      <c r="AV38" t="inlineStr">
        <is>
          <t>268378</t>
        </is>
      </c>
      <c r="AW38" t="inlineStr">
        <is>
          <t>991002117079702656</t>
        </is>
      </c>
      <c r="AX38" t="inlineStr">
        <is>
          <t>991002117079702656</t>
        </is>
      </c>
      <c r="AY38" t="inlineStr">
        <is>
          <t>2270498790002656</t>
        </is>
      </c>
      <c r="AZ38" t="inlineStr">
        <is>
          <t>BOOK</t>
        </is>
      </c>
      <c r="BC38" t="inlineStr">
        <is>
          <t>32285001692952</t>
        </is>
      </c>
      <c r="BD38" t="inlineStr">
        <is>
          <t>893903706</t>
        </is>
      </c>
    </row>
    <row r="39">
      <c r="A39" t="inlineStr">
        <is>
          <t>No</t>
        </is>
      </c>
      <c r="B39" t="inlineStr">
        <is>
          <t>ND1170 .F3</t>
        </is>
      </c>
      <c r="C39" t="inlineStr">
        <is>
          <t>0                      ND 1170000F  3</t>
        </is>
      </c>
      <c r="D39" t="inlineStr">
        <is>
          <t>Famous paintings : selected from the world's great galleries and reproduced in colour / with an introduction by G. K. Chesterton, and descriptive notes.</t>
        </is>
      </c>
      <c r="E39" t="inlineStr">
        <is>
          <t>V.2</t>
        </is>
      </c>
      <c r="F39" t="inlineStr">
        <is>
          <t>Yes</t>
        </is>
      </c>
      <c r="G39" t="inlineStr">
        <is>
          <t>1</t>
        </is>
      </c>
      <c r="H39" t="inlineStr">
        <is>
          <t>No</t>
        </is>
      </c>
      <c r="I39" t="inlineStr">
        <is>
          <t>No</t>
        </is>
      </c>
      <c r="J39" t="inlineStr">
        <is>
          <t>0</t>
        </is>
      </c>
      <c r="L39" t="inlineStr">
        <is>
          <t>New York : Funk &amp; Wagnalls company; [1924]</t>
        </is>
      </c>
      <c r="M39" t="inlineStr">
        <is>
          <t>1924</t>
        </is>
      </c>
      <c r="O39" t="inlineStr">
        <is>
          <t>eng</t>
        </is>
      </c>
      <c r="P39" t="inlineStr">
        <is>
          <t xml:space="preserve">xx </t>
        </is>
      </c>
      <c r="R39" t="inlineStr">
        <is>
          <t xml:space="preserve">ND </t>
        </is>
      </c>
      <c r="S39" t="n">
        <v>1</v>
      </c>
      <c r="T39" t="n">
        <v>1</v>
      </c>
      <c r="U39" t="inlineStr">
        <is>
          <t>2007-10-03</t>
        </is>
      </c>
      <c r="V39" t="inlineStr">
        <is>
          <t>2007-10-03</t>
        </is>
      </c>
      <c r="W39" t="inlineStr">
        <is>
          <t>1997-08-05</t>
        </is>
      </c>
      <c r="X39" t="inlineStr">
        <is>
          <t>1997-08-05</t>
        </is>
      </c>
      <c r="Y39" t="n">
        <v>186</v>
      </c>
      <c r="Z39" t="n">
        <v>183</v>
      </c>
      <c r="AA39" t="n">
        <v>183</v>
      </c>
      <c r="AB39" t="n">
        <v>3</v>
      </c>
      <c r="AC39" t="n">
        <v>3</v>
      </c>
      <c r="AD39" t="n">
        <v>8</v>
      </c>
      <c r="AE39" t="n">
        <v>8</v>
      </c>
      <c r="AF39" t="n">
        <v>1</v>
      </c>
      <c r="AG39" t="n">
        <v>1</v>
      </c>
      <c r="AH39" t="n">
        <v>1</v>
      </c>
      <c r="AI39" t="n">
        <v>1</v>
      </c>
      <c r="AJ39" t="n">
        <v>6</v>
      </c>
      <c r="AK39" t="n">
        <v>6</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HYPERLINK("https://creighton-primo.hosted.exlibrisgroup.com/primo-explore/search?tab=default_tab&amp;search_scope=EVERYTHING&amp;vid=01CRU&amp;lang=en_US&amp;offset=0&amp;query=any,contains,991000013469702656","Catalog Record")</f>
        <v/>
      </c>
      <c r="AT39">
        <f>HYPERLINK("http://www.worldcat.org/oclc/8547027","WorldCat Record")</f>
        <v/>
      </c>
      <c r="AU39" t="inlineStr">
        <is>
          <t>4020851103:eng</t>
        </is>
      </c>
      <c r="AV39" t="inlineStr">
        <is>
          <t>8547027</t>
        </is>
      </c>
      <c r="AW39" t="inlineStr">
        <is>
          <t>991000013469702656</t>
        </is>
      </c>
      <c r="AX39" t="inlineStr">
        <is>
          <t>991000013469702656</t>
        </is>
      </c>
      <c r="AY39" t="inlineStr">
        <is>
          <t>2271905880002656</t>
        </is>
      </c>
      <c r="AZ39" t="inlineStr">
        <is>
          <t>BOOK</t>
        </is>
      </c>
      <c r="BC39" t="inlineStr">
        <is>
          <t>32285003045134</t>
        </is>
      </c>
      <c r="BD39" t="inlineStr">
        <is>
          <t>893406825</t>
        </is>
      </c>
    </row>
    <row r="40">
      <c r="A40" t="inlineStr">
        <is>
          <t>No</t>
        </is>
      </c>
      <c r="B40" t="inlineStr">
        <is>
          <t>ND1170 .F3</t>
        </is>
      </c>
      <c r="C40" t="inlineStr">
        <is>
          <t>0                      ND 1170000F  3</t>
        </is>
      </c>
      <c r="D40" t="inlineStr">
        <is>
          <t>Famous paintings : selected from the world's great galleries and reproduced in colour / with an introduction by G. K. Chesterton, and descriptive notes.</t>
        </is>
      </c>
      <c r="E40" t="inlineStr">
        <is>
          <t>V.1</t>
        </is>
      </c>
      <c r="F40" t="inlineStr">
        <is>
          <t>Yes</t>
        </is>
      </c>
      <c r="G40" t="inlineStr">
        <is>
          <t>1</t>
        </is>
      </c>
      <c r="H40" t="inlineStr">
        <is>
          <t>No</t>
        </is>
      </c>
      <c r="I40" t="inlineStr">
        <is>
          <t>No</t>
        </is>
      </c>
      <c r="J40" t="inlineStr">
        <is>
          <t>0</t>
        </is>
      </c>
      <c r="L40" t="inlineStr">
        <is>
          <t>New York : Funk &amp; Wagnalls company; [1924]</t>
        </is>
      </c>
      <c r="M40" t="inlineStr">
        <is>
          <t>1924</t>
        </is>
      </c>
      <c r="O40" t="inlineStr">
        <is>
          <t>eng</t>
        </is>
      </c>
      <c r="P40" t="inlineStr">
        <is>
          <t xml:space="preserve">xx </t>
        </is>
      </c>
      <c r="R40" t="inlineStr">
        <is>
          <t xml:space="preserve">ND </t>
        </is>
      </c>
      <c r="S40" t="n">
        <v>0</v>
      </c>
      <c r="T40" t="n">
        <v>1</v>
      </c>
      <c r="V40" t="inlineStr">
        <is>
          <t>2007-10-03</t>
        </is>
      </c>
      <c r="W40" t="inlineStr">
        <is>
          <t>1997-08-05</t>
        </is>
      </c>
      <c r="X40" t="inlineStr">
        <is>
          <t>1997-08-05</t>
        </is>
      </c>
      <c r="Y40" t="n">
        <v>186</v>
      </c>
      <c r="Z40" t="n">
        <v>183</v>
      </c>
      <c r="AA40" t="n">
        <v>183</v>
      </c>
      <c r="AB40" t="n">
        <v>3</v>
      </c>
      <c r="AC40" t="n">
        <v>3</v>
      </c>
      <c r="AD40" t="n">
        <v>8</v>
      </c>
      <c r="AE40" t="n">
        <v>8</v>
      </c>
      <c r="AF40" t="n">
        <v>1</v>
      </c>
      <c r="AG40" t="n">
        <v>1</v>
      </c>
      <c r="AH40" t="n">
        <v>1</v>
      </c>
      <c r="AI40" t="n">
        <v>1</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HYPERLINK("https://creighton-primo.hosted.exlibrisgroup.com/primo-explore/search?tab=default_tab&amp;search_scope=EVERYTHING&amp;vid=01CRU&amp;lang=en_US&amp;offset=0&amp;query=any,contains,991000013469702656","Catalog Record")</f>
        <v/>
      </c>
      <c r="AT40">
        <f>HYPERLINK("http://www.worldcat.org/oclc/8547027","WorldCat Record")</f>
        <v/>
      </c>
      <c r="AU40" t="inlineStr">
        <is>
          <t>4020851103:eng</t>
        </is>
      </c>
      <c r="AV40" t="inlineStr">
        <is>
          <t>8547027</t>
        </is>
      </c>
      <c r="AW40" t="inlineStr">
        <is>
          <t>991000013469702656</t>
        </is>
      </c>
      <c r="AX40" t="inlineStr">
        <is>
          <t>991000013469702656</t>
        </is>
      </c>
      <c r="AY40" t="inlineStr">
        <is>
          <t>2271905880002656</t>
        </is>
      </c>
      <c r="AZ40" t="inlineStr">
        <is>
          <t>BOOK</t>
        </is>
      </c>
      <c r="BC40" t="inlineStr">
        <is>
          <t>32285003045126</t>
        </is>
      </c>
      <c r="BD40" t="inlineStr">
        <is>
          <t>893431591</t>
        </is>
      </c>
    </row>
    <row r="41">
      <c r="A41" t="inlineStr">
        <is>
          <t>No</t>
        </is>
      </c>
      <c r="B41" t="inlineStr">
        <is>
          <t>ND120 .M25</t>
        </is>
      </c>
      <c r="C41" t="inlineStr">
        <is>
          <t>0                      ND 0120000M  25</t>
        </is>
      </c>
      <c r="D41" t="inlineStr">
        <is>
          <t>Roman painting. [Tr. by Stuart Gilbert]</t>
        </is>
      </c>
      <c r="F41" t="inlineStr">
        <is>
          <t>No</t>
        </is>
      </c>
      <c r="G41" t="inlineStr">
        <is>
          <t>1</t>
        </is>
      </c>
      <c r="H41" t="inlineStr">
        <is>
          <t>No</t>
        </is>
      </c>
      <c r="I41" t="inlineStr">
        <is>
          <t>No</t>
        </is>
      </c>
      <c r="J41" t="inlineStr">
        <is>
          <t>0</t>
        </is>
      </c>
      <c r="K41" t="inlineStr">
        <is>
          <t>Maiuri, Amedeo, 1886-1963.</t>
        </is>
      </c>
      <c r="L41" t="inlineStr">
        <is>
          <t>[Geneva] Skira, c1953.</t>
        </is>
      </c>
      <c r="M41" t="inlineStr">
        <is>
          <t>1953</t>
        </is>
      </c>
      <c r="O41" t="inlineStr">
        <is>
          <t>eng</t>
        </is>
      </c>
      <c r="P41" t="inlineStr">
        <is>
          <t xml:space="preserve">sz </t>
        </is>
      </c>
      <c r="Q41" t="inlineStr">
        <is>
          <t>Great centuries of painting</t>
        </is>
      </c>
      <c r="R41" t="inlineStr">
        <is>
          <t xml:space="preserve">ND </t>
        </is>
      </c>
      <c r="S41" t="n">
        <v>1</v>
      </c>
      <c r="T41" t="n">
        <v>1</v>
      </c>
      <c r="U41" t="inlineStr">
        <is>
          <t>2008-04-22</t>
        </is>
      </c>
      <c r="V41" t="inlineStr">
        <is>
          <t>2008-04-22</t>
        </is>
      </c>
      <c r="W41" t="inlineStr">
        <is>
          <t>1997-07-21</t>
        </is>
      </c>
      <c r="X41" t="inlineStr">
        <is>
          <t>1997-07-21</t>
        </is>
      </c>
      <c r="Y41" t="n">
        <v>1199</v>
      </c>
      <c r="Z41" t="n">
        <v>1046</v>
      </c>
      <c r="AA41" t="n">
        <v>1161</v>
      </c>
      <c r="AB41" t="n">
        <v>7</v>
      </c>
      <c r="AC41" t="n">
        <v>8</v>
      </c>
      <c r="AD41" t="n">
        <v>44</v>
      </c>
      <c r="AE41" t="n">
        <v>46</v>
      </c>
      <c r="AF41" t="n">
        <v>22</v>
      </c>
      <c r="AG41" t="n">
        <v>22</v>
      </c>
      <c r="AH41" t="n">
        <v>8</v>
      </c>
      <c r="AI41" t="n">
        <v>9</v>
      </c>
      <c r="AJ41" t="n">
        <v>21</v>
      </c>
      <c r="AK41" t="n">
        <v>22</v>
      </c>
      <c r="AL41" t="n">
        <v>4</v>
      </c>
      <c r="AM41" t="n">
        <v>5</v>
      </c>
      <c r="AN41" t="n">
        <v>0</v>
      </c>
      <c r="AO41" t="n">
        <v>0</v>
      </c>
      <c r="AP41" t="inlineStr">
        <is>
          <t>No</t>
        </is>
      </c>
      <c r="AQ41" t="inlineStr">
        <is>
          <t>Yes</t>
        </is>
      </c>
      <c r="AR41">
        <f>HYPERLINK("http://catalog.hathitrust.org/Record/000346257","HathiTrust Record")</f>
        <v/>
      </c>
      <c r="AS41">
        <f>HYPERLINK("https://creighton-primo.hosted.exlibrisgroup.com/primo-explore/search?tab=default_tab&amp;search_scope=EVERYTHING&amp;vid=01CRU&amp;lang=en_US&amp;offset=0&amp;query=any,contains,991001343139702656","Catalog Record")</f>
        <v/>
      </c>
      <c r="AT41">
        <f>HYPERLINK("http://www.worldcat.org/oclc/544983","WorldCat Record")</f>
        <v/>
      </c>
      <c r="AU41" t="inlineStr">
        <is>
          <t>3901022521:eng</t>
        </is>
      </c>
      <c r="AV41" t="inlineStr">
        <is>
          <t>544983</t>
        </is>
      </c>
      <c r="AW41" t="inlineStr">
        <is>
          <t>991001343139702656</t>
        </is>
      </c>
      <c r="AX41" t="inlineStr">
        <is>
          <t>991001343139702656</t>
        </is>
      </c>
      <c r="AY41" t="inlineStr">
        <is>
          <t>2260881860002656</t>
        </is>
      </c>
      <c r="AZ41" t="inlineStr">
        <is>
          <t>BOOK</t>
        </is>
      </c>
      <c r="BC41" t="inlineStr">
        <is>
          <t>32285002965936</t>
        </is>
      </c>
      <c r="BD41" t="inlineStr">
        <is>
          <t>893497011</t>
        </is>
      </c>
    </row>
    <row r="42">
      <c r="A42" t="inlineStr">
        <is>
          <t>No</t>
        </is>
      </c>
      <c r="B42" t="inlineStr">
        <is>
          <t>ND1210 .S3</t>
        </is>
      </c>
      <c r="C42" t="inlineStr">
        <is>
          <t>0                      ND 1210000S  3</t>
        </is>
      </c>
      <c r="D42" t="inlineStr">
        <is>
          <t>Great paintings of all time; 100 masterpieces from the early Renaissance to abstract expressionism. Introd. by Sir John Rothenstein.</t>
        </is>
      </c>
      <c r="F42" t="inlineStr">
        <is>
          <t>No</t>
        </is>
      </c>
      <c r="G42" t="inlineStr">
        <is>
          <t>1</t>
        </is>
      </c>
      <c r="H42" t="inlineStr">
        <is>
          <t>No</t>
        </is>
      </c>
      <c r="I42" t="inlineStr">
        <is>
          <t>No</t>
        </is>
      </c>
      <c r="J42" t="inlineStr">
        <is>
          <t>0</t>
        </is>
      </c>
      <c r="K42" t="inlineStr">
        <is>
          <t>Schwartz, Paul Waldo.</t>
        </is>
      </c>
      <c r="L42" t="inlineStr">
        <is>
          <t>New York, Simon and Schuster [1965]</t>
        </is>
      </c>
      <c r="M42" t="inlineStr">
        <is>
          <t>1965</t>
        </is>
      </c>
      <c r="O42" t="inlineStr">
        <is>
          <t>eng</t>
        </is>
      </c>
      <c r="P42" t="inlineStr">
        <is>
          <t>nyu</t>
        </is>
      </c>
      <c r="R42" t="inlineStr">
        <is>
          <t xml:space="preserve">ND </t>
        </is>
      </c>
      <c r="S42" t="n">
        <v>1</v>
      </c>
      <c r="T42" t="n">
        <v>1</v>
      </c>
      <c r="U42" t="inlineStr">
        <is>
          <t>2001-02-26</t>
        </is>
      </c>
      <c r="V42" t="inlineStr">
        <is>
          <t>2001-02-26</t>
        </is>
      </c>
      <c r="W42" t="inlineStr">
        <is>
          <t>1997-08-05</t>
        </is>
      </c>
      <c r="X42" t="inlineStr">
        <is>
          <t>1997-08-05</t>
        </is>
      </c>
      <c r="Y42" t="n">
        <v>338</v>
      </c>
      <c r="Z42" t="n">
        <v>317</v>
      </c>
      <c r="AA42" t="n">
        <v>318</v>
      </c>
      <c r="AB42" t="n">
        <v>4</v>
      </c>
      <c r="AC42" t="n">
        <v>4</v>
      </c>
      <c r="AD42" t="n">
        <v>9</v>
      </c>
      <c r="AE42" t="n">
        <v>9</v>
      </c>
      <c r="AF42" t="n">
        <v>3</v>
      </c>
      <c r="AG42" t="n">
        <v>3</v>
      </c>
      <c r="AH42" t="n">
        <v>0</v>
      </c>
      <c r="AI42" t="n">
        <v>0</v>
      </c>
      <c r="AJ42" t="n">
        <v>5</v>
      </c>
      <c r="AK42" t="n">
        <v>5</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HYPERLINK("https://creighton-primo.hosted.exlibrisgroup.com/primo-explore/search?tab=default_tab&amp;search_scope=EVERYTHING&amp;vid=01CRU&amp;lang=en_US&amp;offset=0&amp;query=any,contains,991003040929702656","Catalog Record")</f>
        <v/>
      </c>
      <c r="AT42">
        <f>HYPERLINK("http://www.worldcat.org/oclc/602278","WorldCat Record")</f>
        <v/>
      </c>
      <c r="AU42" t="inlineStr">
        <is>
          <t>476223681:eng</t>
        </is>
      </c>
      <c r="AV42" t="inlineStr">
        <is>
          <t>602278</t>
        </is>
      </c>
      <c r="AW42" t="inlineStr">
        <is>
          <t>991003040929702656</t>
        </is>
      </c>
      <c r="AX42" t="inlineStr">
        <is>
          <t>991003040929702656</t>
        </is>
      </c>
      <c r="AY42" t="inlineStr">
        <is>
          <t>2259678390002656</t>
        </is>
      </c>
      <c r="AZ42" t="inlineStr">
        <is>
          <t>BOOK</t>
        </is>
      </c>
      <c r="BC42" t="inlineStr">
        <is>
          <t>32285003045167</t>
        </is>
      </c>
      <c r="BD42" t="inlineStr">
        <is>
          <t>893598206</t>
        </is>
      </c>
    </row>
    <row r="43">
      <c r="A43" t="inlineStr">
        <is>
          <t>No</t>
        </is>
      </c>
      <c r="B43" t="inlineStr">
        <is>
          <t>ND1262 .D3</t>
        </is>
      </c>
      <c r="C43" t="inlineStr">
        <is>
          <t>0                      ND 1262000D  3</t>
        </is>
      </c>
      <c r="D43" t="inlineStr">
        <is>
          <t>Learning how to paint in oils; illustrated step by step on TV storyboard, by Les Daniels.</t>
        </is>
      </c>
      <c r="F43" t="inlineStr">
        <is>
          <t>No</t>
        </is>
      </c>
      <c r="G43" t="inlineStr">
        <is>
          <t>1</t>
        </is>
      </c>
      <c r="H43" t="inlineStr">
        <is>
          <t>No</t>
        </is>
      </c>
      <c r="I43" t="inlineStr">
        <is>
          <t>No</t>
        </is>
      </c>
      <c r="J43" t="inlineStr">
        <is>
          <t>0</t>
        </is>
      </c>
      <c r="K43" t="inlineStr">
        <is>
          <t>Daniels, Leslie R.</t>
        </is>
      </c>
      <c r="L43" t="inlineStr">
        <is>
          <t>Garden City, N.Y., Doubleday [1964]</t>
        </is>
      </c>
      <c r="M43" t="inlineStr">
        <is>
          <t>1964</t>
        </is>
      </c>
      <c r="N43" t="inlineStr">
        <is>
          <t>[1st ed.]</t>
        </is>
      </c>
      <c r="O43" t="inlineStr">
        <is>
          <t>eng</t>
        </is>
      </c>
      <c r="P43" t="inlineStr">
        <is>
          <t>nyu</t>
        </is>
      </c>
      <c r="Q43" t="inlineStr">
        <is>
          <t>[A Doubleday artcraft book]</t>
        </is>
      </c>
      <c r="R43" t="inlineStr">
        <is>
          <t xml:space="preserve">ND </t>
        </is>
      </c>
      <c r="S43" t="n">
        <v>2</v>
      </c>
      <c r="T43" t="n">
        <v>2</v>
      </c>
      <c r="U43" t="inlineStr">
        <is>
          <t>2005-05-20</t>
        </is>
      </c>
      <c r="V43" t="inlineStr">
        <is>
          <t>2005-05-20</t>
        </is>
      </c>
      <c r="W43" t="inlineStr">
        <is>
          <t>1997-08-05</t>
        </is>
      </c>
      <c r="X43" t="inlineStr">
        <is>
          <t>1997-08-05</t>
        </is>
      </c>
      <c r="Y43" t="n">
        <v>208</v>
      </c>
      <c r="Z43" t="n">
        <v>197</v>
      </c>
      <c r="AA43" t="n">
        <v>202</v>
      </c>
      <c r="AB43" t="n">
        <v>4</v>
      </c>
      <c r="AC43" t="n">
        <v>4</v>
      </c>
      <c r="AD43" t="n">
        <v>2</v>
      </c>
      <c r="AE43" t="n">
        <v>2</v>
      </c>
      <c r="AF43" t="n">
        <v>0</v>
      </c>
      <c r="AG43" t="n">
        <v>0</v>
      </c>
      <c r="AH43" t="n">
        <v>0</v>
      </c>
      <c r="AI43" t="n">
        <v>0</v>
      </c>
      <c r="AJ43" t="n">
        <v>0</v>
      </c>
      <c r="AK43" t="n">
        <v>0</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HYPERLINK("https://creighton-primo.hosted.exlibrisgroup.com/primo-explore/search?tab=default_tab&amp;search_scope=EVERYTHING&amp;vid=01CRU&amp;lang=en_US&amp;offset=0&amp;query=any,contains,991003237569702656","Catalog Record")</f>
        <v/>
      </c>
      <c r="AT43">
        <f>HYPERLINK("http://www.worldcat.org/oclc/761817","WorldCat Record")</f>
        <v/>
      </c>
      <c r="AU43" t="inlineStr">
        <is>
          <t>5145545004:eng</t>
        </is>
      </c>
      <c r="AV43" t="inlineStr">
        <is>
          <t>761817</t>
        </is>
      </c>
      <c r="AW43" t="inlineStr">
        <is>
          <t>991003237569702656</t>
        </is>
      </c>
      <c r="AX43" t="inlineStr">
        <is>
          <t>991003237569702656</t>
        </is>
      </c>
      <c r="AY43" t="inlineStr">
        <is>
          <t>2268171290002656</t>
        </is>
      </c>
      <c r="AZ43" t="inlineStr">
        <is>
          <t>BOOK</t>
        </is>
      </c>
      <c r="BC43" t="inlineStr">
        <is>
          <t>32285003045308</t>
        </is>
      </c>
      <c r="BD43" t="inlineStr">
        <is>
          <t>893330104</t>
        </is>
      </c>
    </row>
    <row r="44">
      <c r="A44" t="inlineStr">
        <is>
          <t>No</t>
        </is>
      </c>
      <c r="B44" t="inlineStr">
        <is>
          <t>ND1263 .B613 1963</t>
        </is>
      </c>
      <c r="C44" t="inlineStr">
        <is>
          <t>0                      ND 1263000B  613         1963</t>
        </is>
      </c>
      <c r="D44" t="inlineStr">
        <is>
          <t>The painter's secret geometry; a study of composition in art. With a pref. by Jacques Villon. [Translated from the French by Jonathan Griffin.</t>
        </is>
      </c>
      <c r="F44" t="inlineStr">
        <is>
          <t>No</t>
        </is>
      </c>
      <c r="G44" t="inlineStr">
        <is>
          <t>1</t>
        </is>
      </c>
      <c r="H44" t="inlineStr">
        <is>
          <t>No</t>
        </is>
      </c>
      <c r="I44" t="inlineStr">
        <is>
          <t>No</t>
        </is>
      </c>
      <c r="J44" t="inlineStr">
        <is>
          <t>0</t>
        </is>
      </c>
      <c r="K44" t="inlineStr">
        <is>
          <t>Bouleau, Charles, 1906-</t>
        </is>
      </c>
      <c r="L44" t="inlineStr">
        <is>
          <t>New York, Harcourt, Brace &amp; World [1963]</t>
        </is>
      </c>
      <c r="M44" t="inlineStr">
        <is>
          <t>1963</t>
        </is>
      </c>
      <c r="N44" t="inlineStr">
        <is>
          <t>1st American ed.]</t>
        </is>
      </c>
      <c r="O44" t="inlineStr">
        <is>
          <t>eng</t>
        </is>
      </c>
      <c r="P44" t="inlineStr">
        <is>
          <t>nyu</t>
        </is>
      </c>
      <c r="R44" t="inlineStr">
        <is>
          <t xml:space="preserve">ND </t>
        </is>
      </c>
      <c r="S44" t="n">
        <v>1</v>
      </c>
      <c r="T44" t="n">
        <v>1</v>
      </c>
      <c r="U44" t="inlineStr">
        <is>
          <t>2005-05-20</t>
        </is>
      </c>
      <c r="V44" t="inlineStr">
        <is>
          <t>2005-05-20</t>
        </is>
      </c>
      <c r="W44" t="inlineStr">
        <is>
          <t>1997-08-05</t>
        </is>
      </c>
      <c r="X44" t="inlineStr">
        <is>
          <t>1997-08-05</t>
        </is>
      </c>
      <c r="Y44" t="n">
        <v>626</v>
      </c>
      <c r="Z44" t="n">
        <v>588</v>
      </c>
      <c r="AA44" t="n">
        <v>839</v>
      </c>
      <c r="AB44" t="n">
        <v>5</v>
      </c>
      <c r="AC44" t="n">
        <v>8</v>
      </c>
      <c r="AD44" t="n">
        <v>26</v>
      </c>
      <c r="AE44" t="n">
        <v>37</v>
      </c>
      <c r="AF44" t="n">
        <v>11</v>
      </c>
      <c r="AG44" t="n">
        <v>15</v>
      </c>
      <c r="AH44" t="n">
        <v>3</v>
      </c>
      <c r="AI44" t="n">
        <v>6</v>
      </c>
      <c r="AJ44" t="n">
        <v>12</v>
      </c>
      <c r="AK44" t="n">
        <v>18</v>
      </c>
      <c r="AL44" t="n">
        <v>4</v>
      </c>
      <c r="AM44" t="n">
        <v>7</v>
      </c>
      <c r="AN44" t="n">
        <v>0</v>
      </c>
      <c r="AO44" t="n">
        <v>0</v>
      </c>
      <c r="AP44" t="inlineStr">
        <is>
          <t>No</t>
        </is>
      </c>
      <c r="AQ44" t="inlineStr">
        <is>
          <t>No</t>
        </is>
      </c>
      <c r="AS44">
        <f>HYPERLINK("https://creighton-primo.hosted.exlibrisgroup.com/primo-explore/search?tab=default_tab&amp;search_scope=EVERYTHING&amp;vid=01CRU&amp;lang=en_US&amp;offset=0&amp;query=any,contains,991002825629702656","Catalog Record")</f>
        <v/>
      </c>
      <c r="AT44">
        <f>HYPERLINK("http://www.worldcat.org/oclc/475285","WorldCat Record")</f>
        <v/>
      </c>
      <c r="AU44" t="inlineStr">
        <is>
          <t>4944117636:eng</t>
        </is>
      </c>
      <c r="AV44" t="inlineStr">
        <is>
          <t>475285</t>
        </is>
      </c>
      <c r="AW44" t="inlineStr">
        <is>
          <t>991002825629702656</t>
        </is>
      </c>
      <c r="AX44" t="inlineStr">
        <is>
          <t>991002825629702656</t>
        </is>
      </c>
      <c r="AY44" t="inlineStr">
        <is>
          <t>2254759000002656</t>
        </is>
      </c>
      <c r="AZ44" t="inlineStr">
        <is>
          <t>BOOK</t>
        </is>
      </c>
      <c r="BC44" t="inlineStr">
        <is>
          <t>32285003045316</t>
        </is>
      </c>
      <c r="BD44" t="inlineStr">
        <is>
          <t>893685835</t>
        </is>
      </c>
    </row>
    <row r="45">
      <c r="A45" t="inlineStr">
        <is>
          <t>No</t>
        </is>
      </c>
      <c r="B45" t="inlineStr">
        <is>
          <t>ND1265 .I4 1986</t>
        </is>
      </c>
      <c r="C45" t="inlineStr">
        <is>
          <t>0                      ND 1265000I  4           1986</t>
        </is>
      </c>
      <c r="D45" t="inlineStr">
        <is>
          <t>Impressionism and post-impressionism : the Hermitage, Leningrad, the Pushkin Museum of Fine Arts, Moscow, and the National Gallery of Art, Washington / with introductions by Marina Bessonova and William James Williams.</t>
        </is>
      </c>
      <c r="F45" t="inlineStr">
        <is>
          <t>No</t>
        </is>
      </c>
      <c r="G45" t="inlineStr">
        <is>
          <t>1</t>
        </is>
      </c>
      <c r="H45" t="inlineStr">
        <is>
          <t>No</t>
        </is>
      </c>
      <c r="I45" t="inlineStr">
        <is>
          <t>No</t>
        </is>
      </c>
      <c r="J45" t="inlineStr">
        <is>
          <t>0</t>
        </is>
      </c>
      <c r="L45" t="inlineStr">
        <is>
          <t>New York : Hugh Lauter Levin Associates : Distributed by Macmillan ; Leningrad : Aurora Art Publishers, c1986.</t>
        </is>
      </c>
      <c r="M45" t="inlineStr">
        <is>
          <t>1986</t>
        </is>
      </c>
      <c r="O45" t="inlineStr">
        <is>
          <t>eng</t>
        </is>
      </c>
      <c r="P45" t="inlineStr">
        <is>
          <t>nyu</t>
        </is>
      </c>
      <c r="R45" t="inlineStr">
        <is>
          <t xml:space="preserve">ND </t>
        </is>
      </c>
      <c r="S45" t="n">
        <v>6</v>
      </c>
      <c r="T45" t="n">
        <v>6</v>
      </c>
      <c r="U45" t="inlineStr">
        <is>
          <t>1998-10-15</t>
        </is>
      </c>
      <c r="V45" t="inlineStr">
        <is>
          <t>1998-10-15</t>
        </is>
      </c>
      <c r="W45" t="inlineStr">
        <is>
          <t>1990-03-19</t>
        </is>
      </c>
      <c r="X45" t="inlineStr">
        <is>
          <t>1990-03-19</t>
        </is>
      </c>
      <c r="Y45" t="n">
        <v>725</v>
      </c>
      <c r="Z45" t="n">
        <v>682</v>
      </c>
      <c r="AA45" t="n">
        <v>723</v>
      </c>
      <c r="AB45" t="n">
        <v>3</v>
      </c>
      <c r="AC45" t="n">
        <v>5</v>
      </c>
      <c r="AD45" t="n">
        <v>14</v>
      </c>
      <c r="AE45" t="n">
        <v>15</v>
      </c>
      <c r="AF45" t="n">
        <v>6</v>
      </c>
      <c r="AG45" t="n">
        <v>6</v>
      </c>
      <c r="AH45" t="n">
        <v>3</v>
      </c>
      <c r="AI45" t="n">
        <v>3</v>
      </c>
      <c r="AJ45" t="n">
        <v>7</v>
      </c>
      <c r="AK45" t="n">
        <v>8</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HYPERLINK("https://creighton-primo.hosted.exlibrisgroup.com/primo-explore/search?tab=default_tab&amp;search_scope=EVERYTHING&amp;vid=01CRU&amp;lang=en_US&amp;offset=0&amp;query=any,contains,991000881989702656","Catalog Record")</f>
        <v/>
      </c>
      <c r="AT45">
        <f>HYPERLINK("http://www.worldcat.org/oclc/13841498","WorldCat Record")</f>
        <v/>
      </c>
      <c r="AU45" t="inlineStr">
        <is>
          <t>372076428:eng</t>
        </is>
      </c>
      <c r="AV45" t="inlineStr">
        <is>
          <t>13841498</t>
        </is>
      </c>
      <c r="AW45" t="inlineStr">
        <is>
          <t>991000881989702656</t>
        </is>
      </c>
      <c r="AX45" t="inlineStr">
        <is>
          <t>991000881989702656</t>
        </is>
      </c>
      <c r="AY45" t="inlineStr">
        <is>
          <t>2261765090002656</t>
        </is>
      </c>
      <c r="AZ45" t="inlineStr">
        <is>
          <t>BOOK</t>
        </is>
      </c>
      <c r="BB45" t="inlineStr">
        <is>
          <t>9780883638286</t>
        </is>
      </c>
      <c r="BC45" t="inlineStr">
        <is>
          <t>32285000086701</t>
        </is>
      </c>
      <c r="BD45" t="inlineStr">
        <is>
          <t>893897304</t>
        </is>
      </c>
    </row>
    <row r="46">
      <c r="A46" t="inlineStr">
        <is>
          <t>No</t>
        </is>
      </c>
      <c r="B46" t="inlineStr">
        <is>
          <t>ND1265 .J483</t>
        </is>
      </c>
      <c r="C46" t="inlineStr">
        <is>
          <t>0                      ND 1265000J  483</t>
        </is>
      </c>
      <c r="D46" t="inlineStr">
        <is>
          <t>The history of surrealist painting / by Marcel Jean, with the collaboration of Arpad Mezei. Translated from the French by Simon Watson Taylor.</t>
        </is>
      </c>
      <c r="F46" t="inlineStr">
        <is>
          <t>No</t>
        </is>
      </c>
      <c r="G46" t="inlineStr">
        <is>
          <t>1</t>
        </is>
      </c>
      <c r="H46" t="inlineStr">
        <is>
          <t>No</t>
        </is>
      </c>
      <c r="I46" t="inlineStr">
        <is>
          <t>No</t>
        </is>
      </c>
      <c r="J46" t="inlineStr">
        <is>
          <t>0</t>
        </is>
      </c>
      <c r="K46" t="inlineStr">
        <is>
          <t>Jean, Marcel.</t>
        </is>
      </c>
      <c r="L46" t="inlineStr">
        <is>
          <t>New York : Grove Press, [1960]</t>
        </is>
      </c>
      <c r="M46" t="inlineStr">
        <is>
          <t>1960</t>
        </is>
      </c>
      <c r="O46" t="inlineStr">
        <is>
          <t>eng</t>
        </is>
      </c>
      <c r="P46" t="inlineStr">
        <is>
          <t>nyu</t>
        </is>
      </c>
      <c r="R46" t="inlineStr">
        <is>
          <t xml:space="preserve">ND </t>
        </is>
      </c>
      <c r="S46" t="n">
        <v>7</v>
      </c>
      <c r="T46" t="n">
        <v>7</v>
      </c>
      <c r="U46" t="inlineStr">
        <is>
          <t>2002-11-24</t>
        </is>
      </c>
      <c r="V46" t="inlineStr">
        <is>
          <t>2002-11-24</t>
        </is>
      </c>
      <c r="W46" t="inlineStr">
        <is>
          <t>1992-12-22</t>
        </is>
      </c>
      <c r="X46" t="inlineStr">
        <is>
          <t>1992-12-22</t>
        </is>
      </c>
      <c r="Y46" t="n">
        <v>828</v>
      </c>
      <c r="Z46" t="n">
        <v>781</v>
      </c>
      <c r="AA46" t="n">
        <v>841</v>
      </c>
      <c r="AB46" t="n">
        <v>4</v>
      </c>
      <c r="AC46" t="n">
        <v>4</v>
      </c>
      <c r="AD46" t="n">
        <v>22</v>
      </c>
      <c r="AE46" t="n">
        <v>25</v>
      </c>
      <c r="AF46" t="n">
        <v>6</v>
      </c>
      <c r="AG46" t="n">
        <v>6</v>
      </c>
      <c r="AH46" t="n">
        <v>4</v>
      </c>
      <c r="AI46" t="n">
        <v>4</v>
      </c>
      <c r="AJ46" t="n">
        <v>12</v>
      </c>
      <c r="AK46" t="n">
        <v>15</v>
      </c>
      <c r="AL46" t="n">
        <v>3</v>
      </c>
      <c r="AM46" t="n">
        <v>3</v>
      </c>
      <c r="AN46" t="n">
        <v>0</v>
      </c>
      <c r="AO46" t="n">
        <v>0</v>
      </c>
      <c r="AP46" t="inlineStr">
        <is>
          <t>No</t>
        </is>
      </c>
      <c r="AQ46" t="inlineStr">
        <is>
          <t>Yes</t>
        </is>
      </c>
      <c r="AR46">
        <f>HYPERLINK("http://catalog.hathitrust.org/Record/000002508","HathiTrust Record")</f>
        <v/>
      </c>
      <c r="AS46">
        <f>HYPERLINK("https://creighton-primo.hosted.exlibrisgroup.com/primo-explore/search?tab=default_tab&amp;search_scope=EVERYTHING&amp;vid=01CRU&amp;lang=en_US&amp;offset=0&amp;query=any,contains,991000938579702656","Catalog Record")</f>
        <v/>
      </c>
      <c r="AT46">
        <f>HYPERLINK("http://www.worldcat.org/oclc/165657","WorldCat Record")</f>
        <v/>
      </c>
      <c r="AU46" t="inlineStr">
        <is>
          <t>5090607881:eng</t>
        </is>
      </c>
      <c r="AV46" t="inlineStr">
        <is>
          <t>165657</t>
        </is>
      </c>
      <c r="AW46" t="inlineStr">
        <is>
          <t>991000938579702656</t>
        </is>
      </c>
      <c r="AX46" t="inlineStr">
        <is>
          <t>991000938579702656</t>
        </is>
      </c>
      <c r="AY46" t="inlineStr">
        <is>
          <t>2269690910002656</t>
        </is>
      </c>
      <c r="AZ46" t="inlineStr">
        <is>
          <t>BOOK</t>
        </is>
      </c>
      <c r="BC46" t="inlineStr">
        <is>
          <t>32285001470516</t>
        </is>
      </c>
      <c r="BD46" t="inlineStr">
        <is>
          <t>893438718</t>
        </is>
      </c>
    </row>
    <row r="47">
      <c r="A47" t="inlineStr">
        <is>
          <t>No</t>
        </is>
      </c>
      <c r="B47" t="inlineStr">
        <is>
          <t>ND1265 .L52</t>
        </is>
      </c>
      <c r="C47" t="inlineStr">
        <is>
          <t>0                      ND 1265000L  52</t>
        </is>
      </c>
      <c r="D47" t="inlineStr">
        <is>
          <t>Fauvism : biographical and critical study / translated by James Emmons.</t>
        </is>
      </c>
      <c r="F47" t="inlineStr">
        <is>
          <t>No</t>
        </is>
      </c>
      <c r="G47" t="inlineStr">
        <is>
          <t>1</t>
        </is>
      </c>
      <c r="H47" t="inlineStr">
        <is>
          <t>No</t>
        </is>
      </c>
      <c r="I47" t="inlineStr">
        <is>
          <t>No</t>
        </is>
      </c>
      <c r="J47" t="inlineStr">
        <is>
          <t>0</t>
        </is>
      </c>
      <c r="K47" t="inlineStr">
        <is>
          <t>Leymarie, Jean.</t>
        </is>
      </c>
      <c r="L47" t="inlineStr">
        <is>
          <t>[New York] : Skira, [1959]</t>
        </is>
      </c>
      <c r="M47" t="inlineStr">
        <is>
          <t>1959</t>
        </is>
      </c>
      <c r="O47" t="inlineStr">
        <is>
          <t>eng</t>
        </is>
      </c>
      <c r="P47" t="inlineStr">
        <is>
          <t>nyu</t>
        </is>
      </c>
      <c r="Q47" t="inlineStr">
        <is>
          <t>The Taste of our time, v. 28</t>
        </is>
      </c>
      <c r="R47" t="inlineStr">
        <is>
          <t xml:space="preserve">ND </t>
        </is>
      </c>
      <c r="S47" t="n">
        <v>11</v>
      </c>
      <c r="T47" t="n">
        <v>11</v>
      </c>
      <c r="U47" t="inlineStr">
        <is>
          <t>2000-09-24</t>
        </is>
      </c>
      <c r="V47" t="inlineStr">
        <is>
          <t>2000-09-24</t>
        </is>
      </c>
      <c r="W47" t="inlineStr">
        <is>
          <t>1994-04-05</t>
        </is>
      </c>
      <c r="X47" t="inlineStr">
        <is>
          <t>1994-04-05</t>
        </is>
      </c>
      <c r="Y47" t="n">
        <v>881</v>
      </c>
      <c r="Z47" t="n">
        <v>808</v>
      </c>
      <c r="AA47" t="n">
        <v>814</v>
      </c>
      <c r="AB47" t="n">
        <v>9</v>
      </c>
      <c r="AC47" t="n">
        <v>9</v>
      </c>
      <c r="AD47" t="n">
        <v>31</v>
      </c>
      <c r="AE47" t="n">
        <v>31</v>
      </c>
      <c r="AF47" t="n">
        <v>14</v>
      </c>
      <c r="AG47" t="n">
        <v>14</v>
      </c>
      <c r="AH47" t="n">
        <v>2</v>
      </c>
      <c r="AI47" t="n">
        <v>2</v>
      </c>
      <c r="AJ47" t="n">
        <v>13</v>
      </c>
      <c r="AK47" t="n">
        <v>13</v>
      </c>
      <c r="AL47" t="n">
        <v>7</v>
      </c>
      <c r="AM47" t="n">
        <v>7</v>
      </c>
      <c r="AN47" t="n">
        <v>0</v>
      </c>
      <c r="AO47" t="n">
        <v>0</v>
      </c>
      <c r="AP47" t="inlineStr">
        <is>
          <t>No</t>
        </is>
      </c>
      <c r="AQ47" t="inlineStr">
        <is>
          <t>No</t>
        </is>
      </c>
      <c r="AS47">
        <f>HYPERLINK("https://creighton-primo.hosted.exlibrisgroup.com/primo-explore/search?tab=default_tab&amp;search_scope=EVERYTHING&amp;vid=01CRU&amp;lang=en_US&amp;offset=0&amp;query=any,contains,991003207119702656","Catalog Record")</f>
        <v/>
      </c>
      <c r="AT47">
        <f>HYPERLINK("http://www.worldcat.org/oclc/732355","WorldCat Record")</f>
        <v/>
      </c>
      <c r="AU47" t="inlineStr">
        <is>
          <t>9350015015:eng</t>
        </is>
      </c>
      <c r="AV47" t="inlineStr">
        <is>
          <t>732355</t>
        </is>
      </c>
      <c r="AW47" t="inlineStr">
        <is>
          <t>991003207119702656</t>
        </is>
      </c>
      <c r="AX47" t="inlineStr">
        <is>
          <t>991003207119702656</t>
        </is>
      </c>
      <c r="AY47" t="inlineStr">
        <is>
          <t>2256141010002656</t>
        </is>
      </c>
      <c r="AZ47" t="inlineStr">
        <is>
          <t>BOOK</t>
        </is>
      </c>
      <c r="BC47" t="inlineStr">
        <is>
          <t>32285001873685</t>
        </is>
      </c>
      <c r="BD47" t="inlineStr">
        <is>
          <t>893705013</t>
        </is>
      </c>
    </row>
    <row r="48">
      <c r="A48" t="inlineStr">
        <is>
          <t>No</t>
        </is>
      </c>
      <c r="B48" t="inlineStr">
        <is>
          <t>ND1265 .M7 1981</t>
        </is>
      </c>
      <c r="C48" t="inlineStr">
        <is>
          <t>0                      ND 1265000M  7           1981</t>
        </is>
      </c>
      <c r="D48" t="inlineStr">
        <is>
          <t>The Dada painters and poets : an anthology / edited by Robert Motherwell ; texts by Arp ... [et al.] ; ill. after Arp ... [et al.] and documents, objects, journals, reviews, manifestoes, photographs, catalogues, invitations, etc.</t>
        </is>
      </c>
      <c r="F48" t="inlineStr">
        <is>
          <t>No</t>
        </is>
      </c>
      <c r="G48" t="inlineStr">
        <is>
          <t>1</t>
        </is>
      </c>
      <c r="H48" t="inlineStr">
        <is>
          <t>No</t>
        </is>
      </c>
      <c r="I48" t="inlineStr">
        <is>
          <t>No</t>
        </is>
      </c>
      <c r="J48" t="inlineStr">
        <is>
          <t>0</t>
        </is>
      </c>
      <c r="L48" t="inlineStr">
        <is>
          <t>Boston : G. K. Hall, 1981.</t>
        </is>
      </c>
      <c r="M48" t="inlineStr">
        <is>
          <t>1981</t>
        </is>
      </c>
      <c r="N48" t="inlineStr">
        <is>
          <t>2nd ed.</t>
        </is>
      </c>
      <c r="O48" t="inlineStr">
        <is>
          <t>eng</t>
        </is>
      </c>
      <c r="P48" t="inlineStr">
        <is>
          <t>mau</t>
        </is>
      </c>
      <c r="Q48" t="inlineStr">
        <is>
          <t>The Documents of twentieth century art</t>
        </is>
      </c>
      <c r="R48" t="inlineStr">
        <is>
          <t xml:space="preserve">ND </t>
        </is>
      </c>
      <c r="S48" t="n">
        <v>5</v>
      </c>
      <c r="T48" t="n">
        <v>5</v>
      </c>
      <c r="U48" t="inlineStr">
        <is>
          <t>1995-11-27</t>
        </is>
      </c>
      <c r="V48" t="inlineStr">
        <is>
          <t>1995-11-27</t>
        </is>
      </c>
      <c r="W48" t="inlineStr">
        <is>
          <t>1993-05-24</t>
        </is>
      </c>
      <c r="X48" t="inlineStr">
        <is>
          <t>1993-05-24</t>
        </is>
      </c>
      <c r="Y48" t="n">
        <v>339</v>
      </c>
      <c r="Z48" t="n">
        <v>280</v>
      </c>
      <c r="AA48" t="n">
        <v>304</v>
      </c>
      <c r="AB48" t="n">
        <v>3</v>
      </c>
      <c r="AC48" t="n">
        <v>3</v>
      </c>
      <c r="AD48" t="n">
        <v>10</v>
      </c>
      <c r="AE48" t="n">
        <v>10</v>
      </c>
      <c r="AF48" t="n">
        <v>4</v>
      </c>
      <c r="AG48" t="n">
        <v>4</v>
      </c>
      <c r="AH48" t="n">
        <v>1</v>
      </c>
      <c r="AI48" t="n">
        <v>1</v>
      </c>
      <c r="AJ48" t="n">
        <v>4</v>
      </c>
      <c r="AK48" t="n">
        <v>4</v>
      </c>
      <c r="AL48" t="n">
        <v>2</v>
      </c>
      <c r="AM48" t="n">
        <v>2</v>
      </c>
      <c r="AN48" t="n">
        <v>0</v>
      </c>
      <c r="AO48" t="n">
        <v>0</v>
      </c>
      <c r="AP48" t="inlineStr">
        <is>
          <t>No</t>
        </is>
      </c>
      <c r="AQ48" t="inlineStr">
        <is>
          <t>Yes</t>
        </is>
      </c>
      <c r="AR48">
        <f>HYPERLINK("http://catalog.hathitrust.org/Record/009916794","HathiTrust Record")</f>
        <v/>
      </c>
      <c r="AS48">
        <f>HYPERLINK("https://creighton-primo.hosted.exlibrisgroup.com/primo-explore/search?tab=default_tab&amp;search_scope=EVERYTHING&amp;vid=01CRU&amp;lang=en_US&amp;offset=0&amp;query=any,contains,991005209799702656","Catalog Record")</f>
        <v/>
      </c>
      <c r="AT48">
        <f>HYPERLINK("http://www.worldcat.org/oclc/8155280","WorldCat Record")</f>
        <v/>
      </c>
      <c r="AU48" t="inlineStr">
        <is>
          <t>9430244887:eng</t>
        </is>
      </c>
      <c r="AV48" t="inlineStr">
        <is>
          <t>8155280</t>
        </is>
      </c>
      <c r="AW48" t="inlineStr">
        <is>
          <t>991005209799702656</t>
        </is>
      </c>
      <c r="AX48" t="inlineStr">
        <is>
          <t>991005209799702656</t>
        </is>
      </c>
      <c r="AY48" t="inlineStr">
        <is>
          <t>2272670580002656</t>
        </is>
      </c>
      <c r="AZ48" t="inlineStr">
        <is>
          <t>BOOK</t>
        </is>
      </c>
      <c r="BB48" t="inlineStr">
        <is>
          <t>9780805799514</t>
        </is>
      </c>
      <c r="BC48" t="inlineStr">
        <is>
          <t>32285001693018</t>
        </is>
      </c>
      <c r="BD48" t="inlineStr">
        <is>
          <t>893443590</t>
        </is>
      </c>
    </row>
    <row r="49">
      <c r="A49" t="inlineStr">
        <is>
          <t>No</t>
        </is>
      </c>
      <c r="B49" t="inlineStr">
        <is>
          <t>ND1265 .P6 1967b</t>
        </is>
      </c>
      <c r="C49" t="inlineStr">
        <is>
          <t>0                      ND 1265000P  6           1967b</t>
        </is>
      </c>
      <c r="D49" t="inlineStr">
        <is>
          <t>Impressionism / Phoebe Pool.</t>
        </is>
      </c>
      <c r="F49" t="inlineStr">
        <is>
          <t>No</t>
        </is>
      </c>
      <c r="G49" t="inlineStr">
        <is>
          <t>1</t>
        </is>
      </c>
      <c r="H49" t="inlineStr">
        <is>
          <t>No</t>
        </is>
      </c>
      <c r="I49" t="inlineStr">
        <is>
          <t>No</t>
        </is>
      </c>
      <c r="J49" t="inlineStr">
        <is>
          <t>0</t>
        </is>
      </c>
      <c r="K49" t="inlineStr">
        <is>
          <t>Pool, Phoebe.</t>
        </is>
      </c>
      <c r="L49" t="inlineStr">
        <is>
          <t>New York : Praeger, [1967]</t>
        </is>
      </c>
      <c r="M49" t="inlineStr">
        <is>
          <t>1967</t>
        </is>
      </c>
      <c r="O49" t="inlineStr">
        <is>
          <t>eng</t>
        </is>
      </c>
      <c r="P49" t="inlineStr">
        <is>
          <t>nyu</t>
        </is>
      </c>
      <c r="Q49" t="inlineStr">
        <is>
          <t>Praeger world of art paperbacks</t>
        </is>
      </c>
      <c r="R49" t="inlineStr">
        <is>
          <t xml:space="preserve">ND </t>
        </is>
      </c>
      <c r="S49" t="n">
        <v>6</v>
      </c>
      <c r="T49" t="n">
        <v>6</v>
      </c>
      <c r="U49" t="inlineStr">
        <is>
          <t>2002-02-17</t>
        </is>
      </c>
      <c r="V49" t="inlineStr">
        <is>
          <t>2002-02-17</t>
        </is>
      </c>
      <c r="W49" t="inlineStr">
        <is>
          <t>1992-03-10</t>
        </is>
      </c>
      <c r="X49" t="inlineStr">
        <is>
          <t>1992-03-10</t>
        </is>
      </c>
      <c r="Y49" t="n">
        <v>858</v>
      </c>
      <c r="Z49" t="n">
        <v>813</v>
      </c>
      <c r="AA49" t="n">
        <v>1068</v>
      </c>
      <c r="AB49" t="n">
        <v>6</v>
      </c>
      <c r="AC49" t="n">
        <v>8</v>
      </c>
      <c r="AD49" t="n">
        <v>19</v>
      </c>
      <c r="AE49" t="n">
        <v>24</v>
      </c>
      <c r="AF49" t="n">
        <v>7</v>
      </c>
      <c r="AG49" t="n">
        <v>7</v>
      </c>
      <c r="AH49" t="n">
        <v>4</v>
      </c>
      <c r="AI49" t="n">
        <v>5</v>
      </c>
      <c r="AJ49" t="n">
        <v>8</v>
      </c>
      <c r="AK49" t="n">
        <v>12</v>
      </c>
      <c r="AL49" t="n">
        <v>3</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HYPERLINK("https://creighton-primo.hosted.exlibrisgroup.com/primo-explore/search?tab=default_tab&amp;search_scope=EVERYTHING&amp;vid=01CRU&amp;lang=en_US&amp;offset=0&amp;query=any,contains,991001124299702656","Catalog Record")</f>
        <v/>
      </c>
      <c r="AT49">
        <f>HYPERLINK("http://www.worldcat.org/oclc/184389","WorldCat Record")</f>
        <v/>
      </c>
      <c r="AU49" t="inlineStr">
        <is>
          <t>495889:eng</t>
        </is>
      </c>
      <c r="AV49" t="inlineStr">
        <is>
          <t>184389</t>
        </is>
      </c>
      <c r="AW49" t="inlineStr">
        <is>
          <t>991001124299702656</t>
        </is>
      </c>
      <c r="AX49" t="inlineStr">
        <is>
          <t>991001124299702656</t>
        </is>
      </c>
      <c r="AY49" t="inlineStr">
        <is>
          <t>2270410480002656</t>
        </is>
      </c>
      <c r="AZ49" t="inlineStr">
        <is>
          <t>BOOK</t>
        </is>
      </c>
      <c r="BC49" t="inlineStr">
        <is>
          <t>32285001001089</t>
        </is>
      </c>
      <c r="BD49" t="inlineStr">
        <is>
          <t>893438897</t>
        </is>
      </c>
    </row>
    <row r="50">
      <c r="A50" t="inlineStr">
        <is>
          <t>No</t>
        </is>
      </c>
      <c r="B50" t="inlineStr">
        <is>
          <t>ND1265 .R63 1966</t>
        </is>
      </c>
      <c r="C50" t="inlineStr">
        <is>
          <t>0                      ND 1265000R  63          1966</t>
        </is>
      </c>
      <c r="D50" t="inlineStr">
        <is>
          <t>Cubism and twentieth-century art.</t>
        </is>
      </c>
      <c r="F50" t="inlineStr">
        <is>
          <t>No</t>
        </is>
      </c>
      <c r="G50" t="inlineStr">
        <is>
          <t>1</t>
        </is>
      </c>
      <c r="H50" t="inlineStr">
        <is>
          <t>No</t>
        </is>
      </c>
      <c r="I50" t="inlineStr">
        <is>
          <t>No</t>
        </is>
      </c>
      <c r="J50" t="inlineStr">
        <is>
          <t>0</t>
        </is>
      </c>
      <c r="K50" t="inlineStr">
        <is>
          <t>Rosenblum, Robert.</t>
        </is>
      </c>
      <c r="L50" t="inlineStr">
        <is>
          <t>New York : Abrams, [1961, c1960]</t>
        </is>
      </c>
      <c r="M50" t="inlineStr">
        <is>
          <t>1961</t>
        </is>
      </c>
      <c r="O50" t="inlineStr">
        <is>
          <t>eng</t>
        </is>
      </c>
      <c r="P50" t="inlineStr">
        <is>
          <t>nyu</t>
        </is>
      </c>
      <c r="R50" t="inlineStr">
        <is>
          <t xml:space="preserve">ND </t>
        </is>
      </c>
      <c r="S50" t="n">
        <v>14</v>
      </c>
      <c r="T50" t="n">
        <v>14</v>
      </c>
      <c r="U50" t="inlineStr">
        <is>
          <t>2003-04-02</t>
        </is>
      </c>
      <c r="V50" t="inlineStr">
        <is>
          <t>2003-04-02</t>
        </is>
      </c>
      <c r="W50" t="inlineStr">
        <is>
          <t>1992-12-09</t>
        </is>
      </c>
      <c r="X50" t="inlineStr">
        <is>
          <t>1992-12-09</t>
        </is>
      </c>
      <c r="Y50" t="n">
        <v>902</v>
      </c>
      <c r="Z50" t="n">
        <v>840</v>
      </c>
      <c r="AA50" t="n">
        <v>1303</v>
      </c>
      <c r="AB50" t="n">
        <v>8</v>
      </c>
      <c r="AC50" t="n">
        <v>12</v>
      </c>
      <c r="AD50" t="n">
        <v>23</v>
      </c>
      <c r="AE50" t="n">
        <v>51</v>
      </c>
      <c r="AF50" t="n">
        <v>8</v>
      </c>
      <c r="AG50" t="n">
        <v>24</v>
      </c>
      <c r="AH50" t="n">
        <v>3</v>
      </c>
      <c r="AI50" t="n">
        <v>11</v>
      </c>
      <c r="AJ50" t="n">
        <v>6</v>
      </c>
      <c r="AK50" t="n">
        <v>19</v>
      </c>
      <c r="AL50" t="n">
        <v>7</v>
      </c>
      <c r="AM50" t="n">
        <v>9</v>
      </c>
      <c r="AN50" t="n">
        <v>0</v>
      </c>
      <c r="AO50" t="n">
        <v>0</v>
      </c>
      <c r="AP50" t="inlineStr">
        <is>
          <t>No</t>
        </is>
      </c>
      <c r="AQ50" t="inlineStr">
        <is>
          <t>No</t>
        </is>
      </c>
      <c r="AR50">
        <f>HYPERLINK("http://catalog.hathitrust.org/Record/000331184","HathiTrust Record")</f>
        <v/>
      </c>
      <c r="AS50">
        <f>HYPERLINK("https://creighton-primo.hosted.exlibrisgroup.com/primo-explore/search?tab=default_tab&amp;search_scope=EVERYTHING&amp;vid=01CRU&amp;lang=en_US&amp;offset=0&amp;query=any,contains,991002875049702656","Catalog Record")</f>
        <v/>
      </c>
      <c r="AT50">
        <f>HYPERLINK("http://www.worldcat.org/oclc/502033","WorldCat Record")</f>
        <v/>
      </c>
      <c r="AU50" t="inlineStr">
        <is>
          <t>410578:eng</t>
        </is>
      </c>
      <c r="AV50" t="inlineStr">
        <is>
          <t>502033</t>
        </is>
      </c>
      <c r="AW50" t="inlineStr">
        <is>
          <t>991002875049702656</t>
        </is>
      </c>
      <c r="AX50" t="inlineStr">
        <is>
          <t>991002875049702656</t>
        </is>
      </c>
      <c r="AY50" t="inlineStr">
        <is>
          <t>2264168310002656</t>
        </is>
      </c>
      <c r="AZ50" t="inlineStr">
        <is>
          <t>BOOK</t>
        </is>
      </c>
      <c r="BC50" t="inlineStr">
        <is>
          <t>32285001413391</t>
        </is>
      </c>
      <c r="BD50" t="inlineStr">
        <is>
          <t>893428152</t>
        </is>
      </c>
    </row>
    <row r="51">
      <c r="A51" t="inlineStr">
        <is>
          <t>No</t>
        </is>
      </c>
      <c r="B51" t="inlineStr">
        <is>
          <t>ND1265 .W253</t>
        </is>
      </c>
      <c r="C51" t="inlineStr">
        <is>
          <t>0                      ND 1265000W  253</t>
        </is>
      </c>
      <c r="D51" t="inlineStr">
        <is>
          <t>Surrealism / translated from the French by Stuart Gilbert.</t>
        </is>
      </c>
      <c r="F51" t="inlineStr">
        <is>
          <t>No</t>
        </is>
      </c>
      <c r="G51" t="inlineStr">
        <is>
          <t>1</t>
        </is>
      </c>
      <c r="H51" t="inlineStr">
        <is>
          <t>No</t>
        </is>
      </c>
      <c r="I51" t="inlineStr">
        <is>
          <t>No</t>
        </is>
      </c>
      <c r="J51" t="inlineStr">
        <is>
          <t>0</t>
        </is>
      </c>
      <c r="K51" t="inlineStr">
        <is>
          <t>Waldberg, Patrick.</t>
        </is>
      </c>
      <c r="L51" t="inlineStr">
        <is>
          <t>[Geneva?] : Skira ; [dist. in the U.S. by World Pub. Co., Cleveland, 1962]</t>
        </is>
      </c>
      <c r="M51" t="inlineStr">
        <is>
          <t>1962</t>
        </is>
      </c>
      <c r="O51" t="inlineStr">
        <is>
          <t>eng</t>
        </is>
      </c>
      <c r="P51" t="inlineStr">
        <is>
          <t xml:space="preserve">sz </t>
        </is>
      </c>
      <c r="Q51" t="inlineStr">
        <is>
          <t>The Taste of our time, 37</t>
        </is>
      </c>
      <c r="R51" t="inlineStr">
        <is>
          <t xml:space="preserve">ND </t>
        </is>
      </c>
      <c r="S51" t="n">
        <v>7</v>
      </c>
      <c r="T51" t="n">
        <v>7</v>
      </c>
      <c r="U51" t="inlineStr">
        <is>
          <t>2002-11-24</t>
        </is>
      </c>
      <c r="V51" t="inlineStr">
        <is>
          <t>2002-11-24</t>
        </is>
      </c>
      <c r="W51" t="inlineStr">
        <is>
          <t>1992-12-22</t>
        </is>
      </c>
      <c r="X51" t="inlineStr">
        <is>
          <t>1992-12-22</t>
        </is>
      </c>
      <c r="Y51" t="n">
        <v>450</v>
      </c>
      <c r="Z51" t="n">
        <v>400</v>
      </c>
      <c r="AA51" t="n">
        <v>404</v>
      </c>
      <c r="AB51" t="n">
        <v>6</v>
      </c>
      <c r="AC51" t="n">
        <v>6</v>
      </c>
      <c r="AD51" t="n">
        <v>14</v>
      </c>
      <c r="AE51" t="n">
        <v>14</v>
      </c>
      <c r="AF51" t="n">
        <v>3</v>
      </c>
      <c r="AG51" t="n">
        <v>3</v>
      </c>
      <c r="AH51" t="n">
        <v>4</v>
      </c>
      <c r="AI51" t="n">
        <v>4</v>
      </c>
      <c r="AJ51" t="n">
        <v>6</v>
      </c>
      <c r="AK51" t="n">
        <v>6</v>
      </c>
      <c r="AL51" t="n">
        <v>4</v>
      </c>
      <c r="AM51" t="n">
        <v>4</v>
      </c>
      <c r="AN51" t="n">
        <v>0</v>
      </c>
      <c r="AO51" t="n">
        <v>0</v>
      </c>
      <c r="AP51" t="inlineStr">
        <is>
          <t>No</t>
        </is>
      </c>
      <c r="AQ51" t="inlineStr">
        <is>
          <t>No</t>
        </is>
      </c>
      <c r="AS51">
        <f>HYPERLINK("https://creighton-primo.hosted.exlibrisgroup.com/primo-explore/search?tab=default_tab&amp;search_scope=EVERYTHING&amp;vid=01CRU&amp;lang=en_US&amp;offset=0&amp;query=any,contains,991003696689702656","Catalog Record")</f>
        <v/>
      </c>
      <c r="AT51">
        <f>HYPERLINK("http://www.worldcat.org/oclc/1329554","WorldCat Record")</f>
        <v/>
      </c>
      <c r="AU51" t="inlineStr">
        <is>
          <t>9322599704:eng</t>
        </is>
      </c>
      <c r="AV51" t="inlineStr">
        <is>
          <t>1329554</t>
        </is>
      </c>
      <c r="AW51" t="inlineStr">
        <is>
          <t>991003696689702656</t>
        </is>
      </c>
      <c r="AX51" t="inlineStr">
        <is>
          <t>991003696689702656</t>
        </is>
      </c>
      <c r="AY51" t="inlineStr">
        <is>
          <t>2269081680002656</t>
        </is>
      </c>
      <c r="AZ51" t="inlineStr">
        <is>
          <t>BOOK</t>
        </is>
      </c>
      <c r="BC51" t="inlineStr">
        <is>
          <t>32285001470508</t>
        </is>
      </c>
      <c r="BD51" t="inlineStr">
        <is>
          <t>893686831</t>
        </is>
      </c>
    </row>
    <row r="52">
      <c r="A52" t="inlineStr">
        <is>
          <t>No</t>
        </is>
      </c>
      <c r="B52" t="inlineStr">
        <is>
          <t>ND1280 .B57</t>
        </is>
      </c>
      <c r="C52" t="inlineStr">
        <is>
          <t>0                      ND 1280000B  57</t>
        </is>
      </c>
      <c r="D52" t="inlineStr">
        <is>
          <t>History of color in painting / with new principles of color expression.</t>
        </is>
      </c>
      <c r="F52" t="inlineStr">
        <is>
          <t>No</t>
        </is>
      </c>
      <c r="G52" t="inlineStr">
        <is>
          <t>1</t>
        </is>
      </c>
      <c r="H52" t="inlineStr">
        <is>
          <t>No</t>
        </is>
      </c>
      <c r="I52" t="inlineStr">
        <is>
          <t>No</t>
        </is>
      </c>
      <c r="J52" t="inlineStr">
        <is>
          <t>0</t>
        </is>
      </c>
      <c r="K52" t="inlineStr">
        <is>
          <t>Birren, Faber, 1900-1988.</t>
        </is>
      </c>
      <c r="L52" t="inlineStr">
        <is>
          <t>New York : Reinhold Pub. Corp., [1965]</t>
        </is>
      </c>
      <c r="M52" t="inlineStr">
        <is>
          <t>1965</t>
        </is>
      </c>
      <c r="O52" t="inlineStr">
        <is>
          <t>eng</t>
        </is>
      </c>
      <c r="P52" t="inlineStr">
        <is>
          <t>nyu</t>
        </is>
      </c>
      <c r="R52" t="inlineStr">
        <is>
          <t xml:space="preserve">ND </t>
        </is>
      </c>
      <c r="S52" t="n">
        <v>7</v>
      </c>
      <c r="T52" t="n">
        <v>7</v>
      </c>
      <c r="U52" t="inlineStr">
        <is>
          <t>2009-12-07</t>
        </is>
      </c>
      <c r="V52" t="inlineStr">
        <is>
          <t>2009-12-07</t>
        </is>
      </c>
      <c r="W52" t="inlineStr">
        <is>
          <t>1994-05-20</t>
        </is>
      </c>
      <c r="X52" t="inlineStr">
        <is>
          <t>1994-05-20</t>
        </is>
      </c>
      <c r="Y52" t="n">
        <v>926</v>
      </c>
      <c r="Z52" t="n">
        <v>837</v>
      </c>
      <c r="AA52" t="n">
        <v>1057</v>
      </c>
      <c r="AB52" t="n">
        <v>8</v>
      </c>
      <c r="AC52" t="n">
        <v>10</v>
      </c>
      <c r="AD52" t="n">
        <v>26</v>
      </c>
      <c r="AE52" t="n">
        <v>31</v>
      </c>
      <c r="AF52" t="n">
        <v>10</v>
      </c>
      <c r="AG52" t="n">
        <v>11</v>
      </c>
      <c r="AH52" t="n">
        <v>6</v>
      </c>
      <c r="AI52" t="n">
        <v>8</v>
      </c>
      <c r="AJ52" t="n">
        <v>10</v>
      </c>
      <c r="AK52" t="n">
        <v>12</v>
      </c>
      <c r="AL52" t="n">
        <v>6</v>
      </c>
      <c r="AM52" t="n">
        <v>7</v>
      </c>
      <c r="AN52" t="n">
        <v>0</v>
      </c>
      <c r="AO52" t="n">
        <v>0</v>
      </c>
      <c r="AP52" t="inlineStr">
        <is>
          <t>No</t>
        </is>
      </c>
      <c r="AQ52" t="inlineStr">
        <is>
          <t>Yes</t>
        </is>
      </c>
      <c r="AR52">
        <f>HYPERLINK("http://catalog.hathitrust.org/Record/000350045","HathiTrust Record")</f>
        <v/>
      </c>
      <c r="AS52">
        <f>HYPERLINK("https://creighton-primo.hosted.exlibrisgroup.com/primo-explore/search?tab=default_tab&amp;search_scope=EVERYTHING&amp;vid=01CRU&amp;lang=en_US&amp;offset=0&amp;query=any,contains,991003246189702656","Catalog Record")</f>
        <v/>
      </c>
      <c r="AT52">
        <f>HYPERLINK("http://www.worldcat.org/oclc/770414","WorldCat Record")</f>
        <v/>
      </c>
      <c r="AU52" t="inlineStr">
        <is>
          <t>138366645:eng</t>
        </is>
      </c>
      <c r="AV52" t="inlineStr">
        <is>
          <t>770414</t>
        </is>
      </c>
      <c r="AW52" t="inlineStr">
        <is>
          <t>991003246189702656</t>
        </is>
      </c>
      <c r="AX52" t="inlineStr">
        <is>
          <t>991003246189702656</t>
        </is>
      </c>
      <c r="AY52" t="inlineStr">
        <is>
          <t>2263608790002656</t>
        </is>
      </c>
      <c r="AZ52" t="inlineStr">
        <is>
          <t>BOOK</t>
        </is>
      </c>
      <c r="BC52" t="inlineStr">
        <is>
          <t>32285001911386</t>
        </is>
      </c>
      <c r="BD52" t="inlineStr">
        <is>
          <t>893518288</t>
        </is>
      </c>
    </row>
    <row r="53">
      <c r="A53" t="inlineStr">
        <is>
          <t>No</t>
        </is>
      </c>
      <c r="B53" t="inlineStr">
        <is>
          <t>ND1280 .C57 1981</t>
        </is>
      </c>
      <c r="C53" t="inlineStr">
        <is>
          <t>0                      ND 1280000C  57          1981</t>
        </is>
      </c>
      <c r="D53" t="inlineStr">
        <is>
          <t>The principles of harmony and contrast of colors and their applications to the arts / by M.E. Chevreul; with a special introd. and explanatory notes by Faber Birren.</t>
        </is>
      </c>
      <c r="F53" t="inlineStr">
        <is>
          <t>No</t>
        </is>
      </c>
      <c r="G53" t="inlineStr">
        <is>
          <t>1</t>
        </is>
      </c>
      <c r="H53" t="inlineStr">
        <is>
          <t>No</t>
        </is>
      </c>
      <c r="I53" t="inlineStr">
        <is>
          <t>No</t>
        </is>
      </c>
      <c r="J53" t="inlineStr">
        <is>
          <t>0</t>
        </is>
      </c>
      <c r="K53" t="inlineStr">
        <is>
          <t>Chevreul, M. E. (Michel Eugène), 1786-1889.</t>
        </is>
      </c>
      <c r="L53" t="inlineStr">
        <is>
          <t>New York : Van Nostrand Reinhold, 1981, c1967.</t>
        </is>
      </c>
      <c r="M53" t="inlineStr">
        <is>
          <t>1981</t>
        </is>
      </c>
      <c r="O53" t="inlineStr">
        <is>
          <t>eng</t>
        </is>
      </c>
      <c r="P53" t="inlineStr">
        <is>
          <t xml:space="preserve">xx </t>
        </is>
      </c>
      <c r="R53" t="inlineStr">
        <is>
          <t xml:space="preserve">ND </t>
        </is>
      </c>
      <c r="S53" t="n">
        <v>3</v>
      </c>
      <c r="T53" t="n">
        <v>3</v>
      </c>
      <c r="U53" t="inlineStr">
        <is>
          <t>2002-04-05</t>
        </is>
      </c>
      <c r="V53" t="inlineStr">
        <is>
          <t>2002-04-05</t>
        </is>
      </c>
      <c r="W53" t="inlineStr">
        <is>
          <t>1992-12-09</t>
        </is>
      </c>
      <c r="X53" t="inlineStr">
        <is>
          <t>1992-12-09</t>
        </is>
      </c>
      <c r="Y53" t="n">
        <v>262</v>
      </c>
      <c r="Z53" t="n">
        <v>212</v>
      </c>
      <c r="AA53" t="n">
        <v>1026</v>
      </c>
      <c r="AB53" t="n">
        <v>2</v>
      </c>
      <c r="AC53" t="n">
        <v>6</v>
      </c>
      <c r="AD53" t="n">
        <v>6</v>
      </c>
      <c r="AE53" t="n">
        <v>28</v>
      </c>
      <c r="AF53" t="n">
        <v>3</v>
      </c>
      <c r="AG53" t="n">
        <v>13</v>
      </c>
      <c r="AH53" t="n">
        <v>1</v>
      </c>
      <c r="AI53" t="n">
        <v>6</v>
      </c>
      <c r="AJ53" t="n">
        <v>1</v>
      </c>
      <c r="AK53" t="n">
        <v>11</v>
      </c>
      <c r="AL53" t="n">
        <v>1</v>
      </c>
      <c r="AM53" t="n">
        <v>5</v>
      </c>
      <c r="AN53" t="n">
        <v>0</v>
      </c>
      <c r="AO53" t="n">
        <v>0</v>
      </c>
      <c r="AP53" t="inlineStr">
        <is>
          <t>No</t>
        </is>
      </c>
      <c r="AQ53" t="inlineStr">
        <is>
          <t>Yes</t>
        </is>
      </c>
      <c r="AR53">
        <f>HYPERLINK("http://catalog.hathitrust.org/Record/000186280","HathiTrust Record")</f>
        <v/>
      </c>
      <c r="AS53">
        <f>HYPERLINK("https://creighton-primo.hosted.exlibrisgroup.com/primo-explore/search?tab=default_tab&amp;search_scope=EVERYTHING&amp;vid=01CRU&amp;lang=en_US&amp;offset=0&amp;query=any,contains,991005170469702656","Catalog Record")</f>
        <v/>
      </c>
      <c r="AT53">
        <f>HYPERLINK("http://www.worldcat.org/oclc/7858328","WorldCat Record")</f>
        <v/>
      </c>
      <c r="AU53" t="inlineStr">
        <is>
          <t>4663748997:eng</t>
        </is>
      </c>
      <c r="AV53" t="inlineStr">
        <is>
          <t>7858328</t>
        </is>
      </c>
      <c r="AW53" t="inlineStr">
        <is>
          <t>991005170469702656</t>
        </is>
      </c>
      <c r="AX53" t="inlineStr">
        <is>
          <t>991005170469702656</t>
        </is>
      </c>
      <c r="AY53" t="inlineStr">
        <is>
          <t>2269961200002656</t>
        </is>
      </c>
      <c r="AZ53" t="inlineStr">
        <is>
          <t>BOOK</t>
        </is>
      </c>
      <c r="BB53" t="inlineStr">
        <is>
          <t>9780442212124</t>
        </is>
      </c>
      <c r="BC53" t="inlineStr">
        <is>
          <t>32285001403368</t>
        </is>
      </c>
      <c r="BD53" t="inlineStr">
        <is>
          <t>893320149</t>
        </is>
      </c>
    </row>
    <row r="54">
      <c r="A54" t="inlineStr">
        <is>
          <t>No</t>
        </is>
      </c>
      <c r="B54" t="inlineStr">
        <is>
          <t>ND1280 .E48 1980</t>
        </is>
      </c>
      <c r="C54" t="inlineStr">
        <is>
          <t>0                      ND 1280000E  48          1980</t>
        </is>
      </c>
      <c r="D54" t="inlineStr">
        <is>
          <t>Color structure and design / Richard G. Ellinger.</t>
        </is>
      </c>
      <c r="F54" t="inlineStr">
        <is>
          <t>No</t>
        </is>
      </c>
      <c r="G54" t="inlineStr">
        <is>
          <t>1</t>
        </is>
      </c>
      <c r="H54" t="inlineStr">
        <is>
          <t>No</t>
        </is>
      </c>
      <c r="I54" t="inlineStr">
        <is>
          <t>No</t>
        </is>
      </c>
      <c r="J54" t="inlineStr">
        <is>
          <t>0</t>
        </is>
      </c>
      <c r="K54" t="inlineStr">
        <is>
          <t>Ellinger, Richard G. (Richard Gordon)</t>
        </is>
      </c>
      <c r="L54" t="inlineStr">
        <is>
          <t>New York : Reinhold, 1980, c1963.</t>
        </is>
      </c>
      <c r="M54" t="inlineStr">
        <is>
          <t>1980</t>
        </is>
      </c>
      <c r="O54" t="inlineStr">
        <is>
          <t>eng</t>
        </is>
      </c>
      <c r="P54" t="inlineStr">
        <is>
          <t>nyu</t>
        </is>
      </c>
      <c r="R54" t="inlineStr">
        <is>
          <t xml:space="preserve">ND </t>
        </is>
      </c>
      <c r="S54" t="n">
        <v>2</v>
      </c>
      <c r="T54" t="n">
        <v>2</v>
      </c>
      <c r="U54" t="inlineStr">
        <is>
          <t>2002-04-17</t>
        </is>
      </c>
      <c r="V54" t="inlineStr">
        <is>
          <t>2002-04-17</t>
        </is>
      </c>
      <c r="W54" t="inlineStr">
        <is>
          <t>1993-05-24</t>
        </is>
      </c>
      <c r="X54" t="inlineStr">
        <is>
          <t>1993-05-24</t>
        </is>
      </c>
      <c r="Y54" t="n">
        <v>400</v>
      </c>
      <c r="Z54" t="n">
        <v>364</v>
      </c>
      <c r="AA54" t="n">
        <v>586</v>
      </c>
      <c r="AB54" t="n">
        <v>4</v>
      </c>
      <c r="AC54" t="n">
        <v>9</v>
      </c>
      <c r="AD54" t="n">
        <v>12</v>
      </c>
      <c r="AE54" t="n">
        <v>20</v>
      </c>
      <c r="AF54" t="n">
        <v>4</v>
      </c>
      <c r="AG54" t="n">
        <v>8</v>
      </c>
      <c r="AH54" t="n">
        <v>3</v>
      </c>
      <c r="AI54" t="n">
        <v>4</v>
      </c>
      <c r="AJ54" t="n">
        <v>3</v>
      </c>
      <c r="AK54" t="n">
        <v>4</v>
      </c>
      <c r="AL54" t="n">
        <v>3</v>
      </c>
      <c r="AM54" t="n">
        <v>6</v>
      </c>
      <c r="AN54" t="n">
        <v>0</v>
      </c>
      <c r="AO54" t="n">
        <v>0</v>
      </c>
      <c r="AP54" t="inlineStr">
        <is>
          <t>No</t>
        </is>
      </c>
      <c r="AQ54" t="inlineStr">
        <is>
          <t>Yes</t>
        </is>
      </c>
      <c r="AR54">
        <f>HYPERLINK("http://catalog.hathitrust.org/Record/000167225","HathiTrust Record")</f>
        <v/>
      </c>
      <c r="AS54">
        <f>HYPERLINK("https://creighton-primo.hosted.exlibrisgroup.com/primo-explore/search?tab=default_tab&amp;search_scope=EVERYTHING&amp;vid=01CRU&amp;lang=en_US&amp;offset=0&amp;query=any,contains,991005110009702656","Catalog Record")</f>
        <v/>
      </c>
      <c r="AT54">
        <f>HYPERLINK("http://www.worldcat.org/oclc/7407744","WorldCat Record")</f>
        <v/>
      </c>
      <c r="AU54" t="inlineStr">
        <is>
          <t>259565:eng</t>
        </is>
      </c>
      <c r="AV54" t="inlineStr">
        <is>
          <t>7407744</t>
        </is>
      </c>
      <c r="AW54" t="inlineStr">
        <is>
          <t>991005110009702656</t>
        </is>
      </c>
      <c r="AX54" t="inlineStr">
        <is>
          <t>991005110009702656</t>
        </is>
      </c>
      <c r="AY54" t="inlineStr">
        <is>
          <t>2263693340002656</t>
        </is>
      </c>
      <c r="AZ54" t="inlineStr">
        <is>
          <t>BOOK</t>
        </is>
      </c>
      <c r="BB54" t="inlineStr">
        <is>
          <t>9780442239411</t>
        </is>
      </c>
      <c r="BC54" t="inlineStr">
        <is>
          <t>32285001693026</t>
        </is>
      </c>
      <c r="BD54" t="inlineStr">
        <is>
          <t>893446571</t>
        </is>
      </c>
    </row>
    <row r="55">
      <c r="A55" t="inlineStr">
        <is>
          <t>No</t>
        </is>
      </c>
      <c r="B55" t="inlineStr">
        <is>
          <t>ND1280 .G7</t>
        </is>
      </c>
      <c r="C55" t="inlineStr">
        <is>
          <t>0                      ND 1280000G  7</t>
        </is>
      </c>
      <c r="D55" t="inlineStr">
        <is>
          <t>Color fundamentals; with 100 color schemes.</t>
        </is>
      </c>
      <c r="F55" t="inlineStr">
        <is>
          <t>No</t>
        </is>
      </c>
      <c r="G55" t="inlineStr">
        <is>
          <t>1</t>
        </is>
      </c>
      <c r="H55" t="inlineStr">
        <is>
          <t>No</t>
        </is>
      </c>
      <c r="I55" t="inlineStr">
        <is>
          <t>No</t>
        </is>
      </c>
      <c r="J55" t="inlineStr">
        <is>
          <t>0</t>
        </is>
      </c>
      <c r="K55" t="inlineStr">
        <is>
          <t>Graves, Maitland E., 1902-</t>
        </is>
      </c>
      <c r="L55" t="inlineStr">
        <is>
          <t>New York, McGraw-Hill, 1952.</t>
        </is>
      </c>
      <c r="M55" t="inlineStr">
        <is>
          <t>1952</t>
        </is>
      </c>
      <c r="N55" t="inlineStr">
        <is>
          <t>1st ed.</t>
        </is>
      </c>
      <c r="O55" t="inlineStr">
        <is>
          <t>eng</t>
        </is>
      </c>
      <c r="P55" t="inlineStr">
        <is>
          <t>nyu</t>
        </is>
      </c>
      <c r="R55" t="inlineStr">
        <is>
          <t xml:space="preserve">ND </t>
        </is>
      </c>
      <c r="S55" t="n">
        <v>2</v>
      </c>
      <c r="T55" t="n">
        <v>2</v>
      </c>
      <c r="U55" t="inlineStr">
        <is>
          <t>2002-04-17</t>
        </is>
      </c>
      <c r="V55" t="inlineStr">
        <is>
          <t>2002-04-17</t>
        </is>
      </c>
      <c r="W55" t="inlineStr">
        <is>
          <t>1997-08-05</t>
        </is>
      </c>
      <c r="X55" t="inlineStr">
        <is>
          <t>1997-08-05</t>
        </is>
      </c>
      <c r="Y55" t="n">
        <v>326</v>
      </c>
      <c r="Z55" t="n">
        <v>280</v>
      </c>
      <c r="AA55" t="n">
        <v>286</v>
      </c>
      <c r="AB55" t="n">
        <v>3</v>
      </c>
      <c r="AC55" t="n">
        <v>3</v>
      </c>
      <c r="AD55" t="n">
        <v>8</v>
      </c>
      <c r="AE55" t="n">
        <v>8</v>
      </c>
      <c r="AF55" t="n">
        <v>3</v>
      </c>
      <c r="AG55" t="n">
        <v>3</v>
      </c>
      <c r="AH55" t="n">
        <v>1</v>
      </c>
      <c r="AI55" t="n">
        <v>1</v>
      </c>
      <c r="AJ55" t="n">
        <v>2</v>
      </c>
      <c r="AK55" t="n">
        <v>2</v>
      </c>
      <c r="AL55" t="n">
        <v>2</v>
      </c>
      <c r="AM55" t="n">
        <v>2</v>
      </c>
      <c r="AN55" t="n">
        <v>0</v>
      </c>
      <c r="AO55" t="n">
        <v>0</v>
      </c>
      <c r="AP55" t="inlineStr">
        <is>
          <t>No</t>
        </is>
      </c>
      <c r="AQ55" t="inlineStr">
        <is>
          <t>Yes</t>
        </is>
      </c>
      <c r="AR55">
        <f>HYPERLINK("http://catalog.hathitrust.org/Record/000350295","HathiTrust Record")</f>
        <v/>
      </c>
      <c r="AS55">
        <f>HYPERLINK("https://creighton-primo.hosted.exlibrisgroup.com/primo-explore/search?tab=default_tab&amp;search_scope=EVERYTHING&amp;vid=01CRU&amp;lang=en_US&amp;offset=0&amp;query=any,contains,991003864769702656","Catalog Record")</f>
        <v/>
      </c>
      <c r="AT55">
        <f>HYPERLINK("http://www.worldcat.org/oclc/1675716","WorldCat Record")</f>
        <v/>
      </c>
      <c r="AU55" t="inlineStr">
        <is>
          <t>304594056:eng</t>
        </is>
      </c>
      <c r="AV55" t="inlineStr">
        <is>
          <t>1675716</t>
        </is>
      </c>
      <c r="AW55" t="inlineStr">
        <is>
          <t>991003864769702656</t>
        </is>
      </c>
      <c r="AX55" t="inlineStr">
        <is>
          <t>991003864769702656</t>
        </is>
      </c>
      <c r="AY55" t="inlineStr">
        <is>
          <t>2265380020002656</t>
        </is>
      </c>
      <c r="AZ55" t="inlineStr">
        <is>
          <t>BOOK</t>
        </is>
      </c>
      <c r="BC55" t="inlineStr">
        <is>
          <t>32285003045449</t>
        </is>
      </c>
      <c r="BD55" t="inlineStr">
        <is>
          <t>893699511</t>
        </is>
      </c>
    </row>
    <row r="56">
      <c r="A56" t="inlineStr">
        <is>
          <t>No</t>
        </is>
      </c>
      <c r="B56" t="inlineStr">
        <is>
          <t>ND1280 .G9 1980</t>
        </is>
      </c>
      <c r="C56" t="inlineStr">
        <is>
          <t>0                      ND 1280000G  9           1980</t>
        </is>
      </c>
      <c r="D56" t="inlineStr">
        <is>
          <t>Color manual for artists / Arthur L. Guptill ; editor, Catherine Sullivan.</t>
        </is>
      </c>
      <c r="F56" t="inlineStr">
        <is>
          <t>No</t>
        </is>
      </c>
      <c r="G56" t="inlineStr">
        <is>
          <t>1</t>
        </is>
      </c>
      <c r="H56" t="inlineStr">
        <is>
          <t>No</t>
        </is>
      </c>
      <c r="I56" t="inlineStr">
        <is>
          <t>No</t>
        </is>
      </c>
      <c r="J56" t="inlineStr">
        <is>
          <t>0</t>
        </is>
      </c>
      <c r="K56" t="inlineStr">
        <is>
          <t>Guptill, Arthur L. (Arthur Leighton), 1891-1956.</t>
        </is>
      </c>
      <c r="L56" t="inlineStr">
        <is>
          <t>New York : Reinhold, 1980, c1962.</t>
        </is>
      </c>
      <c r="M56" t="inlineStr">
        <is>
          <t>1980</t>
        </is>
      </c>
      <c r="O56" t="inlineStr">
        <is>
          <t>eng</t>
        </is>
      </c>
      <c r="P56" t="inlineStr">
        <is>
          <t>nyu</t>
        </is>
      </c>
      <c r="R56" t="inlineStr">
        <is>
          <t xml:space="preserve">ND </t>
        </is>
      </c>
      <c r="S56" t="n">
        <v>5</v>
      </c>
      <c r="T56" t="n">
        <v>5</v>
      </c>
      <c r="U56" t="inlineStr">
        <is>
          <t>2002-04-17</t>
        </is>
      </c>
      <c r="V56" t="inlineStr">
        <is>
          <t>2002-04-17</t>
        </is>
      </c>
      <c r="W56" t="inlineStr">
        <is>
          <t>1989-12-08</t>
        </is>
      </c>
      <c r="X56" t="inlineStr">
        <is>
          <t>1989-12-08</t>
        </is>
      </c>
      <c r="Y56" t="n">
        <v>226</v>
      </c>
      <c r="Z56" t="n">
        <v>199</v>
      </c>
      <c r="AA56" t="n">
        <v>545</v>
      </c>
      <c r="AB56" t="n">
        <v>3</v>
      </c>
      <c r="AC56" t="n">
        <v>8</v>
      </c>
      <c r="AD56" t="n">
        <v>4</v>
      </c>
      <c r="AE56" t="n">
        <v>15</v>
      </c>
      <c r="AF56" t="n">
        <v>2</v>
      </c>
      <c r="AG56" t="n">
        <v>5</v>
      </c>
      <c r="AH56" t="n">
        <v>0</v>
      </c>
      <c r="AI56" t="n">
        <v>2</v>
      </c>
      <c r="AJ56" t="n">
        <v>1</v>
      </c>
      <c r="AK56" t="n">
        <v>5</v>
      </c>
      <c r="AL56" t="n">
        <v>2</v>
      </c>
      <c r="AM56" t="n">
        <v>5</v>
      </c>
      <c r="AN56" t="n">
        <v>0</v>
      </c>
      <c r="AO56" t="n">
        <v>0</v>
      </c>
      <c r="AP56" t="inlineStr">
        <is>
          <t>No</t>
        </is>
      </c>
      <c r="AQ56" t="inlineStr">
        <is>
          <t>Yes</t>
        </is>
      </c>
      <c r="AR56">
        <f>HYPERLINK("http://catalog.hathitrust.org/Record/009140413","HathiTrust Record")</f>
        <v/>
      </c>
      <c r="AS56">
        <f>HYPERLINK("https://creighton-primo.hosted.exlibrisgroup.com/primo-explore/search?tab=default_tab&amp;search_scope=EVERYTHING&amp;vid=01CRU&amp;lang=en_US&amp;offset=0&amp;query=any,contains,991005109989702656","Catalog Record")</f>
        <v/>
      </c>
      <c r="AT56">
        <f>HYPERLINK("http://www.worldcat.org/oclc/7407720","WorldCat Record")</f>
        <v/>
      </c>
      <c r="AU56" t="inlineStr">
        <is>
          <t>136052109:eng</t>
        </is>
      </c>
      <c r="AV56" t="inlineStr">
        <is>
          <t>7407720</t>
        </is>
      </c>
      <c r="AW56" t="inlineStr">
        <is>
          <t>991005109989702656</t>
        </is>
      </c>
      <c r="AX56" t="inlineStr">
        <is>
          <t>991005109989702656</t>
        </is>
      </c>
      <c r="AY56" t="inlineStr">
        <is>
          <t>2263713900002656</t>
        </is>
      </c>
      <c r="AZ56" t="inlineStr">
        <is>
          <t>BOOK</t>
        </is>
      </c>
      <c r="BB56" t="inlineStr">
        <is>
          <t>9780442201814</t>
        </is>
      </c>
      <c r="BC56" t="inlineStr">
        <is>
          <t>32285000030329</t>
        </is>
      </c>
      <c r="BD56" t="inlineStr">
        <is>
          <t>893707278</t>
        </is>
      </c>
    </row>
    <row r="57">
      <c r="A57" t="inlineStr">
        <is>
          <t>No</t>
        </is>
      </c>
      <c r="B57" t="inlineStr">
        <is>
          <t>ND1280 .I813</t>
        </is>
      </c>
      <c r="C57" t="inlineStr">
        <is>
          <t>0                      ND 1280000I  813</t>
        </is>
      </c>
      <c r="D57" t="inlineStr">
        <is>
          <t>The art of color : the subjective experience and objective rationale of color / translated by Ernst van Haagen.</t>
        </is>
      </c>
      <c r="F57" t="inlineStr">
        <is>
          <t>No</t>
        </is>
      </c>
      <c r="G57" t="inlineStr">
        <is>
          <t>1</t>
        </is>
      </c>
      <c r="H57" t="inlineStr">
        <is>
          <t>No</t>
        </is>
      </c>
      <c r="I57" t="inlineStr">
        <is>
          <t>No</t>
        </is>
      </c>
      <c r="J57" t="inlineStr">
        <is>
          <t>0</t>
        </is>
      </c>
      <c r="K57" t="inlineStr">
        <is>
          <t>Itten, Johannes, 1888-1967.</t>
        </is>
      </c>
      <c r="L57" t="inlineStr">
        <is>
          <t>New York : Reinhold Pub. Corp., [1961]</t>
        </is>
      </c>
      <c r="M57" t="inlineStr">
        <is>
          <t>1961</t>
        </is>
      </c>
      <c r="O57" t="inlineStr">
        <is>
          <t>eng</t>
        </is>
      </c>
      <c r="P57" t="inlineStr">
        <is>
          <t>nyu</t>
        </is>
      </c>
      <c r="R57" t="inlineStr">
        <is>
          <t xml:space="preserve">ND </t>
        </is>
      </c>
      <c r="S57" t="n">
        <v>15</v>
      </c>
      <c r="T57" t="n">
        <v>15</v>
      </c>
      <c r="U57" t="inlineStr">
        <is>
          <t>2001-10-17</t>
        </is>
      </c>
      <c r="V57" t="inlineStr">
        <is>
          <t>2001-10-17</t>
        </is>
      </c>
      <c r="W57" t="inlineStr">
        <is>
          <t>1992-12-09</t>
        </is>
      </c>
      <c r="X57" t="inlineStr">
        <is>
          <t>1992-12-09</t>
        </is>
      </c>
      <c r="Y57" t="n">
        <v>1132</v>
      </c>
      <c r="Z57" t="n">
        <v>1017</v>
      </c>
      <c r="AA57" t="n">
        <v>1020</v>
      </c>
      <c r="AB57" t="n">
        <v>10</v>
      </c>
      <c r="AC57" t="n">
        <v>10</v>
      </c>
      <c r="AD57" t="n">
        <v>31</v>
      </c>
      <c r="AE57" t="n">
        <v>31</v>
      </c>
      <c r="AF57" t="n">
        <v>11</v>
      </c>
      <c r="AG57" t="n">
        <v>11</v>
      </c>
      <c r="AH57" t="n">
        <v>5</v>
      </c>
      <c r="AI57" t="n">
        <v>5</v>
      </c>
      <c r="AJ57" t="n">
        <v>9</v>
      </c>
      <c r="AK57" t="n">
        <v>9</v>
      </c>
      <c r="AL57" t="n">
        <v>8</v>
      </c>
      <c r="AM57" t="n">
        <v>8</v>
      </c>
      <c r="AN57" t="n">
        <v>0</v>
      </c>
      <c r="AO57" t="n">
        <v>0</v>
      </c>
      <c r="AP57" t="inlineStr">
        <is>
          <t>No</t>
        </is>
      </c>
      <c r="AQ57" t="inlineStr">
        <is>
          <t>Yes</t>
        </is>
      </c>
      <c r="AR57">
        <f>HYPERLINK("http://catalog.hathitrust.org/Record/004505282","HathiTrust Record")</f>
        <v/>
      </c>
      <c r="AS57">
        <f>HYPERLINK("https://creighton-primo.hosted.exlibrisgroup.com/primo-explore/search?tab=default_tab&amp;search_scope=EVERYTHING&amp;vid=01CRU&amp;lang=en_US&amp;offset=0&amp;query=any,contains,991005355689702656","Catalog Record")</f>
        <v/>
      </c>
      <c r="AT57">
        <f>HYPERLINK("http://www.worldcat.org/oclc/518602","WorldCat Record")</f>
        <v/>
      </c>
      <c r="AU57" t="inlineStr">
        <is>
          <t>9186668779:eng</t>
        </is>
      </c>
      <c r="AV57" t="inlineStr">
        <is>
          <t>518602</t>
        </is>
      </c>
      <c r="AW57" t="inlineStr">
        <is>
          <t>991005355689702656</t>
        </is>
      </c>
      <c r="AX57" t="inlineStr">
        <is>
          <t>991005355689702656</t>
        </is>
      </c>
      <c r="AY57" t="inlineStr">
        <is>
          <t>2255702910002656</t>
        </is>
      </c>
      <c r="AZ57" t="inlineStr">
        <is>
          <t>BOOK</t>
        </is>
      </c>
      <c r="BC57" t="inlineStr">
        <is>
          <t>32285001413383</t>
        </is>
      </c>
      <c r="BD57" t="inlineStr">
        <is>
          <t>893896280</t>
        </is>
      </c>
    </row>
    <row r="58">
      <c r="A58" t="inlineStr">
        <is>
          <t>No</t>
        </is>
      </c>
      <c r="B58" t="inlineStr">
        <is>
          <t>ND1280 .R453</t>
        </is>
      </c>
      <c r="C58" t="inlineStr">
        <is>
          <t>0                      ND 1280000R  453</t>
        </is>
      </c>
      <c r="D58" t="inlineStr">
        <is>
          <t>Color: order and harmony; a color theory for artists and craftsmen. Translated by Alexander Nesbitt.</t>
        </is>
      </c>
      <c r="F58" t="inlineStr">
        <is>
          <t>No</t>
        </is>
      </c>
      <c r="G58" t="inlineStr">
        <is>
          <t>1</t>
        </is>
      </c>
      <c r="H58" t="inlineStr">
        <is>
          <t>No</t>
        </is>
      </c>
      <c r="I58" t="inlineStr">
        <is>
          <t>No</t>
        </is>
      </c>
      <c r="J58" t="inlineStr">
        <is>
          <t>0</t>
        </is>
      </c>
      <c r="K58" t="inlineStr">
        <is>
          <t>Renner, Paul, 1878-1956.</t>
        </is>
      </c>
      <c r="L58" t="inlineStr">
        <is>
          <t>New York, Reinhold Pub. Corp. [1965, c1964]</t>
        </is>
      </c>
      <c r="M58" t="inlineStr">
        <is>
          <t>1965</t>
        </is>
      </c>
      <c r="O58" t="inlineStr">
        <is>
          <t>eng</t>
        </is>
      </c>
      <c r="P58" t="inlineStr">
        <is>
          <t>nyu</t>
        </is>
      </c>
      <c r="R58" t="inlineStr">
        <is>
          <t xml:space="preserve">ND </t>
        </is>
      </c>
      <c r="S58" t="n">
        <v>3</v>
      </c>
      <c r="T58" t="n">
        <v>3</v>
      </c>
      <c r="U58" t="inlineStr">
        <is>
          <t>2002-04-17</t>
        </is>
      </c>
      <c r="V58" t="inlineStr">
        <is>
          <t>2002-04-17</t>
        </is>
      </c>
      <c r="W58" t="inlineStr">
        <is>
          <t>1997-08-05</t>
        </is>
      </c>
      <c r="X58" t="inlineStr">
        <is>
          <t>1997-08-05</t>
        </is>
      </c>
      <c r="Y58" t="n">
        <v>375</v>
      </c>
      <c r="Z58" t="n">
        <v>368</v>
      </c>
      <c r="AA58" t="n">
        <v>412</v>
      </c>
      <c r="AB58" t="n">
        <v>3</v>
      </c>
      <c r="AC58" t="n">
        <v>3</v>
      </c>
      <c r="AD58" t="n">
        <v>8</v>
      </c>
      <c r="AE58" t="n">
        <v>10</v>
      </c>
      <c r="AF58" t="n">
        <v>2</v>
      </c>
      <c r="AG58" t="n">
        <v>2</v>
      </c>
      <c r="AH58" t="n">
        <v>3</v>
      </c>
      <c r="AI58" t="n">
        <v>4</v>
      </c>
      <c r="AJ58" t="n">
        <v>3</v>
      </c>
      <c r="AK58" t="n">
        <v>4</v>
      </c>
      <c r="AL58" t="n">
        <v>2</v>
      </c>
      <c r="AM58" t="n">
        <v>2</v>
      </c>
      <c r="AN58" t="n">
        <v>0</v>
      </c>
      <c r="AO58" t="n">
        <v>0</v>
      </c>
      <c r="AP58" t="inlineStr">
        <is>
          <t>No</t>
        </is>
      </c>
      <c r="AQ58" t="inlineStr">
        <is>
          <t>Yes</t>
        </is>
      </c>
      <c r="AR58">
        <f>HYPERLINK("http://catalog.hathitrust.org/Record/000575219","HathiTrust Record")</f>
        <v/>
      </c>
      <c r="AS58">
        <f>HYPERLINK("https://creighton-primo.hosted.exlibrisgroup.com/primo-explore/search?tab=default_tab&amp;search_scope=EVERYTHING&amp;vid=01CRU&amp;lang=en_US&amp;offset=0&amp;query=any,contains,991003178439702656","Catalog Record")</f>
        <v/>
      </c>
      <c r="AT58">
        <f>HYPERLINK("http://www.worldcat.org/oclc/711244","WorldCat Record")</f>
        <v/>
      </c>
      <c r="AU58" t="inlineStr">
        <is>
          <t>376475227:eng</t>
        </is>
      </c>
      <c r="AV58" t="inlineStr">
        <is>
          <t>711244</t>
        </is>
      </c>
      <c r="AW58" t="inlineStr">
        <is>
          <t>991003178439702656</t>
        </is>
      </c>
      <c r="AX58" t="inlineStr">
        <is>
          <t>991003178439702656</t>
        </is>
      </c>
      <c r="AY58" t="inlineStr">
        <is>
          <t>2263987090002656</t>
        </is>
      </c>
      <c r="AZ58" t="inlineStr">
        <is>
          <t>BOOK</t>
        </is>
      </c>
      <c r="BC58" t="inlineStr">
        <is>
          <t>32285003045456</t>
        </is>
      </c>
      <c r="BD58" t="inlineStr">
        <is>
          <t>893787041</t>
        </is>
      </c>
    </row>
    <row r="59">
      <c r="A59" t="inlineStr">
        <is>
          <t>No</t>
        </is>
      </c>
      <c r="B59" t="inlineStr">
        <is>
          <t>ND1280 .R5</t>
        </is>
      </c>
      <c r="C59" t="inlineStr">
        <is>
          <t>0                      ND 1280000R  5</t>
        </is>
      </c>
      <c r="D59" t="inlineStr">
        <is>
          <t>The technique of colour mixing.</t>
        </is>
      </c>
      <c r="F59" t="inlineStr">
        <is>
          <t>No</t>
        </is>
      </c>
      <c r="G59" t="inlineStr">
        <is>
          <t>1</t>
        </is>
      </c>
      <c r="H59" t="inlineStr">
        <is>
          <t>No</t>
        </is>
      </c>
      <c r="I59" t="inlineStr">
        <is>
          <t>No</t>
        </is>
      </c>
      <c r="J59" t="inlineStr">
        <is>
          <t>0</t>
        </is>
      </c>
      <c r="K59" t="inlineStr">
        <is>
          <t>Richmond, Leonard.</t>
        </is>
      </c>
      <c r="L59" t="inlineStr">
        <is>
          <t>New York, Pitman Pub. Corp. [1949]</t>
        </is>
      </c>
      <c r="M59" t="inlineStr">
        <is>
          <t>1949</t>
        </is>
      </c>
      <c r="O59" t="inlineStr">
        <is>
          <t>eng</t>
        </is>
      </c>
      <c r="P59" t="inlineStr">
        <is>
          <t>nyu</t>
        </is>
      </c>
      <c r="R59" t="inlineStr">
        <is>
          <t xml:space="preserve">ND </t>
        </is>
      </c>
      <c r="S59" t="n">
        <v>2</v>
      </c>
      <c r="T59" t="n">
        <v>2</v>
      </c>
      <c r="U59" t="inlineStr">
        <is>
          <t>2002-04-05</t>
        </is>
      </c>
      <c r="V59" t="inlineStr">
        <is>
          <t>2002-04-05</t>
        </is>
      </c>
      <c r="W59" t="inlineStr">
        <is>
          <t>1997-08-05</t>
        </is>
      </c>
      <c r="X59" t="inlineStr">
        <is>
          <t>1997-08-05</t>
        </is>
      </c>
      <c r="Y59" t="n">
        <v>111</v>
      </c>
      <c r="Z59" t="n">
        <v>104</v>
      </c>
      <c r="AA59" t="n">
        <v>139</v>
      </c>
      <c r="AB59" t="n">
        <v>3</v>
      </c>
      <c r="AC59" t="n">
        <v>3</v>
      </c>
      <c r="AD59" t="n">
        <v>4</v>
      </c>
      <c r="AE59" t="n">
        <v>6</v>
      </c>
      <c r="AF59" t="n">
        <v>0</v>
      </c>
      <c r="AG59" t="n">
        <v>1</v>
      </c>
      <c r="AH59" t="n">
        <v>1</v>
      </c>
      <c r="AI59" t="n">
        <v>2</v>
      </c>
      <c r="AJ59" t="n">
        <v>2</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HYPERLINK("https://creighton-primo.hosted.exlibrisgroup.com/primo-explore/search?tab=default_tab&amp;search_scope=EVERYTHING&amp;vid=01CRU&amp;lang=en_US&amp;offset=0&amp;query=any,contains,991004016949702656","Catalog Record")</f>
        <v/>
      </c>
      <c r="AT59">
        <f>HYPERLINK("http://www.worldcat.org/oclc/2112695","WorldCat Record")</f>
        <v/>
      </c>
      <c r="AU59" t="inlineStr">
        <is>
          <t>2200351:eng</t>
        </is>
      </c>
      <c r="AV59" t="inlineStr">
        <is>
          <t>2112695</t>
        </is>
      </c>
      <c r="AW59" t="inlineStr">
        <is>
          <t>991004016949702656</t>
        </is>
      </c>
      <c r="AX59" t="inlineStr">
        <is>
          <t>991004016949702656</t>
        </is>
      </c>
      <c r="AY59" t="inlineStr">
        <is>
          <t>2271036640002656</t>
        </is>
      </c>
      <c r="AZ59" t="inlineStr">
        <is>
          <t>BOOK</t>
        </is>
      </c>
      <c r="BC59" t="inlineStr">
        <is>
          <t>32285003045464</t>
        </is>
      </c>
      <c r="BD59" t="inlineStr">
        <is>
          <t>893624243</t>
        </is>
      </c>
    </row>
    <row r="60">
      <c r="A60" t="inlineStr">
        <is>
          <t>No</t>
        </is>
      </c>
      <c r="B60" t="inlineStr">
        <is>
          <t>ND1280 .S25 1979</t>
        </is>
      </c>
      <c r="C60" t="inlineStr">
        <is>
          <t>0                      ND 1280000S  25          1979</t>
        </is>
      </c>
      <c r="D60" t="inlineStr">
        <is>
          <t>Color exercises for the painter / by Lucia A. Salemme. Foreword by Alexander Calder.</t>
        </is>
      </c>
      <c r="F60" t="inlineStr">
        <is>
          <t>No</t>
        </is>
      </c>
      <c r="G60" t="inlineStr">
        <is>
          <t>1</t>
        </is>
      </c>
      <c r="H60" t="inlineStr">
        <is>
          <t>No</t>
        </is>
      </c>
      <c r="I60" t="inlineStr">
        <is>
          <t>No</t>
        </is>
      </c>
      <c r="J60" t="inlineStr">
        <is>
          <t>0</t>
        </is>
      </c>
      <c r="K60" t="inlineStr">
        <is>
          <t>Salemme, Lucia A.</t>
        </is>
      </c>
      <c r="L60" t="inlineStr">
        <is>
          <t>New York : Watson-Guptill Publications, [1979,c1970]</t>
        </is>
      </c>
      <c r="M60" t="inlineStr">
        <is>
          <t>1979</t>
        </is>
      </c>
      <c r="N60" t="inlineStr">
        <is>
          <t>1st paperback ed.</t>
        </is>
      </c>
      <c r="O60" t="inlineStr">
        <is>
          <t>eng</t>
        </is>
      </c>
      <c r="P60" t="inlineStr">
        <is>
          <t>nyu</t>
        </is>
      </c>
      <c r="R60" t="inlineStr">
        <is>
          <t xml:space="preserve">ND </t>
        </is>
      </c>
      <c r="S60" t="n">
        <v>13</v>
      </c>
      <c r="T60" t="n">
        <v>13</v>
      </c>
      <c r="U60" t="inlineStr">
        <is>
          <t>2006-08-31</t>
        </is>
      </c>
      <c r="V60" t="inlineStr">
        <is>
          <t>2006-08-31</t>
        </is>
      </c>
      <c r="W60" t="inlineStr">
        <is>
          <t>1993-09-30</t>
        </is>
      </c>
      <c r="X60" t="inlineStr">
        <is>
          <t>1993-09-30</t>
        </is>
      </c>
      <c r="Y60" t="n">
        <v>71</v>
      </c>
      <c r="Z60" t="n">
        <v>56</v>
      </c>
      <c r="AA60" t="n">
        <v>605</v>
      </c>
      <c r="AB60" t="n">
        <v>1</v>
      </c>
      <c r="AC60" t="n">
        <v>6</v>
      </c>
      <c r="AD60" t="n">
        <v>0</v>
      </c>
      <c r="AE60" t="n">
        <v>9</v>
      </c>
      <c r="AF60" t="n">
        <v>0</v>
      </c>
      <c r="AG60" t="n">
        <v>1</v>
      </c>
      <c r="AH60" t="n">
        <v>0</v>
      </c>
      <c r="AI60" t="n">
        <v>2</v>
      </c>
      <c r="AJ60" t="n">
        <v>0</v>
      </c>
      <c r="AK60" t="n">
        <v>2</v>
      </c>
      <c r="AL60" t="n">
        <v>0</v>
      </c>
      <c r="AM60" t="n">
        <v>4</v>
      </c>
      <c r="AN60" t="n">
        <v>0</v>
      </c>
      <c r="AO60" t="n">
        <v>0</v>
      </c>
      <c r="AP60" t="inlineStr">
        <is>
          <t>No</t>
        </is>
      </c>
      <c r="AQ60" t="inlineStr">
        <is>
          <t>No</t>
        </is>
      </c>
      <c r="AS60">
        <f>HYPERLINK("https://creighton-primo.hosted.exlibrisgroup.com/primo-explore/search?tab=default_tab&amp;search_scope=EVERYTHING&amp;vid=01CRU&amp;lang=en_US&amp;offset=0&amp;query=any,contains,991004891149702656","Catalog Record")</f>
        <v/>
      </c>
      <c r="AT60">
        <f>HYPERLINK("http://www.worldcat.org/oclc/5873366","WorldCat Record")</f>
        <v/>
      </c>
      <c r="AU60" t="inlineStr">
        <is>
          <t>1253502:eng</t>
        </is>
      </c>
      <c r="AV60" t="inlineStr">
        <is>
          <t>5873366</t>
        </is>
      </c>
      <c r="AW60" t="inlineStr">
        <is>
          <t>991004891149702656</t>
        </is>
      </c>
      <c r="AX60" t="inlineStr">
        <is>
          <t>991004891149702656</t>
        </is>
      </c>
      <c r="AY60" t="inlineStr">
        <is>
          <t>2268490010002656</t>
        </is>
      </c>
      <c r="AZ60" t="inlineStr">
        <is>
          <t>BOOK</t>
        </is>
      </c>
      <c r="BB60" t="inlineStr">
        <is>
          <t>9780823007264</t>
        </is>
      </c>
      <c r="BC60" t="inlineStr">
        <is>
          <t>32285001772143</t>
        </is>
      </c>
      <c r="BD60" t="inlineStr">
        <is>
          <t>893507342</t>
        </is>
      </c>
    </row>
    <row r="61">
      <c r="A61" t="inlineStr">
        <is>
          <t>No</t>
        </is>
      </c>
      <c r="B61" t="inlineStr">
        <is>
          <t>ND1290 .S27</t>
        </is>
      </c>
      <c r="C61" t="inlineStr">
        <is>
          <t>0                      ND 1290000S  27</t>
        </is>
      </c>
      <c r="D61" t="inlineStr">
        <is>
          <t>Richard Schmid paints the figure; advanced techniques in oil.</t>
        </is>
      </c>
      <c r="F61" t="inlineStr">
        <is>
          <t>No</t>
        </is>
      </c>
      <c r="G61" t="inlineStr">
        <is>
          <t>1</t>
        </is>
      </c>
      <c r="H61" t="inlineStr">
        <is>
          <t>No</t>
        </is>
      </c>
      <c r="I61" t="inlineStr">
        <is>
          <t>No</t>
        </is>
      </c>
      <c r="J61" t="inlineStr">
        <is>
          <t>0</t>
        </is>
      </c>
      <c r="K61" t="inlineStr">
        <is>
          <t>Schmid, Richard, 1934-</t>
        </is>
      </c>
      <c r="L61" t="inlineStr">
        <is>
          <t>New York, Watson-Guptill Publications [1973]</t>
        </is>
      </c>
      <c r="M61" t="inlineStr">
        <is>
          <t>1973</t>
        </is>
      </c>
      <c r="O61" t="inlineStr">
        <is>
          <t>eng</t>
        </is>
      </c>
      <c r="P61" t="inlineStr">
        <is>
          <t>nyu</t>
        </is>
      </c>
      <c r="R61" t="inlineStr">
        <is>
          <t xml:space="preserve">ND </t>
        </is>
      </c>
      <c r="S61" t="n">
        <v>6</v>
      </c>
      <c r="T61" t="n">
        <v>6</v>
      </c>
      <c r="U61" t="inlineStr">
        <is>
          <t>2002-09-23</t>
        </is>
      </c>
      <c r="V61" t="inlineStr">
        <is>
          <t>2002-09-23</t>
        </is>
      </c>
      <c r="W61" t="inlineStr">
        <is>
          <t>1993-05-28</t>
        </is>
      </c>
      <c r="X61" t="inlineStr">
        <is>
          <t>1993-05-28</t>
        </is>
      </c>
      <c r="Y61" t="n">
        <v>315</v>
      </c>
      <c r="Z61" t="n">
        <v>273</v>
      </c>
      <c r="AA61" t="n">
        <v>274</v>
      </c>
      <c r="AB61" t="n">
        <v>3</v>
      </c>
      <c r="AC61" t="n">
        <v>3</v>
      </c>
      <c r="AD61" t="n">
        <v>4</v>
      </c>
      <c r="AE61" t="n">
        <v>4</v>
      </c>
      <c r="AF61" t="n">
        <v>2</v>
      </c>
      <c r="AG61" t="n">
        <v>2</v>
      </c>
      <c r="AH61" t="n">
        <v>0</v>
      </c>
      <c r="AI61" t="n">
        <v>0</v>
      </c>
      <c r="AJ61" t="n">
        <v>1</v>
      </c>
      <c r="AK61" t="n">
        <v>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HYPERLINK("https://creighton-primo.hosted.exlibrisgroup.com/primo-explore/search?tab=default_tab&amp;search_scope=EVERYTHING&amp;vid=01CRU&amp;lang=en_US&amp;offset=0&amp;query=any,contains,991003049939702656","Catalog Record")</f>
        <v/>
      </c>
      <c r="AT61">
        <f>HYPERLINK("http://www.worldcat.org/oclc/609787","WorldCat Record")</f>
        <v/>
      </c>
      <c r="AU61" t="inlineStr">
        <is>
          <t>488410:eng</t>
        </is>
      </c>
      <c r="AV61" t="inlineStr">
        <is>
          <t>609787</t>
        </is>
      </c>
      <c r="AW61" t="inlineStr">
        <is>
          <t>991003049939702656</t>
        </is>
      </c>
      <c r="AX61" t="inlineStr">
        <is>
          <t>991003049939702656</t>
        </is>
      </c>
      <c r="AY61" t="inlineStr">
        <is>
          <t>2254855250002656</t>
        </is>
      </c>
      <c r="AZ61" t="inlineStr">
        <is>
          <t>BOOK</t>
        </is>
      </c>
      <c r="BB61" t="inlineStr">
        <is>
          <t>9780823048656</t>
        </is>
      </c>
      <c r="BC61" t="inlineStr">
        <is>
          <t>32285001693471</t>
        </is>
      </c>
      <c r="BD61" t="inlineStr">
        <is>
          <t>893323714</t>
        </is>
      </c>
    </row>
    <row r="62">
      <c r="A62" t="inlineStr">
        <is>
          <t>No</t>
        </is>
      </c>
      <c r="B62" t="inlineStr">
        <is>
          <t>ND1292 .T83 1979</t>
        </is>
      </c>
      <c r="C62" t="inlineStr">
        <is>
          <t>0                      ND 1292000T  83          1979</t>
        </is>
      </c>
      <c r="D62" t="inlineStr">
        <is>
          <t>20 figure painters and how they work : from the pages of American artist / edited by Susan E. Meyer.</t>
        </is>
      </c>
      <c r="F62" t="inlineStr">
        <is>
          <t>No</t>
        </is>
      </c>
      <c r="G62" t="inlineStr">
        <is>
          <t>1</t>
        </is>
      </c>
      <c r="H62" t="inlineStr">
        <is>
          <t>No</t>
        </is>
      </c>
      <c r="I62" t="inlineStr">
        <is>
          <t>No</t>
        </is>
      </c>
      <c r="J62" t="inlineStr">
        <is>
          <t>0</t>
        </is>
      </c>
      <c r="L62" t="inlineStr">
        <is>
          <t>New York : Watson-Guptill Publications, 1979.</t>
        </is>
      </c>
      <c r="M62" t="inlineStr">
        <is>
          <t>1979</t>
        </is>
      </c>
      <c r="O62" t="inlineStr">
        <is>
          <t>eng</t>
        </is>
      </c>
      <c r="P62" t="inlineStr">
        <is>
          <t>nyu</t>
        </is>
      </c>
      <c r="R62" t="inlineStr">
        <is>
          <t xml:space="preserve">ND </t>
        </is>
      </c>
      <c r="S62" t="n">
        <v>5</v>
      </c>
      <c r="T62" t="n">
        <v>5</v>
      </c>
      <c r="U62" t="inlineStr">
        <is>
          <t>1996-03-10</t>
        </is>
      </c>
      <c r="V62" t="inlineStr">
        <is>
          <t>1996-03-10</t>
        </is>
      </c>
      <c r="W62" t="inlineStr">
        <is>
          <t>1993-08-05</t>
        </is>
      </c>
      <c r="X62" t="inlineStr">
        <is>
          <t>1993-08-05</t>
        </is>
      </c>
      <c r="Y62" t="n">
        <v>432</v>
      </c>
      <c r="Z62" t="n">
        <v>399</v>
      </c>
      <c r="AA62" t="n">
        <v>406</v>
      </c>
      <c r="AB62" t="n">
        <v>6</v>
      </c>
      <c r="AC62" t="n">
        <v>6</v>
      </c>
      <c r="AD62" t="n">
        <v>7</v>
      </c>
      <c r="AE62" t="n">
        <v>7</v>
      </c>
      <c r="AF62" t="n">
        <v>3</v>
      </c>
      <c r="AG62" t="n">
        <v>3</v>
      </c>
      <c r="AH62" t="n">
        <v>1</v>
      </c>
      <c r="AI62" t="n">
        <v>1</v>
      </c>
      <c r="AJ62" t="n">
        <v>2</v>
      </c>
      <c r="AK62" t="n">
        <v>2</v>
      </c>
      <c r="AL62" t="n">
        <v>2</v>
      </c>
      <c r="AM62" t="n">
        <v>2</v>
      </c>
      <c r="AN62" t="n">
        <v>0</v>
      </c>
      <c r="AO62" t="n">
        <v>0</v>
      </c>
      <c r="AP62" t="inlineStr">
        <is>
          <t>No</t>
        </is>
      </c>
      <c r="AQ62" t="inlineStr">
        <is>
          <t>Yes</t>
        </is>
      </c>
      <c r="AR62">
        <f>HYPERLINK("http://catalog.hathitrust.org/Record/000256134","HathiTrust Record")</f>
        <v/>
      </c>
      <c r="AS62">
        <f>HYPERLINK("https://creighton-primo.hosted.exlibrisgroup.com/primo-explore/search?tab=default_tab&amp;search_scope=EVERYTHING&amp;vid=01CRU&amp;lang=en_US&amp;offset=0&amp;query=any,contains,991004654959702656","Catalog Record")</f>
        <v/>
      </c>
      <c r="AT62">
        <f>HYPERLINK("http://www.worldcat.org/oclc/4495033","WorldCat Record")</f>
        <v/>
      </c>
      <c r="AU62" t="inlineStr">
        <is>
          <t>836725347:eng</t>
        </is>
      </c>
      <c r="AV62" t="inlineStr">
        <is>
          <t>4495033</t>
        </is>
      </c>
      <c r="AW62" t="inlineStr">
        <is>
          <t>991004654959702656</t>
        </is>
      </c>
      <c r="AX62" t="inlineStr">
        <is>
          <t>991004654959702656</t>
        </is>
      </c>
      <c r="AY62" t="inlineStr">
        <is>
          <t>2268067720002656</t>
        </is>
      </c>
      <c r="AZ62" t="inlineStr">
        <is>
          <t>BOOK</t>
        </is>
      </c>
      <c r="BB62" t="inlineStr">
        <is>
          <t>9780823054893</t>
        </is>
      </c>
      <c r="BC62" t="inlineStr">
        <is>
          <t>32285001750958</t>
        </is>
      </c>
      <c r="BD62" t="inlineStr">
        <is>
          <t>893700497</t>
        </is>
      </c>
    </row>
    <row r="63">
      <c r="A63" t="inlineStr">
        <is>
          <t>No</t>
        </is>
      </c>
      <c r="B63" t="inlineStr">
        <is>
          <t>ND130.E8 S83 1963</t>
        </is>
      </c>
      <c r="C63" t="inlineStr">
        <is>
          <t>0                      ND 0130000E  8                  S  83          1963</t>
        </is>
      </c>
      <c r="D63" t="inlineStr">
        <is>
          <t>Roman and Etruscan painting / Arturo Stenico.</t>
        </is>
      </c>
      <c r="F63" t="inlineStr">
        <is>
          <t>No</t>
        </is>
      </c>
      <c r="G63" t="inlineStr">
        <is>
          <t>1</t>
        </is>
      </c>
      <c r="H63" t="inlineStr">
        <is>
          <t>No</t>
        </is>
      </c>
      <c r="I63" t="inlineStr">
        <is>
          <t>No</t>
        </is>
      </c>
      <c r="J63" t="inlineStr">
        <is>
          <t>0</t>
        </is>
      </c>
      <c r="K63" t="inlineStr">
        <is>
          <t>Stenico, Arturo.</t>
        </is>
      </c>
      <c r="L63" t="inlineStr">
        <is>
          <t>New York : Viking Press, [1963]</t>
        </is>
      </c>
      <c r="M63" t="inlineStr">
        <is>
          <t>1963</t>
        </is>
      </c>
      <c r="N63" t="inlineStr">
        <is>
          <t>Compas Books original ed.</t>
        </is>
      </c>
      <c r="O63" t="inlineStr">
        <is>
          <t>eng</t>
        </is>
      </c>
      <c r="P63" t="inlineStr">
        <is>
          <t>nyu</t>
        </is>
      </c>
      <c r="Q63" t="inlineStr">
        <is>
          <t>Compass books, CA2. Compass history of art</t>
        </is>
      </c>
      <c r="R63" t="inlineStr">
        <is>
          <t xml:space="preserve">ND </t>
        </is>
      </c>
      <c r="S63" t="n">
        <v>1</v>
      </c>
      <c r="T63" t="n">
        <v>1</v>
      </c>
      <c r="U63" t="inlineStr">
        <is>
          <t>2003-03-31</t>
        </is>
      </c>
      <c r="V63" t="inlineStr">
        <is>
          <t>2003-03-31</t>
        </is>
      </c>
      <c r="W63" t="inlineStr">
        <is>
          <t>2003-03-31</t>
        </is>
      </c>
      <c r="X63" t="inlineStr">
        <is>
          <t>2003-03-31</t>
        </is>
      </c>
      <c r="Y63" t="n">
        <v>402</v>
      </c>
      <c r="Z63" t="n">
        <v>384</v>
      </c>
      <c r="AA63" t="n">
        <v>442</v>
      </c>
      <c r="AB63" t="n">
        <v>3</v>
      </c>
      <c r="AC63" t="n">
        <v>3</v>
      </c>
      <c r="AD63" t="n">
        <v>18</v>
      </c>
      <c r="AE63" t="n">
        <v>19</v>
      </c>
      <c r="AF63" t="n">
        <v>7</v>
      </c>
      <c r="AG63" t="n">
        <v>8</v>
      </c>
      <c r="AH63" t="n">
        <v>4</v>
      </c>
      <c r="AI63" t="n">
        <v>4</v>
      </c>
      <c r="AJ63" t="n">
        <v>11</v>
      </c>
      <c r="AK63" t="n">
        <v>11</v>
      </c>
      <c r="AL63" t="n">
        <v>2</v>
      </c>
      <c r="AM63" t="n">
        <v>2</v>
      </c>
      <c r="AN63" t="n">
        <v>0</v>
      </c>
      <c r="AO63" t="n">
        <v>0</v>
      </c>
      <c r="AP63" t="inlineStr">
        <is>
          <t>No</t>
        </is>
      </c>
      <c r="AQ63" t="inlineStr">
        <is>
          <t>Yes</t>
        </is>
      </c>
      <c r="AR63">
        <f>HYPERLINK("http://catalog.hathitrust.org/Record/000345722","HathiTrust Record")</f>
        <v/>
      </c>
      <c r="AS63">
        <f>HYPERLINK("https://creighton-primo.hosted.exlibrisgroup.com/primo-explore/search?tab=default_tab&amp;search_scope=EVERYTHING&amp;vid=01CRU&amp;lang=en_US&amp;offset=0&amp;query=any,contains,991004034849702656","Catalog Record")</f>
        <v/>
      </c>
      <c r="AT63">
        <f>HYPERLINK("http://www.worldcat.org/oclc/551027","WorldCat Record")</f>
        <v/>
      </c>
      <c r="AU63" t="inlineStr">
        <is>
          <t>1518203:eng</t>
        </is>
      </c>
      <c r="AV63" t="inlineStr">
        <is>
          <t>551027</t>
        </is>
      </c>
      <c r="AW63" t="inlineStr">
        <is>
          <t>991004034849702656</t>
        </is>
      </c>
      <c r="AX63" t="inlineStr">
        <is>
          <t>991004034849702656</t>
        </is>
      </c>
      <c r="AY63" t="inlineStr">
        <is>
          <t>2257839180002656</t>
        </is>
      </c>
      <c r="AZ63" t="inlineStr">
        <is>
          <t>BOOK</t>
        </is>
      </c>
      <c r="BC63" t="inlineStr">
        <is>
          <t>32285004688288</t>
        </is>
      </c>
      <c r="BD63" t="inlineStr">
        <is>
          <t>893718387</t>
        </is>
      </c>
    </row>
    <row r="64">
      <c r="A64" t="inlineStr">
        <is>
          <t>No</t>
        </is>
      </c>
      <c r="B64" t="inlineStr">
        <is>
          <t>ND1302 .D39</t>
        </is>
      </c>
      <c r="C64" t="inlineStr">
        <is>
          <t>0                      ND 1302000D  39</t>
        </is>
      </c>
      <c r="D64" t="inlineStr">
        <is>
          <t>Painting portraits, nudes &amp; clothed figures / by Jan DeRuth.</t>
        </is>
      </c>
      <c r="F64" t="inlineStr">
        <is>
          <t>No</t>
        </is>
      </c>
      <c r="G64" t="inlineStr">
        <is>
          <t>1</t>
        </is>
      </c>
      <c r="H64" t="inlineStr">
        <is>
          <t>No</t>
        </is>
      </c>
      <c r="I64" t="inlineStr">
        <is>
          <t>No</t>
        </is>
      </c>
      <c r="J64" t="inlineStr">
        <is>
          <t>0</t>
        </is>
      </c>
      <c r="K64" t="inlineStr">
        <is>
          <t>De Ruth, Jan, 1922-1991.</t>
        </is>
      </c>
      <c r="L64" t="inlineStr">
        <is>
          <t>New York : Watson-Guptill, 1981.</t>
        </is>
      </c>
      <c r="M64" t="inlineStr">
        <is>
          <t>1981</t>
        </is>
      </c>
      <c r="O64" t="inlineStr">
        <is>
          <t>eng</t>
        </is>
      </c>
      <c r="P64" t="inlineStr">
        <is>
          <t>nyu</t>
        </is>
      </c>
      <c r="R64" t="inlineStr">
        <is>
          <t xml:space="preserve">ND </t>
        </is>
      </c>
      <c r="S64" t="n">
        <v>7</v>
      </c>
      <c r="T64" t="n">
        <v>7</v>
      </c>
      <c r="U64" t="inlineStr">
        <is>
          <t>2006-12-03</t>
        </is>
      </c>
      <c r="V64" t="inlineStr">
        <is>
          <t>2006-12-03</t>
        </is>
      </c>
      <c r="W64" t="inlineStr">
        <is>
          <t>1993-05-28</t>
        </is>
      </c>
      <c r="X64" t="inlineStr">
        <is>
          <t>1993-05-28</t>
        </is>
      </c>
      <c r="Y64" t="n">
        <v>301</v>
      </c>
      <c r="Z64" t="n">
        <v>267</v>
      </c>
      <c r="AA64" t="n">
        <v>268</v>
      </c>
      <c r="AB64" t="n">
        <v>2</v>
      </c>
      <c r="AC64" t="n">
        <v>2</v>
      </c>
      <c r="AD64" t="n">
        <v>3</v>
      </c>
      <c r="AE64" t="n">
        <v>3</v>
      </c>
      <c r="AF64" t="n">
        <v>0</v>
      </c>
      <c r="AG64" t="n">
        <v>0</v>
      </c>
      <c r="AH64" t="n">
        <v>1</v>
      </c>
      <c r="AI64" t="n">
        <v>1</v>
      </c>
      <c r="AJ64" t="n">
        <v>1</v>
      </c>
      <c r="AK64" t="n">
        <v>1</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HYPERLINK("https://creighton-primo.hosted.exlibrisgroup.com/primo-explore/search?tab=default_tab&amp;search_scope=EVERYTHING&amp;vid=01CRU&amp;lang=en_US&amp;offset=0&amp;query=any,contains,991005130659702656","Catalog Record")</f>
        <v/>
      </c>
      <c r="AT64">
        <f>HYPERLINK("http://www.worldcat.org/oclc/7572270","WorldCat Record")</f>
        <v/>
      </c>
      <c r="AU64" t="inlineStr">
        <is>
          <t>2838861125:eng</t>
        </is>
      </c>
      <c r="AV64" t="inlineStr">
        <is>
          <t>7572270</t>
        </is>
      </c>
      <c r="AW64" t="inlineStr">
        <is>
          <t>991005130659702656</t>
        </is>
      </c>
      <c r="AX64" t="inlineStr">
        <is>
          <t>991005130659702656</t>
        </is>
      </c>
      <c r="AY64" t="inlineStr">
        <is>
          <t>2269869730002656</t>
        </is>
      </c>
      <c r="AZ64" t="inlineStr">
        <is>
          <t>BOOK</t>
        </is>
      </c>
      <c r="BB64" t="inlineStr">
        <is>
          <t>9780823037285</t>
        </is>
      </c>
      <c r="BC64" t="inlineStr">
        <is>
          <t>32285001693505</t>
        </is>
      </c>
      <c r="BD64" t="inlineStr">
        <is>
          <t>893783061</t>
        </is>
      </c>
    </row>
    <row r="65">
      <c r="A65" t="inlineStr">
        <is>
          <t>No</t>
        </is>
      </c>
      <c r="B65" t="inlineStr">
        <is>
          <t>ND1308 .P6</t>
        </is>
      </c>
      <c r="C65" t="inlineStr">
        <is>
          <t>0                      ND 1308000P  6</t>
        </is>
      </c>
      <c r="D65" t="inlineStr">
        <is>
          <t>The portrait in the Renaissance / John Pope-Hennessy.</t>
        </is>
      </c>
      <c r="F65" t="inlineStr">
        <is>
          <t>No</t>
        </is>
      </c>
      <c r="G65" t="inlineStr">
        <is>
          <t>1</t>
        </is>
      </c>
      <c r="H65" t="inlineStr">
        <is>
          <t>No</t>
        </is>
      </c>
      <c r="I65" t="inlineStr">
        <is>
          <t>No</t>
        </is>
      </c>
      <c r="J65" t="inlineStr">
        <is>
          <t>0</t>
        </is>
      </c>
      <c r="K65" t="inlineStr">
        <is>
          <t>Pope-Hennessy, John Wyndham, Sir, 1913-1994.</t>
        </is>
      </c>
      <c r="L65" t="inlineStr">
        <is>
          <t>[New York : Bollingen Foundation : distributed by] Pantheon Books, [1966]</t>
        </is>
      </c>
      <c r="M65" t="inlineStr">
        <is>
          <t>1966</t>
        </is>
      </c>
      <c r="O65" t="inlineStr">
        <is>
          <t>eng</t>
        </is>
      </c>
      <c r="P65" t="inlineStr">
        <is>
          <t>nyu</t>
        </is>
      </c>
      <c r="Q65" t="inlineStr">
        <is>
          <t>Bollingen series, 35. The A.W. Mellon lectures in the fine arts, 12</t>
        </is>
      </c>
      <c r="R65" t="inlineStr">
        <is>
          <t xml:space="preserve">ND </t>
        </is>
      </c>
      <c r="S65" t="n">
        <v>1</v>
      </c>
      <c r="T65" t="n">
        <v>1</v>
      </c>
      <c r="U65" t="inlineStr">
        <is>
          <t>2003-12-07</t>
        </is>
      </c>
      <c r="V65" t="inlineStr">
        <is>
          <t>2003-12-07</t>
        </is>
      </c>
      <c r="W65" t="inlineStr">
        <is>
          <t>1997-08-05</t>
        </is>
      </c>
      <c r="X65" t="inlineStr">
        <is>
          <t>1997-08-05</t>
        </is>
      </c>
      <c r="Y65" t="n">
        <v>876</v>
      </c>
      <c r="Z65" t="n">
        <v>799</v>
      </c>
      <c r="AA65" t="n">
        <v>1057</v>
      </c>
      <c r="AB65" t="n">
        <v>4</v>
      </c>
      <c r="AC65" t="n">
        <v>6</v>
      </c>
      <c r="AD65" t="n">
        <v>39</v>
      </c>
      <c r="AE65" t="n">
        <v>50</v>
      </c>
      <c r="AF65" t="n">
        <v>17</v>
      </c>
      <c r="AG65" t="n">
        <v>25</v>
      </c>
      <c r="AH65" t="n">
        <v>9</v>
      </c>
      <c r="AI65" t="n">
        <v>11</v>
      </c>
      <c r="AJ65" t="n">
        <v>20</v>
      </c>
      <c r="AK65" t="n">
        <v>24</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HYPERLINK("https://creighton-primo.hosted.exlibrisgroup.com/primo-explore/search?tab=default_tab&amp;search_scope=EVERYTHING&amp;vid=01CRU&amp;lang=en_US&amp;offset=0&amp;query=any,contains,991004866889702656","Catalog Record")</f>
        <v/>
      </c>
      <c r="AT65">
        <f>HYPERLINK("http://www.worldcat.org/oclc/5729630","WorldCat Record")</f>
        <v/>
      </c>
      <c r="AU65" t="inlineStr">
        <is>
          <t>117950398:eng</t>
        </is>
      </c>
      <c r="AV65" t="inlineStr">
        <is>
          <t>5729630</t>
        </is>
      </c>
      <c r="AW65" t="inlineStr">
        <is>
          <t>991004866889702656</t>
        </is>
      </c>
      <c r="AX65" t="inlineStr">
        <is>
          <t>991004866889702656</t>
        </is>
      </c>
      <c r="AY65" t="inlineStr">
        <is>
          <t>2256199120002656</t>
        </is>
      </c>
      <c r="AZ65" t="inlineStr">
        <is>
          <t>BOOK</t>
        </is>
      </c>
      <c r="BC65" t="inlineStr">
        <is>
          <t>32285003045514</t>
        </is>
      </c>
      <c r="BD65" t="inlineStr">
        <is>
          <t>893430567</t>
        </is>
      </c>
    </row>
    <row r="66">
      <c r="A66" t="inlineStr">
        <is>
          <t>No</t>
        </is>
      </c>
      <c r="B66" t="inlineStr">
        <is>
          <t>ND1329.B63 A4 2004</t>
        </is>
      </c>
      <c r="C66" t="inlineStr">
        <is>
          <t>0                      ND 1329000B  63                 A  4           2004</t>
        </is>
      </c>
      <c r="D66" t="inlineStr">
        <is>
          <t>Gerard ter Borch / Arthur K. Wheelock Jr. ; with contributions by Alison McNeil Kettering, Arie Wallert, Marjorie E. Wieseman.</t>
        </is>
      </c>
      <c r="F66" t="inlineStr">
        <is>
          <t>No</t>
        </is>
      </c>
      <c r="G66" t="inlineStr">
        <is>
          <t>1</t>
        </is>
      </c>
      <c r="H66" t="inlineStr">
        <is>
          <t>No</t>
        </is>
      </c>
      <c r="I66" t="inlineStr">
        <is>
          <t>No</t>
        </is>
      </c>
      <c r="J66" t="inlineStr">
        <is>
          <t>0</t>
        </is>
      </c>
      <c r="K66" t="inlineStr">
        <is>
          <t>Wheelock, Arthur K., Jr., 1943-</t>
        </is>
      </c>
      <c r="L66" t="inlineStr">
        <is>
          <t>Washington, D.C. : National Gallery of Art ; New York : American Federation of Arts, in association with Yale University Press, New Haven and London, 2004.</t>
        </is>
      </c>
      <c r="M66" t="inlineStr">
        <is>
          <t>2004</t>
        </is>
      </c>
      <c r="O66" t="inlineStr">
        <is>
          <t>eng</t>
        </is>
      </c>
      <c r="P66" t="inlineStr">
        <is>
          <t>dcu</t>
        </is>
      </c>
      <c r="R66" t="inlineStr">
        <is>
          <t xml:space="preserve">ND </t>
        </is>
      </c>
      <c r="S66" t="n">
        <v>1</v>
      </c>
      <c r="T66" t="n">
        <v>1</v>
      </c>
      <c r="U66" t="inlineStr">
        <is>
          <t>2005-05-03</t>
        </is>
      </c>
      <c r="V66" t="inlineStr">
        <is>
          <t>2005-05-03</t>
        </is>
      </c>
      <c r="W66" t="inlineStr">
        <is>
          <t>2005-05-03</t>
        </is>
      </c>
      <c r="X66" t="inlineStr">
        <is>
          <t>2005-05-03</t>
        </is>
      </c>
      <c r="Y66" t="n">
        <v>635</v>
      </c>
      <c r="Z66" t="n">
        <v>544</v>
      </c>
      <c r="AA66" t="n">
        <v>548</v>
      </c>
      <c r="AB66" t="n">
        <v>2</v>
      </c>
      <c r="AC66" t="n">
        <v>2</v>
      </c>
      <c r="AD66" t="n">
        <v>22</v>
      </c>
      <c r="AE66" t="n">
        <v>22</v>
      </c>
      <c r="AF66" t="n">
        <v>11</v>
      </c>
      <c r="AG66" t="n">
        <v>11</v>
      </c>
      <c r="AH66" t="n">
        <v>7</v>
      </c>
      <c r="AI66" t="n">
        <v>7</v>
      </c>
      <c r="AJ66" t="n">
        <v>10</v>
      </c>
      <c r="AK66" t="n">
        <v>10</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HYPERLINK("https://creighton-primo.hosted.exlibrisgroup.com/primo-explore/search?tab=default_tab&amp;search_scope=EVERYTHING&amp;vid=01CRU&amp;lang=en_US&amp;offset=0&amp;query=any,contains,991004531109702656","Catalog Record")</f>
        <v/>
      </c>
      <c r="AT66">
        <f>HYPERLINK("http://www.worldcat.org/oclc/54974322","WorldCat Record")</f>
        <v/>
      </c>
      <c r="AU66" t="inlineStr">
        <is>
          <t>3177618:eng</t>
        </is>
      </c>
      <c r="AV66" t="inlineStr">
        <is>
          <t>54974322</t>
        </is>
      </c>
      <c r="AW66" t="inlineStr">
        <is>
          <t>991004531109702656</t>
        </is>
      </c>
      <c r="AX66" t="inlineStr">
        <is>
          <t>991004531109702656</t>
        </is>
      </c>
      <c r="AY66" t="inlineStr">
        <is>
          <t>2262450720002656</t>
        </is>
      </c>
      <c r="AZ66" t="inlineStr">
        <is>
          <t>BOOK</t>
        </is>
      </c>
      <c r="BB66" t="inlineStr">
        <is>
          <t>9780300106398</t>
        </is>
      </c>
      <c r="BC66" t="inlineStr">
        <is>
          <t>32285005034755</t>
        </is>
      </c>
      <c r="BD66" t="inlineStr">
        <is>
          <t>893788811</t>
        </is>
      </c>
    </row>
    <row r="67">
      <c r="A67" t="inlineStr">
        <is>
          <t>No</t>
        </is>
      </c>
      <c r="B67" t="inlineStr">
        <is>
          <t>ND1329.F74 A4 1989</t>
        </is>
      </c>
      <c r="C67" t="inlineStr">
        <is>
          <t>0                      ND 1329000F  74                 A  4           1989</t>
        </is>
      </c>
      <c r="D67" t="inlineStr">
        <is>
          <t>Lucian Freud paintings / Robert Hughes.</t>
        </is>
      </c>
      <c r="F67" t="inlineStr">
        <is>
          <t>No</t>
        </is>
      </c>
      <c r="G67" t="inlineStr">
        <is>
          <t>1</t>
        </is>
      </c>
      <c r="H67" t="inlineStr">
        <is>
          <t>No</t>
        </is>
      </c>
      <c r="I67" t="inlineStr">
        <is>
          <t>No</t>
        </is>
      </c>
      <c r="J67" t="inlineStr">
        <is>
          <t>0</t>
        </is>
      </c>
      <c r="K67" t="inlineStr">
        <is>
          <t>Hughes, Robert, 1938-2012.</t>
        </is>
      </c>
      <c r="L67" t="inlineStr">
        <is>
          <t>New York, N.Y. : Thames and Hudson, 1989.</t>
        </is>
      </c>
      <c r="M67" t="inlineStr">
        <is>
          <t>1989</t>
        </is>
      </c>
      <c r="N67" t="inlineStr">
        <is>
          <t>1st pbk. ed. (rev.).</t>
        </is>
      </c>
      <c r="O67" t="inlineStr">
        <is>
          <t>eng</t>
        </is>
      </c>
      <c r="P67" t="inlineStr">
        <is>
          <t>nyu</t>
        </is>
      </c>
      <c r="R67" t="inlineStr">
        <is>
          <t xml:space="preserve">ND </t>
        </is>
      </c>
      <c r="S67" t="n">
        <v>6</v>
      </c>
      <c r="T67" t="n">
        <v>6</v>
      </c>
      <c r="U67" t="inlineStr">
        <is>
          <t>2008-04-09</t>
        </is>
      </c>
      <c r="V67" t="inlineStr">
        <is>
          <t>2008-04-09</t>
        </is>
      </c>
      <c r="W67" t="inlineStr">
        <is>
          <t>1998-01-05</t>
        </is>
      </c>
      <c r="X67" t="inlineStr">
        <is>
          <t>1998-01-05</t>
        </is>
      </c>
      <c r="Y67" t="n">
        <v>511</v>
      </c>
      <c r="Z67" t="n">
        <v>398</v>
      </c>
      <c r="AA67" t="n">
        <v>401</v>
      </c>
      <c r="AB67" t="n">
        <v>2</v>
      </c>
      <c r="AC67" t="n">
        <v>2</v>
      </c>
      <c r="AD67" t="n">
        <v>14</v>
      </c>
      <c r="AE67" t="n">
        <v>14</v>
      </c>
      <c r="AF67" t="n">
        <v>8</v>
      </c>
      <c r="AG67" t="n">
        <v>8</v>
      </c>
      <c r="AH67" t="n">
        <v>1</v>
      </c>
      <c r="AI67" t="n">
        <v>1</v>
      </c>
      <c r="AJ67" t="n">
        <v>5</v>
      </c>
      <c r="AK67" t="n">
        <v>5</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HYPERLINK("https://creighton-primo.hosted.exlibrisgroup.com/primo-explore/search?tab=default_tab&amp;search_scope=EVERYTHING&amp;vid=01CRU&amp;lang=en_US&amp;offset=0&amp;query=any,contains,991001636479702656","Catalog Record")</f>
        <v/>
      </c>
      <c r="AT67">
        <f>HYPERLINK("http://www.worldcat.org/oclc/20976131","WorldCat Record")</f>
        <v/>
      </c>
      <c r="AU67" t="inlineStr">
        <is>
          <t>8907502287:eng</t>
        </is>
      </c>
      <c r="AV67" t="inlineStr">
        <is>
          <t>20976131</t>
        </is>
      </c>
      <c r="AW67" t="inlineStr">
        <is>
          <t>991001636479702656</t>
        </is>
      </c>
      <c r="AX67" t="inlineStr">
        <is>
          <t>991001636479702656</t>
        </is>
      </c>
      <c r="AY67" t="inlineStr">
        <is>
          <t>2268825180002656</t>
        </is>
      </c>
      <c r="AZ67" t="inlineStr">
        <is>
          <t>BOOK</t>
        </is>
      </c>
      <c r="BB67" t="inlineStr">
        <is>
          <t>9780500275351</t>
        </is>
      </c>
      <c r="BC67" t="inlineStr">
        <is>
          <t>32285003300992</t>
        </is>
      </c>
      <c r="BD67" t="inlineStr">
        <is>
          <t>893615243</t>
        </is>
      </c>
    </row>
    <row r="68">
      <c r="A68" t="inlineStr">
        <is>
          <t>No</t>
        </is>
      </c>
      <c r="B68" t="inlineStr">
        <is>
          <t>ND1329.M27 B7 1988</t>
        </is>
      </c>
      <c r="C68" t="inlineStr">
        <is>
          <t>0                      ND 1329000M  27                 B  7           1988</t>
        </is>
      </c>
      <c r="D68" t="inlineStr">
        <is>
          <t>The Infanta adventure and the lost Manet / Andrew W. Brainerd ; foreword by Albert Boime ; report by Walter C. McCrone.</t>
        </is>
      </c>
      <c r="F68" t="inlineStr">
        <is>
          <t>No</t>
        </is>
      </c>
      <c r="G68" t="inlineStr">
        <is>
          <t>1</t>
        </is>
      </c>
      <c r="H68" t="inlineStr">
        <is>
          <t>No</t>
        </is>
      </c>
      <c r="I68" t="inlineStr">
        <is>
          <t>No</t>
        </is>
      </c>
      <c r="J68" t="inlineStr">
        <is>
          <t>0</t>
        </is>
      </c>
      <c r="K68" t="inlineStr">
        <is>
          <t>Brainerd, Andrew W.</t>
        </is>
      </c>
      <c r="L68" t="inlineStr">
        <is>
          <t>Long Beach, Michigan City, Ind. : Reichl Press, c1988.</t>
        </is>
      </c>
      <c r="M68" t="inlineStr">
        <is>
          <t>1988</t>
        </is>
      </c>
      <c r="O68" t="inlineStr">
        <is>
          <t>eng</t>
        </is>
      </c>
      <c r="P68" t="inlineStr">
        <is>
          <t>inu</t>
        </is>
      </c>
      <c r="R68" t="inlineStr">
        <is>
          <t xml:space="preserve">ND </t>
        </is>
      </c>
      <c r="S68" t="n">
        <v>2</v>
      </c>
      <c r="T68" t="n">
        <v>2</v>
      </c>
      <c r="U68" t="inlineStr">
        <is>
          <t>1993-02-22</t>
        </is>
      </c>
      <c r="V68" t="inlineStr">
        <is>
          <t>1993-02-22</t>
        </is>
      </c>
      <c r="W68" t="inlineStr">
        <is>
          <t>1993-01-21</t>
        </is>
      </c>
      <c r="X68" t="inlineStr">
        <is>
          <t>1993-01-21</t>
        </is>
      </c>
      <c r="Y68" t="n">
        <v>331</v>
      </c>
      <c r="Z68" t="n">
        <v>279</v>
      </c>
      <c r="AA68" t="n">
        <v>289</v>
      </c>
      <c r="AB68" t="n">
        <v>5</v>
      </c>
      <c r="AC68" t="n">
        <v>5</v>
      </c>
      <c r="AD68" t="n">
        <v>13</v>
      </c>
      <c r="AE68" t="n">
        <v>13</v>
      </c>
      <c r="AF68" t="n">
        <v>2</v>
      </c>
      <c r="AG68" t="n">
        <v>2</v>
      </c>
      <c r="AH68" t="n">
        <v>4</v>
      </c>
      <c r="AI68" t="n">
        <v>4</v>
      </c>
      <c r="AJ68" t="n">
        <v>8</v>
      </c>
      <c r="AK68" t="n">
        <v>8</v>
      </c>
      <c r="AL68" t="n">
        <v>2</v>
      </c>
      <c r="AM68" t="n">
        <v>2</v>
      </c>
      <c r="AN68" t="n">
        <v>0</v>
      </c>
      <c r="AO68" t="n">
        <v>0</v>
      </c>
      <c r="AP68" t="inlineStr">
        <is>
          <t>No</t>
        </is>
      </c>
      <c r="AQ68" t="inlineStr">
        <is>
          <t>Yes</t>
        </is>
      </c>
      <c r="AR68">
        <f>HYPERLINK("http://catalog.hathitrust.org/Record/001539904","HathiTrust Record")</f>
        <v/>
      </c>
      <c r="AS68">
        <f>HYPERLINK("https://creighton-primo.hosted.exlibrisgroup.com/primo-explore/search?tab=default_tab&amp;search_scope=EVERYTHING&amp;vid=01CRU&amp;lang=en_US&amp;offset=0&amp;query=any,contains,991001236399702656","Catalog Record")</f>
        <v/>
      </c>
      <c r="AT68">
        <f>HYPERLINK("http://www.worldcat.org/oclc/17551206","WorldCat Record")</f>
        <v/>
      </c>
      <c r="AU68" t="inlineStr">
        <is>
          <t>15400609:eng</t>
        </is>
      </c>
      <c r="AV68" t="inlineStr">
        <is>
          <t>17551206</t>
        </is>
      </c>
      <c r="AW68" t="inlineStr">
        <is>
          <t>991001236399702656</t>
        </is>
      </c>
      <c r="AX68" t="inlineStr">
        <is>
          <t>991001236399702656</t>
        </is>
      </c>
      <c r="AY68" t="inlineStr">
        <is>
          <t>2260747010002656</t>
        </is>
      </c>
      <c r="AZ68" t="inlineStr">
        <is>
          <t>BOOK</t>
        </is>
      </c>
      <c r="BB68" t="inlineStr">
        <is>
          <t>9780961879310</t>
        </is>
      </c>
      <c r="BC68" t="inlineStr">
        <is>
          <t>32285001447738</t>
        </is>
      </c>
      <c r="BD68" t="inlineStr">
        <is>
          <t>893891419</t>
        </is>
      </c>
    </row>
    <row r="69">
      <c r="A69" t="inlineStr">
        <is>
          <t>No</t>
        </is>
      </c>
      <c r="B69" t="inlineStr">
        <is>
          <t>ND1329.N36 H54 1983</t>
        </is>
      </c>
      <c r="C69" t="inlineStr">
        <is>
          <t>0                      ND 1329000N  36                 H  54          1983</t>
        </is>
      </c>
      <c r="D69" t="inlineStr">
        <is>
          <t>Alice Neel / Patricia Hills.</t>
        </is>
      </c>
      <c r="F69" t="inlineStr">
        <is>
          <t>No</t>
        </is>
      </c>
      <c r="G69" t="inlineStr">
        <is>
          <t>1</t>
        </is>
      </c>
      <c r="H69" t="inlineStr">
        <is>
          <t>No</t>
        </is>
      </c>
      <c r="I69" t="inlineStr">
        <is>
          <t>No</t>
        </is>
      </c>
      <c r="J69" t="inlineStr">
        <is>
          <t>0</t>
        </is>
      </c>
      <c r="K69" t="inlineStr">
        <is>
          <t>Hills, Patricia.</t>
        </is>
      </c>
      <c r="L69" t="inlineStr">
        <is>
          <t>New York : H.N. Abrams, 1983.</t>
        </is>
      </c>
      <c r="M69" t="inlineStr">
        <is>
          <t>1983</t>
        </is>
      </c>
      <c r="O69" t="inlineStr">
        <is>
          <t>eng</t>
        </is>
      </c>
      <c r="P69" t="inlineStr">
        <is>
          <t>nyu</t>
        </is>
      </c>
      <c r="R69" t="inlineStr">
        <is>
          <t xml:space="preserve">ND </t>
        </is>
      </c>
      <c r="S69" t="n">
        <v>8</v>
      </c>
      <c r="T69" t="n">
        <v>8</v>
      </c>
      <c r="U69" t="inlineStr">
        <is>
          <t>2005-11-09</t>
        </is>
      </c>
      <c r="V69" t="inlineStr">
        <is>
          <t>2005-11-09</t>
        </is>
      </c>
      <c r="W69" t="inlineStr">
        <is>
          <t>1993-05-24</t>
        </is>
      </c>
      <c r="X69" t="inlineStr">
        <is>
          <t>1993-05-24</t>
        </is>
      </c>
      <c r="Y69" t="n">
        <v>971</v>
      </c>
      <c r="Z69" t="n">
        <v>870</v>
      </c>
      <c r="AA69" t="n">
        <v>872</v>
      </c>
      <c r="AB69" t="n">
        <v>9</v>
      </c>
      <c r="AC69" t="n">
        <v>9</v>
      </c>
      <c r="AD69" t="n">
        <v>31</v>
      </c>
      <c r="AE69" t="n">
        <v>31</v>
      </c>
      <c r="AF69" t="n">
        <v>17</v>
      </c>
      <c r="AG69" t="n">
        <v>17</v>
      </c>
      <c r="AH69" t="n">
        <v>6</v>
      </c>
      <c r="AI69" t="n">
        <v>6</v>
      </c>
      <c r="AJ69" t="n">
        <v>11</v>
      </c>
      <c r="AK69" t="n">
        <v>11</v>
      </c>
      <c r="AL69" t="n">
        <v>6</v>
      </c>
      <c r="AM69" t="n">
        <v>6</v>
      </c>
      <c r="AN69" t="n">
        <v>0</v>
      </c>
      <c r="AO69" t="n">
        <v>0</v>
      </c>
      <c r="AP69" t="inlineStr">
        <is>
          <t>No</t>
        </is>
      </c>
      <c r="AQ69" t="inlineStr">
        <is>
          <t>Yes</t>
        </is>
      </c>
      <c r="AR69">
        <f>HYPERLINK("http://catalog.hathitrust.org/Record/000283974","HathiTrust Record")</f>
        <v/>
      </c>
      <c r="AS69">
        <f>HYPERLINK("https://creighton-primo.hosted.exlibrisgroup.com/primo-explore/search?tab=default_tab&amp;search_scope=EVERYTHING&amp;vid=01CRU&amp;lang=en_US&amp;offset=0&amp;query=any,contains,991000149789702656","Catalog Record")</f>
        <v/>
      </c>
      <c r="AT69">
        <f>HYPERLINK("http://www.worldcat.org/oclc/9197653","WorldCat Record")</f>
        <v/>
      </c>
      <c r="AU69" t="inlineStr">
        <is>
          <t>2070224757:eng</t>
        </is>
      </c>
      <c r="AV69" t="inlineStr">
        <is>
          <t>9197653</t>
        </is>
      </c>
      <c r="AW69" t="inlineStr">
        <is>
          <t>991000149789702656</t>
        </is>
      </c>
      <c r="AX69" t="inlineStr">
        <is>
          <t>991000149789702656</t>
        </is>
      </c>
      <c r="AY69" t="inlineStr">
        <is>
          <t>2265753680002656</t>
        </is>
      </c>
      <c r="AZ69" t="inlineStr">
        <is>
          <t>BOOK</t>
        </is>
      </c>
      <c r="BB69" t="inlineStr">
        <is>
          <t>9780810913585</t>
        </is>
      </c>
      <c r="BC69" t="inlineStr">
        <is>
          <t>32285001692176</t>
        </is>
      </c>
      <c r="BD69" t="inlineStr">
        <is>
          <t>893320859</t>
        </is>
      </c>
    </row>
    <row r="70">
      <c r="A70" t="inlineStr">
        <is>
          <t>No</t>
        </is>
      </c>
      <c r="B70" t="inlineStr">
        <is>
          <t>ND1329.R36 A4 1997</t>
        </is>
      </c>
      <c r="C70" t="inlineStr">
        <is>
          <t>0                      ND 1329000R  36                 A  4           1997</t>
        </is>
      </c>
      <c r="D70" t="inlineStr">
        <is>
          <t>Renoir's portraits : impressions of an age / Colin B. Bailey ; with the assistance of John B. Collins ; essays by Colin B. Bailey, Linda Nochlin, and Anne Distel.</t>
        </is>
      </c>
      <c r="F70" t="inlineStr">
        <is>
          <t>No</t>
        </is>
      </c>
      <c r="G70" t="inlineStr">
        <is>
          <t>1</t>
        </is>
      </c>
      <c r="H70" t="inlineStr">
        <is>
          <t>No</t>
        </is>
      </c>
      <c r="I70" t="inlineStr">
        <is>
          <t>No</t>
        </is>
      </c>
      <c r="J70" t="inlineStr">
        <is>
          <t>0</t>
        </is>
      </c>
      <c r="K70" t="inlineStr">
        <is>
          <t>Bailey, Colin B.</t>
        </is>
      </c>
      <c r="L70" t="inlineStr">
        <is>
          <t>New Haven : Yale University Press, c1997.</t>
        </is>
      </c>
      <c r="M70" t="inlineStr">
        <is>
          <t>1997</t>
        </is>
      </c>
      <c r="O70" t="inlineStr">
        <is>
          <t>eng</t>
        </is>
      </c>
      <c r="P70" t="inlineStr">
        <is>
          <t>ctu</t>
        </is>
      </c>
      <c r="R70" t="inlineStr">
        <is>
          <t xml:space="preserve">ND </t>
        </is>
      </c>
      <c r="S70" t="n">
        <v>2</v>
      </c>
      <c r="T70" t="n">
        <v>2</v>
      </c>
      <c r="U70" t="inlineStr">
        <is>
          <t>2002-09-03</t>
        </is>
      </c>
      <c r="V70" t="inlineStr">
        <is>
          <t>2002-09-03</t>
        </is>
      </c>
      <c r="W70" t="inlineStr">
        <is>
          <t>1999-03-31</t>
        </is>
      </c>
      <c r="X70" t="inlineStr">
        <is>
          <t>1999-03-31</t>
        </is>
      </c>
      <c r="Y70" t="n">
        <v>815</v>
      </c>
      <c r="Z70" t="n">
        <v>709</v>
      </c>
      <c r="AA70" t="n">
        <v>808</v>
      </c>
      <c r="AB70" t="n">
        <v>4</v>
      </c>
      <c r="AC70" t="n">
        <v>5</v>
      </c>
      <c r="AD70" t="n">
        <v>22</v>
      </c>
      <c r="AE70" t="n">
        <v>26</v>
      </c>
      <c r="AF70" t="n">
        <v>7</v>
      </c>
      <c r="AG70" t="n">
        <v>10</v>
      </c>
      <c r="AH70" t="n">
        <v>6</v>
      </c>
      <c r="AI70" t="n">
        <v>7</v>
      </c>
      <c r="AJ70" t="n">
        <v>12</v>
      </c>
      <c r="AK70" t="n">
        <v>13</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HYPERLINK("https://creighton-primo.hosted.exlibrisgroup.com/primo-explore/search?tab=default_tab&amp;search_scope=EVERYTHING&amp;vid=01CRU&amp;lang=en_US&amp;offset=0&amp;query=any,contains,991002825759702656","Catalog Record")</f>
        <v/>
      </c>
      <c r="AT70">
        <f>HYPERLINK("http://www.worldcat.org/oclc/37208933","WorldCat Record")</f>
        <v/>
      </c>
      <c r="AU70" t="inlineStr">
        <is>
          <t>836977114:eng</t>
        </is>
      </c>
      <c r="AV70" t="inlineStr">
        <is>
          <t>37208933</t>
        </is>
      </c>
      <c r="AW70" t="inlineStr">
        <is>
          <t>991002825759702656</t>
        </is>
      </c>
      <c r="AX70" t="inlineStr">
        <is>
          <t>991002825759702656</t>
        </is>
      </c>
      <c r="AY70" t="inlineStr">
        <is>
          <t>2263343590002656</t>
        </is>
      </c>
      <c r="AZ70" t="inlineStr">
        <is>
          <t>BOOK</t>
        </is>
      </c>
      <c r="BB70" t="inlineStr">
        <is>
          <t>9780300071337</t>
        </is>
      </c>
      <c r="BC70" t="inlineStr">
        <is>
          <t>32285003548244</t>
        </is>
      </c>
      <c r="BD70" t="inlineStr">
        <is>
          <t>893899290</t>
        </is>
      </c>
    </row>
    <row r="71">
      <c r="A71" t="inlineStr">
        <is>
          <t>No</t>
        </is>
      </c>
      <c r="B71" t="inlineStr">
        <is>
          <t>ND1329.S34 C65</t>
        </is>
      </c>
      <c r="C71" t="inlineStr">
        <is>
          <t>0                      ND 1329000S  34                 C  65</t>
        </is>
      </c>
      <c r="D71" t="inlineStr">
        <is>
          <t>Egon Schiele's portraits / Alessandra Comini.</t>
        </is>
      </c>
      <c r="F71" t="inlineStr">
        <is>
          <t>No</t>
        </is>
      </c>
      <c r="G71" t="inlineStr">
        <is>
          <t>1</t>
        </is>
      </c>
      <c r="H71" t="inlineStr">
        <is>
          <t>No</t>
        </is>
      </c>
      <c r="I71" t="inlineStr">
        <is>
          <t>No</t>
        </is>
      </c>
      <c r="J71" t="inlineStr">
        <is>
          <t>0</t>
        </is>
      </c>
      <c r="K71" t="inlineStr">
        <is>
          <t>Comini, Alessandra.</t>
        </is>
      </c>
      <c r="L71" t="inlineStr">
        <is>
          <t>Berkeley : University of California Press, c1974.</t>
        </is>
      </c>
      <c r="M71" t="inlineStr">
        <is>
          <t>1974</t>
        </is>
      </c>
      <c r="O71" t="inlineStr">
        <is>
          <t>eng</t>
        </is>
      </c>
      <c r="P71" t="inlineStr">
        <is>
          <t>cau</t>
        </is>
      </c>
      <c r="Q71" t="inlineStr">
        <is>
          <t>California studies in the history of art ; 17</t>
        </is>
      </c>
      <c r="R71" t="inlineStr">
        <is>
          <t xml:space="preserve">ND </t>
        </is>
      </c>
      <c r="S71" t="n">
        <v>8</v>
      </c>
      <c r="T71" t="n">
        <v>8</v>
      </c>
      <c r="U71" t="inlineStr">
        <is>
          <t>1999-03-02</t>
        </is>
      </c>
      <c r="V71" t="inlineStr">
        <is>
          <t>1999-03-02</t>
        </is>
      </c>
      <c r="W71" t="inlineStr">
        <is>
          <t>1993-08-12</t>
        </is>
      </c>
      <c r="X71" t="inlineStr">
        <is>
          <t>1993-08-12</t>
        </is>
      </c>
      <c r="Y71" t="n">
        <v>618</v>
      </c>
      <c r="Z71" t="n">
        <v>514</v>
      </c>
      <c r="AA71" t="n">
        <v>518</v>
      </c>
      <c r="AB71" t="n">
        <v>2</v>
      </c>
      <c r="AC71" t="n">
        <v>2</v>
      </c>
      <c r="AD71" t="n">
        <v>12</v>
      </c>
      <c r="AE71" t="n">
        <v>12</v>
      </c>
      <c r="AF71" t="n">
        <v>3</v>
      </c>
      <c r="AG71" t="n">
        <v>3</v>
      </c>
      <c r="AH71" t="n">
        <v>4</v>
      </c>
      <c r="AI71" t="n">
        <v>4</v>
      </c>
      <c r="AJ71" t="n">
        <v>7</v>
      </c>
      <c r="AK71" t="n">
        <v>7</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HYPERLINK("https://creighton-primo.hosted.exlibrisgroup.com/primo-explore/search?tab=default_tab&amp;search_scope=EVERYTHING&amp;vid=01CRU&amp;lang=en_US&amp;offset=0&amp;query=any,contains,991003637289702656","Catalog Record")</f>
        <v/>
      </c>
      <c r="AT71">
        <f>HYPERLINK("http://www.worldcat.org/oclc/1231114","WorldCat Record")</f>
        <v/>
      </c>
      <c r="AU71" t="inlineStr">
        <is>
          <t>3855300388:eng</t>
        </is>
      </c>
      <c r="AV71" t="inlineStr">
        <is>
          <t>1231114</t>
        </is>
      </c>
      <c r="AW71" t="inlineStr">
        <is>
          <t>991003637289702656</t>
        </is>
      </c>
      <c r="AX71" t="inlineStr">
        <is>
          <t>991003637289702656</t>
        </is>
      </c>
      <c r="AY71" t="inlineStr">
        <is>
          <t>2261349900002656</t>
        </is>
      </c>
      <c r="AZ71" t="inlineStr">
        <is>
          <t>BOOK</t>
        </is>
      </c>
      <c r="BB71" t="inlineStr">
        <is>
          <t>9780520017269</t>
        </is>
      </c>
      <c r="BC71" t="inlineStr">
        <is>
          <t>32285001754182</t>
        </is>
      </c>
      <c r="BD71" t="inlineStr">
        <is>
          <t>893774982</t>
        </is>
      </c>
    </row>
    <row r="72">
      <c r="A72" t="inlineStr">
        <is>
          <t>No</t>
        </is>
      </c>
      <c r="B72" t="inlineStr">
        <is>
          <t>ND1329.V53 S54 1996</t>
        </is>
      </c>
      <c r="C72" t="inlineStr">
        <is>
          <t>0                      ND 1329000V  53                 S  54          1996</t>
        </is>
      </c>
      <c r="D72" t="inlineStr">
        <is>
          <t>The exceptional woman : Elisabeth Vigée-Lebrun and the cultural politics of art / Mary D. Sheriff.</t>
        </is>
      </c>
      <c r="F72" t="inlineStr">
        <is>
          <t>No</t>
        </is>
      </c>
      <c r="G72" t="inlineStr">
        <is>
          <t>1</t>
        </is>
      </c>
      <c r="H72" t="inlineStr">
        <is>
          <t>No</t>
        </is>
      </c>
      <c r="I72" t="inlineStr">
        <is>
          <t>No</t>
        </is>
      </c>
      <c r="J72" t="inlineStr">
        <is>
          <t>0</t>
        </is>
      </c>
      <c r="K72" t="inlineStr">
        <is>
          <t>Sheriff, Mary D.</t>
        </is>
      </c>
      <c r="L72" t="inlineStr">
        <is>
          <t>Chicago : University of Chicago Press, 1996.</t>
        </is>
      </c>
      <c r="M72" t="inlineStr">
        <is>
          <t>1996</t>
        </is>
      </c>
      <c r="O72" t="inlineStr">
        <is>
          <t>eng</t>
        </is>
      </c>
      <c r="P72" t="inlineStr">
        <is>
          <t>ilu</t>
        </is>
      </c>
      <c r="R72" t="inlineStr">
        <is>
          <t xml:space="preserve">ND </t>
        </is>
      </c>
      <c r="S72" t="n">
        <v>1</v>
      </c>
      <c r="T72" t="n">
        <v>1</v>
      </c>
      <c r="U72" t="inlineStr">
        <is>
          <t>2005-10-21</t>
        </is>
      </c>
      <c r="V72" t="inlineStr">
        <is>
          <t>2005-10-21</t>
        </is>
      </c>
      <c r="W72" t="inlineStr">
        <is>
          <t>1997-10-07</t>
        </is>
      </c>
      <c r="X72" t="inlineStr">
        <is>
          <t>1997-10-07</t>
        </is>
      </c>
      <c r="Y72" t="n">
        <v>804</v>
      </c>
      <c r="Z72" t="n">
        <v>662</v>
      </c>
      <c r="AA72" t="n">
        <v>719</v>
      </c>
      <c r="AB72" t="n">
        <v>7</v>
      </c>
      <c r="AC72" t="n">
        <v>7</v>
      </c>
      <c r="AD72" t="n">
        <v>35</v>
      </c>
      <c r="AE72" t="n">
        <v>36</v>
      </c>
      <c r="AF72" t="n">
        <v>15</v>
      </c>
      <c r="AG72" t="n">
        <v>16</v>
      </c>
      <c r="AH72" t="n">
        <v>9</v>
      </c>
      <c r="AI72" t="n">
        <v>9</v>
      </c>
      <c r="AJ72" t="n">
        <v>15</v>
      </c>
      <c r="AK72" t="n">
        <v>15</v>
      </c>
      <c r="AL72" t="n">
        <v>5</v>
      </c>
      <c r="AM72" t="n">
        <v>5</v>
      </c>
      <c r="AN72" t="n">
        <v>0</v>
      </c>
      <c r="AO72" t="n">
        <v>0</v>
      </c>
      <c r="AP72" t="inlineStr">
        <is>
          <t>No</t>
        </is>
      </c>
      <c r="AQ72" t="inlineStr">
        <is>
          <t>No</t>
        </is>
      </c>
      <c r="AS72">
        <f>HYPERLINK("https://creighton-primo.hosted.exlibrisgroup.com/primo-explore/search?tab=default_tab&amp;search_scope=EVERYTHING&amp;vid=01CRU&amp;lang=en_US&amp;offset=0&amp;query=any,contains,991002492139702656","Catalog Record")</f>
        <v/>
      </c>
      <c r="AT72">
        <f>HYPERLINK("http://www.worldcat.org/oclc/32430153","WorldCat Record")</f>
        <v/>
      </c>
      <c r="AU72" t="inlineStr">
        <is>
          <t>602044:eng</t>
        </is>
      </c>
      <c r="AV72" t="inlineStr">
        <is>
          <t>32430153</t>
        </is>
      </c>
      <c r="AW72" t="inlineStr">
        <is>
          <t>991002492139702656</t>
        </is>
      </c>
      <c r="AX72" t="inlineStr">
        <is>
          <t>991002492139702656</t>
        </is>
      </c>
      <c r="AY72" t="inlineStr">
        <is>
          <t>2256689380002656</t>
        </is>
      </c>
      <c r="AZ72" t="inlineStr">
        <is>
          <t>BOOK</t>
        </is>
      </c>
      <c r="BB72" t="inlineStr">
        <is>
          <t>9780226752754</t>
        </is>
      </c>
      <c r="BC72" t="inlineStr">
        <is>
          <t>32285003253399</t>
        </is>
      </c>
      <c r="BD72" t="inlineStr">
        <is>
          <t>893710358</t>
        </is>
      </c>
    </row>
    <row r="73">
      <c r="A73" t="inlineStr">
        <is>
          <t>No</t>
        </is>
      </c>
      <c r="B73" t="inlineStr">
        <is>
          <t>ND1342 .C46 1987</t>
        </is>
      </c>
      <c r="C73" t="inlineStr">
        <is>
          <t>0                      ND 1342000C  46          1987</t>
        </is>
      </c>
      <c r="D73" t="inlineStr">
        <is>
          <t>Landscape illusion / Daniel Chard ; foreword by John Arthur.</t>
        </is>
      </c>
      <c r="F73" t="inlineStr">
        <is>
          <t>No</t>
        </is>
      </c>
      <c r="G73" t="inlineStr">
        <is>
          <t>1</t>
        </is>
      </c>
      <c r="H73" t="inlineStr">
        <is>
          <t>No</t>
        </is>
      </c>
      <c r="I73" t="inlineStr">
        <is>
          <t>No</t>
        </is>
      </c>
      <c r="J73" t="inlineStr">
        <is>
          <t>0</t>
        </is>
      </c>
      <c r="K73" t="inlineStr">
        <is>
          <t>Chard, Daniel, 1938-</t>
        </is>
      </c>
      <c r="L73" t="inlineStr">
        <is>
          <t>New York : Watson-Guptill Publications, 1987.</t>
        </is>
      </c>
      <c r="M73" t="inlineStr">
        <is>
          <t>1987</t>
        </is>
      </c>
      <c r="O73" t="inlineStr">
        <is>
          <t>eng</t>
        </is>
      </c>
      <c r="P73" t="inlineStr">
        <is>
          <t>nyu</t>
        </is>
      </c>
      <c r="R73" t="inlineStr">
        <is>
          <t xml:space="preserve">ND </t>
        </is>
      </c>
      <c r="S73" t="n">
        <v>1</v>
      </c>
      <c r="T73" t="n">
        <v>1</v>
      </c>
      <c r="U73" t="inlineStr">
        <is>
          <t>2005-09-19</t>
        </is>
      </c>
      <c r="V73" t="inlineStr">
        <is>
          <t>2005-09-19</t>
        </is>
      </c>
      <c r="W73" t="inlineStr">
        <is>
          <t>1990-08-16</t>
        </is>
      </c>
      <c r="X73" t="inlineStr">
        <is>
          <t>1990-08-16</t>
        </is>
      </c>
      <c r="Y73" t="n">
        <v>308</v>
      </c>
      <c r="Z73" t="n">
        <v>251</v>
      </c>
      <c r="AA73" t="n">
        <v>285</v>
      </c>
      <c r="AB73" t="n">
        <v>3</v>
      </c>
      <c r="AC73" t="n">
        <v>4</v>
      </c>
      <c r="AD73" t="n">
        <v>4</v>
      </c>
      <c r="AE73" t="n">
        <v>5</v>
      </c>
      <c r="AF73" t="n">
        <v>2</v>
      </c>
      <c r="AG73" t="n">
        <v>2</v>
      </c>
      <c r="AH73" t="n">
        <v>1</v>
      </c>
      <c r="AI73" t="n">
        <v>1</v>
      </c>
      <c r="AJ73" t="n">
        <v>1</v>
      </c>
      <c r="AK73" t="n">
        <v>1</v>
      </c>
      <c r="AL73" t="n">
        <v>1</v>
      </c>
      <c r="AM73" t="n">
        <v>2</v>
      </c>
      <c r="AN73" t="n">
        <v>0</v>
      </c>
      <c r="AO73" t="n">
        <v>0</v>
      </c>
      <c r="AP73" t="inlineStr">
        <is>
          <t>No</t>
        </is>
      </c>
      <c r="AQ73" t="inlineStr">
        <is>
          <t>Yes</t>
        </is>
      </c>
      <c r="AR73">
        <f>HYPERLINK("http://catalog.hathitrust.org/Record/009441259","HathiTrust Record")</f>
        <v/>
      </c>
      <c r="AS73">
        <f>HYPERLINK("https://creighton-primo.hosted.exlibrisgroup.com/primo-explore/search?tab=default_tab&amp;search_scope=EVERYTHING&amp;vid=01CRU&amp;lang=en_US&amp;offset=0&amp;query=any,contains,991001006599702656","Catalog Record")</f>
        <v/>
      </c>
      <c r="AT73">
        <f>HYPERLINK("http://www.worldcat.org/oclc/15251665","WorldCat Record")</f>
        <v/>
      </c>
      <c r="AU73" t="inlineStr">
        <is>
          <t>356232:eng</t>
        </is>
      </c>
      <c r="AV73" t="inlineStr">
        <is>
          <t>15251665</t>
        </is>
      </c>
      <c r="AW73" t="inlineStr">
        <is>
          <t>991001006599702656</t>
        </is>
      </c>
      <c r="AX73" t="inlineStr">
        <is>
          <t>991001006599702656</t>
        </is>
      </c>
      <c r="AY73" t="inlineStr">
        <is>
          <t>2255185040002656</t>
        </is>
      </c>
      <c r="AZ73" t="inlineStr">
        <is>
          <t>BOOK</t>
        </is>
      </c>
      <c r="BB73" t="inlineStr">
        <is>
          <t>9780823025961</t>
        </is>
      </c>
      <c r="BC73" t="inlineStr">
        <is>
          <t>32285000290162</t>
        </is>
      </c>
      <c r="BD73" t="inlineStr">
        <is>
          <t>893432513</t>
        </is>
      </c>
    </row>
    <row r="74">
      <c r="A74" t="inlineStr">
        <is>
          <t>No</t>
        </is>
      </c>
      <c r="B74" t="inlineStr">
        <is>
          <t>ND1342 .L44 1984</t>
        </is>
      </c>
      <c r="C74" t="inlineStr">
        <is>
          <t>0                      ND 1342000L  44          1984</t>
        </is>
      </c>
      <c r="D74" t="inlineStr">
        <is>
          <t>Painting the landscape / by Elizabeth Leonard.</t>
        </is>
      </c>
      <c r="F74" t="inlineStr">
        <is>
          <t>No</t>
        </is>
      </c>
      <c r="G74" t="inlineStr">
        <is>
          <t>1</t>
        </is>
      </c>
      <c r="H74" t="inlineStr">
        <is>
          <t>No</t>
        </is>
      </c>
      <c r="I74" t="inlineStr">
        <is>
          <t>No</t>
        </is>
      </c>
      <c r="J74" t="inlineStr">
        <is>
          <t>0</t>
        </is>
      </c>
      <c r="K74" t="inlineStr">
        <is>
          <t>Leonard, Elizabeth.</t>
        </is>
      </c>
      <c r="L74" t="inlineStr">
        <is>
          <t>New York : Watson-Guptill, 1984.</t>
        </is>
      </c>
      <c r="M74" t="inlineStr">
        <is>
          <t>1984</t>
        </is>
      </c>
      <c r="O74" t="inlineStr">
        <is>
          <t>eng</t>
        </is>
      </c>
      <c r="P74" t="inlineStr">
        <is>
          <t>nyu</t>
        </is>
      </c>
      <c r="R74" t="inlineStr">
        <is>
          <t xml:space="preserve">ND </t>
        </is>
      </c>
      <c r="S74" t="n">
        <v>3</v>
      </c>
      <c r="T74" t="n">
        <v>3</v>
      </c>
      <c r="U74" t="inlineStr">
        <is>
          <t>2005-09-19</t>
        </is>
      </c>
      <c r="V74" t="inlineStr">
        <is>
          <t>2005-09-19</t>
        </is>
      </c>
      <c r="W74" t="inlineStr">
        <is>
          <t>1990-08-13</t>
        </is>
      </c>
      <c r="X74" t="inlineStr">
        <is>
          <t>1990-08-13</t>
        </is>
      </c>
      <c r="Y74" t="n">
        <v>287</v>
      </c>
      <c r="Z74" t="n">
        <v>269</v>
      </c>
      <c r="AA74" t="n">
        <v>276</v>
      </c>
      <c r="AB74" t="n">
        <v>3</v>
      </c>
      <c r="AC74" t="n">
        <v>3</v>
      </c>
      <c r="AD74" t="n">
        <v>2</v>
      </c>
      <c r="AE74" t="n">
        <v>2</v>
      </c>
      <c r="AF74" t="n">
        <v>1</v>
      </c>
      <c r="AG74" t="n">
        <v>1</v>
      </c>
      <c r="AH74" t="n">
        <v>0</v>
      </c>
      <c r="AI74" t="n">
        <v>0</v>
      </c>
      <c r="AJ74" t="n">
        <v>0</v>
      </c>
      <c r="AK74" t="n">
        <v>0</v>
      </c>
      <c r="AL74" t="n">
        <v>1</v>
      </c>
      <c r="AM74" t="n">
        <v>1</v>
      </c>
      <c r="AN74" t="n">
        <v>0</v>
      </c>
      <c r="AO74" t="n">
        <v>0</v>
      </c>
      <c r="AP74" t="inlineStr">
        <is>
          <t>No</t>
        </is>
      </c>
      <c r="AQ74" t="inlineStr">
        <is>
          <t>Yes</t>
        </is>
      </c>
      <c r="AR74">
        <f>HYPERLINK("http://catalog.hathitrust.org/Record/008544068","HathiTrust Record")</f>
        <v/>
      </c>
      <c r="AS74">
        <f>HYPERLINK("https://creighton-primo.hosted.exlibrisgroup.com/primo-explore/search?tab=default_tab&amp;search_scope=EVERYTHING&amp;vid=01CRU&amp;lang=en_US&amp;offset=0&amp;query=any,contains,991000471559702656","Catalog Record")</f>
        <v/>
      </c>
      <c r="AT74">
        <f>HYPERLINK("http://www.worldcat.org/oclc/10997970","WorldCat Record")</f>
        <v/>
      </c>
      <c r="AU74" t="inlineStr">
        <is>
          <t>3559605:eng</t>
        </is>
      </c>
      <c r="AV74" t="inlineStr">
        <is>
          <t>10997970</t>
        </is>
      </c>
      <c r="AW74" t="inlineStr">
        <is>
          <t>991000471559702656</t>
        </is>
      </c>
      <c r="AX74" t="inlineStr">
        <is>
          <t>991000471559702656</t>
        </is>
      </c>
      <c r="AY74" t="inlineStr">
        <is>
          <t>2258418470002656</t>
        </is>
      </c>
      <c r="AZ74" t="inlineStr">
        <is>
          <t>BOOK</t>
        </is>
      </c>
      <c r="BB74" t="inlineStr">
        <is>
          <t>9780823036554</t>
        </is>
      </c>
      <c r="BC74" t="inlineStr">
        <is>
          <t>32285000273184</t>
        </is>
      </c>
      <c r="BD74" t="inlineStr">
        <is>
          <t>893890715</t>
        </is>
      </c>
    </row>
    <row r="75">
      <c r="A75" t="inlineStr">
        <is>
          <t>No</t>
        </is>
      </c>
      <c r="B75" t="inlineStr">
        <is>
          <t>ND1342 .S35 1975</t>
        </is>
      </c>
      <c r="C75" t="inlineStr">
        <is>
          <t>0                      ND 1342000S  35          1975</t>
        </is>
      </c>
      <c r="D75" t="inlineStr">
        <is>
          <t>Richard Schmid paints landscapes / by Richard Schmid.</t>
        </is>
      </c>
      <c r="F75" t="inlineStr">
        <is>
          <t>No</t>
        </is>
      </c>
      <c r="G75" t="inlineStr">
        <is>
          <t>1</t>
        </is>
      </c>
      <c r="H75" t="inlineStr">
        <is>
          <t>No</t>
        </is>
      </c>
      <c r="I75" t="inlineStr">
        <is>
          <t>No</t>
        </is>
      </c>
      <c r="J75" t="inlineStr">
        <is>
          <t>0</t>
        </is>
      </c>
      <c r="K75" t="inlineStr">
        <is>
          <t>Schmid, Richard, 1934-</t>
        </is>
      </c>
      <c r="L75" t="inlineStr">
        <is>
          <t>New York : Watson-Guptill Publications, 1975.</t>
        </is>
      </c>
      <c r="M75" t="inlineStr">
        <is>
          <t>1975</t>
        </is>
      </c>
      <c r="O75" t="inlineStr">
        <is>
          <t>eng</t>
        </is>
      </c>
      <c r="P75" t="inlineStr">
        <is>
          <t>nyu</t>
        </is>
      </c>
      <c r="R75" t="inlineStr">
        <is>
          <t xml:space="preserve">ND </t>
        </is>
      </c>
      <c r="S75" t="n">
        <v>2</v>
      </c>
      <c r="T75" t="n">
        <v>2</v>
      </c>
      <c r="U75" t="inlineStr">
        <is>
          <t>2003-01-28</t>
        </is>
      </c>
      <c r="V75" t="inlineStr">
        <is>
          <t>2003-01-28</t>
        </is>
      </c>
      <c r="W75" t="inlineStr">
        <is>
          <t>1990-08-13</t>
        </is>
      </c>
      <c r="X75" t="inlineStr">
        <is>
          <t>1990-08-13</t>
        </is>
      </c>
      <c r="Y75" t="n">
        <v>351</v>
      </c>
      <c r="Z75" t="n">
        <v>323</v>
      </c>
      <c r="AA75" t="n">
        <v>330</v>
      </c>
      <c r="AB75" t="n">
        <v>2</v>
      </c>
      <c r="AC75" t="n">
        <v>2</v>
      </c>
      <c r="AD75" t="n">
        <v>4</v>
      </c>
      <c r="AE75" t="n">
        <v>4</v>
      </c>
      <c r="AF75" t="n">
        <v>2</v>
      </c>
      <c r="AG75" t="n">
        <v>2</v>
      </c>
      <c r="AH75" t="n">
        <v>2</v>
      </c>
      <c r="AI75" t="n">
        <v>2</v>
      </c>
      <c r="AJ75" t="n">
        <v>0</v>
      </c>
      <c r="AK75" t="n">
        <v>0</v>
      </c>
      <c r="AL75" t="n">
        <v>0</v>
      </c>
      <c r="AM75" t="n">
        <v>0</v>
      </c>
      <c r="AN75" t="n">
        <v>0</v>
      </c>
      <c r="AO75" t="n">
        <v>0</v>
      </c>
      <c r="AP75" t="inlineStr">
        <is>
          <t>No</t>
        </is>
      </c>
      <c r="AQ75" t="inlineStr">
        <is>
          <t>Yes</t>
        </is>
      </c>
      <c r="AR75">
        <f>HYPERLINK("http://catalog.hathitrust.org/Record/008544146","HathiTrust Record")</f>
        <v/>
      </c>
      <c r="AS75">
        <f>HYPERLINK("https://creighton-primo.hosted.exlibrisgroup.com/primo-explore/search?tab=default_tab&amp;search_scope=EVERYTHING&amp;vid=01CRU&amp;lang=en_US&amp;offset=0&amp;query=any,contains,991003505409702656","Catalog Record")</f>
        <v/>
      </c>
      <c r="AT75">
        <f>HYPERLINK("http://www.worldcat.org/oclc/1056877","WorldCat Record")</f>
        <v/>
      </c>
      <c r="AU75" t="inlineStr">
        <is>
          <t>1984979:eng</t>
        </is>
      </c>
      <c r="AV75" t="inlineStr">
        <is>
          <t>1056877</t>
        </is>
      </c>
      <c r="AW75" t="inlineStr">
        <is>
          <t>991003505409702656</t>
        </is>
      </c>
      <c r="AX75" t="inlineStr">
        <is>
          <t>991003505409702656</t>
        </is>
      </c>
      <c r="AY75" t="inlineStr">
        <is>
          <t>2271988400002656</t>
        </is>
      </c>
      <c r="AZ75" t="inlineStr">
        <is>
          <t>BOOK</t>
        </is>
      </c>
      <c r="BB75" t="inlineStr">
        <is>
          <t>9780823048625</t>
        </is>
      </c>
      <c r="BC75" t="inlineStr">
        <is>
          <t>32285000273192</t>
        </is>
      </c>
      <c r="BD75" t="inlineStr">
        <is>
          <t>893887537</t>
        </is>
      </c>
    </row>
    <row r="76">
      <c r="A76" t="inlineStr">
        <is>
          <t>No</t>
        </is>
      </c>
      <c r="B76" t="inlineStr">
        <is>
          <t>ND1351.5 .A52 1984</t>
        </is>
      </c>
      <c r="C76" t="inlineStr">
        <is>
          <t>0                      ND 1351500A  52          1984</t>
        </is>
      </c>
      <c r="D76" t="inlineStr">
        <is>
          <t>The course of empire : the Erie Canal and the New York landscape, 1825-1875 : June 16-August 12, 1984, Memorial Art Gallery of the University of Rochester, Rochester, New York : exhibition and catalogue / by Patricia Anderson.</t>
        </is>
      </c>
      <c r="F76" t="inlineStr">
        <is>
          <t>No</t>
        </is>
      </c>
      <c r="G76" t="inlineStr">
        <is>
          <t>1</t>
        </is>
      </c>
      <c r="H76" t="inlineStr">
        <is>
          <t>No</t>
        </is>
      </c>
      <c r="I76" t="inlineStr">
        <is>
          <t>No</t>
        </is>
      </c>
      <c r="J76" t="inlineStr">
        <is>
          <t>0</t>
        </is>
      </c>
      <c r="K76" t="inlineStr">
        <is>
          <t>Anderson, Patricia A.</t>
        </is>
      </c>
      <c r="L76" t="inlineStr">
        <is>
          <t>Rochester, N.Y. : The Gallery, c1984.</t>
        </is>
      </c>
      <c r="M76" t="inlineStr">
        <is>
          <t>1984</t>
        </is>
      </c>
      <c r="O76" t="inlineStr">
        <is>
          <t>eng</t>
        </is>
      </c>
      <c r="P76" t="inlineStr">
        <is>
          <t>nyu</t>
        </is>
      </c>
      <c r="R76" t="inlineStr">
        <is>
          <t xml:space="preserve">ND </t>
        </is>
      </c>
      <c r="S76" t="n">
        <v>3</v>
      </c>
      <c r="T76" t="n">
        <v>3</v>
      </c>
      <c r="U76" t="inlineStr">
        <is>
          <t>1993-10-04</t>
        </is>
      </c>
      <c r="V76" t="inlineStr">
        <is>
          <t>1993-10-04</t>
        </is>
      </c>
      <c r="W76" t="inlineStr">
        <is>
          <t>1993-05-28</t>
        </is>
      </c>
      <c r="X76" t="inlineStr">
        <is>
          <t>1993-05-28</t>
        </is>
      </c>
      <c r="Y76" t="n">
        <v>189</v>
      </c>
      <c r="Z76" t="n">
        <v>188</v>
      </c>
      <c r="AA76" t="n">
        <v>188</v>
      </c>
      <c r="AB76" t="n">
        <v>3</v>
      </c>
      <c r="AC76" t="n">
        <v>3</v>
      </c>
      <c r="AD76" t="n">
        <v>5</v>
      </c>
      <c r="AE76" t="n">
        <v>5</v>
      </c>
      <c r="AF76" t="n">
        <v>3</v>
      </c>
      <c r="AG76" t="n">
        <v>3</v>
      </c>
      <c r="AH76" t="n">
        <v>0</v>
      </c>
      <c r="AI76" t="n">
        <v>0</v>
      </c>
      <c r="AJ76" t="n">
        <v>3</v>
      </c>
      <c r="AK76" t="n">
        <v>3</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HYPERLINK("https://creighton-primo.hosted.exlibrisgroup.com/primo-explore/search?tab=default_tab&amp;search_scope=EVERYTHING&amp;vid=01CRU&amp;lang=en_US&amp;offset=0&amp;query=any,contains,991000451269702656","Catalog Record")</f>
        <v/>
      </c>
      <c r="AT76">
        <f>HYPERLINK("http://www.worldcat.org/oclc/10885198","WorldCat Record")</f>
        <v/>
      </c>
      <c r="AU76" t="inlineStr">
        <is>
          <t>8907129335:eng</t>
        </is>
      </c>
      <c r="AV76" t="inlineStr">
        <is>
          <t>10885198</t>
        </is>
      </c>
      <c r="AW76" t="inlineStr">
        <is>
          <t>991000451269702656</t>
        </is>
      </c>
      <c r="AX76" t="inlineStr">
        <is>
          <t>991000451269702656</t>
        </is>
      </c>
      <c r="AY76" t="inlineStr">
        <is>
          <t>2255170050002656</t>
        </is>
      </c>
      <c r="AZ76" t="inlineStr">
        <is>
          <t>BOOK</t>
        </is>
      </c>
      <c r="BB76" t="inlineStr">
        <is>
          <t>9780918098177</t>
        </is>
      </c>
      <c r="BC76" t="inlineStr">
        <is>
          <t>32285001693604</t>
        </is>
      </c>
      <c r="BD76" t="inlineStr">
        <is>
          <t>893502489</t>
        </is>
      </c>
    </row>
    <row r="77">
      <c r="A77" t="inlineStr">
        <is>
          <t>No</t>
        </is>
      </c>
      <c r="B77" t="inlineStr">
        <is>
          <t>ND1351.5 .G8</t>
        </is>
      </c>
      <c r="C77" t="inlineStr">
        <is>
          <t>0                      ND 1351500G  8</t>
        </is>
      </c>
      <c r="D77" t="inlineStr">
        <is>
          <t>A sense of place : the artist and the American land / with an introd. by Richard Wilbur. Foreword by David R. Brower.</t>
        </is>
      </c>
      <c r="F77" t="inlineStr">
        <is>
          <t>No</t>
        </is>
      </c>
      <c r="G77" t="inlineStr">
        <is>
          <t>1</t>
        </is>
      </c>
      <c r="H77" t="inlineStr">
        <is>
          <t>No</t>
        </is>
      </c>
      <c r="I77" t="inlineStr">
        <is>
          <t>No</t>
        </is>
      </c>
      <c r="J77" t="inlineStr">
        <is>
          <t>0</t>
        </is>
      </c>
      <c r="K77" t="inlineStr">
        <is>
          <t>Gussow, Alan, 1931-1997.</t>
        </is>
      </c>
      <c r="L77" t="inlineStr">
        <is>
          <t>San Francisco : Friends of the Earth, [1972]</t>
        </is>
      </c>
      <c r="M77" t="inlineStr">
        <is>
          <t>1972</t>
        </is>
      </c>
      <c r="O77" t="inlineStr">
        <is>
          <t>eng</t>
        </is>
      </c>
      <c r="P77" t="inlineStr">
        <is>
          <t xml:space="preserve">xx </t>
        </is>
      </c>
      <c r="Q77" t="inlineStr">
        <is>
          <t>The Earth's wild places, 6</t>
        </is>
      </c>
      <c r="R77" t="inlineStr">
        <is>
          <t xml:space="preserve">ND </t>
        </is>
      </c>
      <c r="S77" t="n">
        <v>7</v>
      </c>
      <c r="T77" t="n">
        <v>7</v>
      </c>
      <c r="U77" t="inlineStr">
        <is>
          <t>1999-09-07</t>
        </is>
      </c>
      <c r="V77" t="inlineStr">
        <is>
          <t>1999-09-07</t>
        </is>
      </c>
      <c r="W77" t="inlineStr">
        <is>
          <t>1991-01-22</t>
        </is>
      </c>
      <c r="X77" t="inlineStr">
        <is>
          <t>1991-01-22</t>
        </is>
      </c>
      <c r="Y77" t="n">
        <v>643</v>
      </c>
      <c r="Z77" t="n">
        <v>617</v>
      </c>
      <c r="AA77" t="n">
        <v>979</v>
      </c>
      <c r="AB77" t="n">
        <v>7</v>
      </c>
      <c r="AC77" t="n">
        <v>9</v>
      </c>
      <c r="AD77" t="n">
        <v>16</v>
      </c>
      <c r="AE77" t="n">
        <v>25</v>
      </c>
      <c r="AF77" t="n">
        <v>8</v>
      </c>
      <c r="AG77" t="n">
        <v>11</v>
      </c>
      <c r="AH77" t="n">
        <v>0</v>
      </c>
      <c r="AI77" t="n">
        <v>2</v>
      </c>
      <c r="AJ77" t="n">
        <v>9</v>
      </c>
      <c r="AK77" t="n">
        <v>12</v>
      </c>
      <c r="AL77" t="n">
        <v>3</v>
      </c>
      <c r="AM77" t="n">
        <v>4</v>
      </c>
      <c r="AN77" t="n">
        <v>0</v>
      </c>
      <c r="AO77" t="n">
        <v>0</v>
      </c>
      <c r="AP77" t="inlineStr">
        <is>
          <t>No</t>
        </is>
      </c>
      <c r="AQ77" t="inlineStr">
        <is>
          <t>Yes</t>
        </is>
      </c>
      <c r="AR77">
        <f>HYPERLINK("http://catalog.hathitrust.org/Record/000377253","HathiTrust Record")</f>
        <v/>
      </c>
      <c r="AS77">
        <f>HYPERLINK("https://creighton-primo.hosted.exlibrisgroup.com/primo-explore/search?tab=default_tab&amp;search_scope=EVERYTHING&amp;vid=01CRU&amp;lang=en_US&amp;offset=0&amp;query=any,contains,991004167199702656","Catalog Record")</f>
        <v/>
      </c>
      <c r="AT77">
        <f>HYPERLINK("http://www.worldcat.org/oclc/2570801","WorldCat Record")</f>
        <v/>
      </c>
      <c r="AU77" t="inlineStr">
        <is>
          <t>5091002000:eng</t>
        </is>
      </c>
      <c r="AV77" t="inlineStr">
        <is>
          <t>2570801</t>
        </is>
      </c>
      <c r="AW77" t="inlineStr">
        <is>
          <t>991004167199702656</t>
        </is>
      </c>
      <c r="AX77" t="inlineStr">
        <is>
          <t>991004167199702656</t>
        </is>
      </c>
      <c r="AY77" t="inlineStr">
        <is>
          <t>2262251580002656</t>
        </is>
      </c>
      <c r="AZ77" t="inlineStr">
        <is>
          <t>BOOK</t>
        </is>
      </c>
      <c r="BC77" t="inlineStr">
        <is>
          <t>32285000430750</t>
        </is>
      </c>
      <c r="BD77" t="inlineStr">
        <is>
          <t>893699937</t>
        </is>
      </c>
    </row>
    <row r="78">
      <c r="A78" t="inlineStr">
        <is>
          <t>No</t>
        </is>
      </c>
      <c r="B78" t="inlineStr">
        <is>
          <t>ND1351.6 .A78 1989</t>
        </is>
      </c>
      <c r="C78" t="inlineStr">
        <is>
          <t>0                      ND 1351600A  78          1989</t>
        </is>
      </c>
      <c r="D78" t="inlineStr">
        <is>
          <t>Spirit of place : contemporary landscape painting &amp; the American tradition / John Arthur.</t>
        </is>
      </c>
      <c r="F78" t="inlineStr">
        <is>
          <t>No</t>
        </is>
      </c>
      <c r="G78" t="inlineStr">
        <is>
          <t>1</t>
        </is>
      </c>
      <c r="H78" t="inlineStr">
        <is>
          <t>No</t>
        </is>
      </c>
      <c r="I78" t="inlineStr">
        <is>
          <t>No</t>
        </is>
      </c>
      <c r="J78" t="inlineStr">
        <is>
          <t>0</t>
        </is>
      </c>
      <c r="K78" t="inlineStr">
        <is>
          <t>Arthur, John, 1939-</t>
        </is>
      </c>
      <c r="L78" t="inlineStr">
        <is>
          <t>Boston : Bulfinch Press, c1989.</t>
        </is>
      </c>
      <c r="M78" t="inlineStr">
        <is>
          <t>1989</t>
        </is>
      </c>
      <c r="N78" t="inlineStr">
        <is>
          <t>1st ed.</t>
        </is>
      </c>
      <c r="O78" t="inlineStr">
        <is>
          <t>eng</t>
        </is>
      </c>
      <c r="P78" t="inlineStr">
        <is>
          <t>mau</t>
        </is>
      </c>
      <c r="R78" t="inlineStr">
        <is>
          <t xml:space="preserve">ND </t>
        </is>
      </c>
      <c r="S78" t="n">
        <v>3</v>
      </c>
      <c r="T78" t="n">
        <v>3</v>
      </c>
      <c r="U78" t="inlineStr">
        <is>
          <t>1993-10-07</t>
        </is>
      </c>
      <c r="V78" t="inlineStr">
        <is>
          <t>1993-10-07</t>
        </is>
      </c>
      <c r="W78" t="inlineStr">
        <is>
          <t>1991-05-17</t>
        </is>
      </c>
      <c r="X78" t="inlineStr">
        <is>
          <t>1991-05-17</t>
        </is>
      </c>
      <c r="Y78" t="n">
        <v>696</v>
      </c>
      <c r="Z78" t="n">
        <v>633</v>
      </c>
      <c r="AA78" t="n">
        <v>633</v>
      </c>
      <c r="AB78" t="n">
        <v>6</v>
      </c>
      <c r="AC78" t="n">
        <v>6</v>
      </c>
      <c r="AD78" t="n">
        <v>20</v>
      </c>
      <c r="AE78" t="n">
        <v>20</v>
      </c>
      <c r="AF78" t="n">
        <v>8</v>
      </c>
      <c r="AG78" t="n">
        <v>8</v>
      </c>
      <c r="AH78" t="n">
        <v>5</v>
      </c>
      <c r="AI78" t="n">
        <v>5</v>
      </c>
      <c r="AJ78" t="n">
        <v>8</v>
      </c>
      <c r="AK78" t="n">
        <v>8</v>
      </c>
      <c r="AL78" t="n">
        <v>4</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HYPERLINK("https://creighton-primo.hosted.exlibrisgroup.com/primo-explore/search?tab=default_tab&amp;search_scope=EVERYTHING&amp;vid=01CRU&amp;lang=en_US&amp;offset=0&amp;query=any,contains,991001443529702656","Catalog Record")</f>
        <v/>
      </c>
      <c r="AT78">
        <f>HYPERLINK("http://www.worldcat.org/oclc/19266196","WorldCat Record")</f>
        <v/>
      </c>
      <c r="AU78" t="inlineStr">
        <is>
          <t>152287874:eng</t>
        </is>
      </c>
      <c r="AV78" t="inlineStr">
        <is>
          <t>19266196</t>
        </is>
      </c>
      <c r="AW78" t="inlineStr">
        <is>
          <t>991001443529702656</t>
        </is>
      </c>
      <c r="AX78" t="inlineStr">
        <is>
          <t>991001443529702656</t>
        </is>
      </c>
      <c r="AY78" t="inlineStr">
        <is>
          <t>2264492480002656</t>
        </is>
      </c>
      <c r="AZ78" t="inlineStr">
        <is>
          <t>BOOK</t>
        </is>
      </c>
      <c r="BB78" t="inlineStr">
        <is>
          <t>9780821217078</t>
        </is>
      </c>
      <c r="BC78" t="inlineStr">
        <is>
          <t>32285000574136</t>
        </is>
      </c>
      <c r="BD78" t="inlineStr">
        <is>
          <t>893885296</t>
        </is>
      </c>
    </row>
    <row r="79">
      <c r="A79" t="inlineStr">
        <is>
          <t>No</t>
        </is>
      </c>
      <c r="B79" t="inlineStr">
        <is>
          <t>ND1351.6 .E97 1988</t>
        </is>
      </c>
      <c r="C79" t="inlineStr">
        <is>
          <t>0                      ND 1351600E  97          1988</t>
        </is>
      </c>
      <c r="D79" t="inlineStr">
        <is>
          <t>The Expressionist landscape : North American modernist painting, 1920-1947 / organized by Ruth Stevens Appelhof, with the assistance Cumbee Wilson ; with essays by Ruth Stevens Appelhof, Barbara Haskell, Jeffrey R. Hayes.</t>
        </is>
      </c>
      <c r="F79" t="inlineStr">
        <is>
          <t>No</t>
        </is>
      </c>
      <c r="G79" t="inlineStr">
        <is>
          <t>1</t>
        </is>
      </c>
      <c r="H79" t="inlineStr">
        <is>
          <t>No</t>
        </is>
      </c>
      <c r="I79" t="inlineStr">
        <is>
          <t>No</t>
        </is>
      </c>
      <c r="J79" t="inlineStr">
        <is>
          <t>0</t>
        </is>
      </c>
      <c r="L79" t="inlineStr">
        <is>
          <t>Birmingham, Ala. : Birmingham Museum of Art ; Seattle : Distributed by the University of Washington Press, 1988, c1987.</t>
        </is>
      </c>
      <c r="M79" t="inlineStr">
        <is>
          <t>1988</t>
        </is>
      </c>
      <c r="O79" t="inlineStr">
        <is>
          <t>eng</t>
        </is>
      </c>
      <c r="P79" t="inlineStr">
        <is>
          <t>alu</t>
        </is>
      </c>
      <c r="R79" t="inlineStr">
        <is>
          <t xml:space="preserve">ND </t>
        </is>
      </c>
      <c r="S79" t="n">
        <v>0</v>
      </c>
      <c r="T79" t="n">
        <v>0</v>
      </c>
      <c r="U79" t="inlineStr">
        <is>
          <t>2006-05-15</t>
        </is>
      </c>
      <c r="V79" t="inlineStr">
        <is>
          <t>2006-05-15</t>
        </is>
      </c>
      <c r="W79" t="inlineStr">
        <is>
          <t>1993-05-28</t>
        </is>
      </c>
      <c r="X79" t="inlineStr">
        <is>
          <t>1993-05-28</t>
        </is>
      </c>
      <c r="Y79" t="n">
        <v>344</v>
      </c>
      <c r="Z79" t="n">
        <v>309</v>
      </c>
      <c r="AA79" t="n">
        <v>311</v>
      </c>
      <c r="AB79" t="n">
        <v>3</v>
      </c>
      <c r="AC79" t="n">
        <v>3</v>
      </c>
      <c r="AD79" t="n">
        <v>9</v>
      </c>
      <c r="AE79" t="n">
        <v>9</v>
      </c>
      <c r="AF79" t="n">
        <v>7</v>
      </c>
      <c r="AG79" t="n">
        <v>7</v>
      </c>
      <c r="AH79" t="n">
        <v>1</v>
      </c>
      <c r="AI79" t="n">
        <v>1</v>
      </c>
      <c r="AJ79" t="n">
        <v>3</v>
      </c>
      <c r="AK79" t="n">
        <v>3</v>
      </c>
      <c r="AL79" t="n">
        <v>1</v>
      </c>
      <c r="AM79" t="n">
        <v>1</v>
      </c>
      <c r="AN79" t="n">
        <v>0</v>
      </c>
      <c r="AO79" t="n">
        <v>0</v>
      </c>
      <c r="AP79" t="inlineStr">
        <is>
          <t>No</t>
        </is>
      </c>
      <c r="AQ79" t="inlineStr">
        <is>
          <t>Yes</t>
        </is>
      </c>
      <c r="AR79">
        <f>HYPERLINK("http://catalog.hathitrust.org/Record/000951344","HathiTrust Record")</f>
        <v/>
      </c>
      <c r="AS79">
        <f>HYPERLINK("https://creighton-primo.hosted.exlibrisgroup.com/primo-explore/search?tab=default_tab&amp;search_scope=EVERYTHING&amp;vid=01CRU&amp;lang=en_US&amp;offset=0&amp;query=any,contains,991001190999702656","Catalog Record")</f>
        <v/>
      </c>
      <c r="AT79">
        <f>HYPERLINK("http://www.worldcat.org/oclc/17258490","WorldCat Record")</f>
        <v/>
      </c>
      <c r="AU79" t="inlineStr">
        <is>
          <t>374800641:eng</t>
        </is>
      </c>
      <c r="AV79" t="inlineStr">
        <is>
          <t>17258490</t>
        </is>
      </c>
      <c r="AW79" t="inlineStr">
        <is>
          <t>991001190999702656</t>
        </is>
      </c>
      <c r="AX79" t="inlineStr">
        <is>
          <t>991001190999702656</t>
        </is>
      </c>
      <c r="AY79" t="inlineStr">
        <is>
          <t>2264163460002656</t>
        </is>
      </c>
      <c r="AZ79" t="inlineStr">
        <is>
          <t>BOOK</t>
        </is>
      </c>
      <c r="BC79" t="inlineStr">
        <is>
          <t>32285001693612</t>
        </is>
      </c>
      <c r="BD79" t="inlineStr">
        <is>
          <t>893702826</t>
        </is>
      </c>
    </row>
    <row r="80">
      <c r="A80" t="inlineStr">
        <is>
          <t>No</t>
        </is>
      </c>
      <c r="B80" t="inlineStr">
        <is>
          <t>ND1351.6 .M48 1991</t>
        </is>
      </c>
      <c r="C80" t="inlineStr">
        <is>
          <t>0                      ND 1351600M  48          1991</t>
        </is>
      </c>
      <c r="D80" t="inlineStr">
        <is>
          <t>The landscape in twentieth-century American art : selections from the Metropolitan Museum of Art / introduction by Robert Rosenblum ; catalogue texts by Lowery Stokes Sims and Lisa M. Messinger.</t>
        </is>
      </c>
      <c r="F80" t="inlineStr">
        <is>
          <t>No</t>
        </is>
      </c>
      <c r="G80" t="inlineStr">
        <is>
          <t>1</t>
        </is>
      </c>
      <c r="H80" t="inlineStr">
        <is>
          <t>No</t>
        </is>
      </c>
      <c r="I80" t="inlineStr">
        <is>
          <t>No</t>
        </is>
      </c>
      <c r="J80" t="inlineStr">
        <is>
          <t>0</t>
        </is>
      </c>
      <c r="K80" t="inlineStr">
        <is>
          <t>Metropolitan Museum of Art (New York, N.Y.)</t>
        </is>
      </c>
      <c r="L80" t="inlineStr">
        <is>
          <t>New York, NY : American Federation of Arts : Rizzoli, c1991.</t>
        </is>
      </c>
      <c r="M80" t="inlineStr">
        <is>
          <t>1991</t>
        </is>
      </c>
      <c r="O80" t="inlineStr">
        <is>
          <t>eng</t>
        </is>
      </c>
      <c r="P80" t="inlineStr">
        <is>
          <t>nyu</t>
        </is>
      </c>
      <c r="R80" t="inlineStr">
        <is>
          <t xml:space="preserve">ND </t>
        </is>
      </c>
      <c r="S80" t="n">
        <v>2</v>
      </c>
      <c r="T80" t="n">
        <v>2</v>
      </c>
      <c r="U80" t="inlineStr">
        <is>
          <t>2004-12-13</t>
        </is>
      </c>
      <c r="V80" t="inlineStr">
        <is>
          <t>2004-12-13</t>
        </is>
      </c>
      <c r="W80" t="inlineStr">
        <is>
          <t>1995-11-06</t>
        </is>
      </c>
      <c r="X80" t="inlineStr">
        <is>
          <t>1995-11-06</t>
        </is>
      </c>
      <c r="Y80" t="n">
        <v>358</v>
      </c>
      <c r="Z80" t="n">
        <v>305</v>
      </c>
      <c r="AA80" t="n">
        <v>307</v>
      </c>
      <c r="AB80" t="n">
        <v>4</v>
      </c>
      <c r="AC80" t="n">
        <v>4</v>
      </c>
      <c r="AD80" t="n">
        <v>8</v>
      </c>
      <c r="AE80" t="n">
        <v>8</v>
      </c>
      <c r="AF80" t="n">
        <v>1</v>
      </c>
      <c r="AG80" t="n">
        <v>1</v>
      </c>
      <c r="AH80" t="n">
        <v>3</v>
      </c>
      <c r="AI80" t="n">
        <v>3</v>
      </c>
      <c r="AJ80" t="n">
        <v>5</v>
      </c>
      <c r="AK80" t="n">
        <v>5</v>
      </c>
      <c r="AL80" t="n">
        <v>2</v>
      </c>
      <c r="AM80" t="n">
        <v>2</v>
      </c>
      <c r="AN80" t="n">
        <v>0</v>
      </c>
      <c r="AO80" t="n">
        <v>0</v>
      </c>
      <c r="AP80" t="inlineStr">
        <is>
          <t>No</t>
        </is>
      </c>
      <c r="AQ80" t="inlineStr">
        <is>
          <t>Yes</t>
        </is>
      </c>
      <c r="AR80">
        <f>HYPERLINK("http://catalog.hathitrust.org/Record/002450257","HathiTrust Record")</f>
        <v/>
      </c>
      <c r="AS80">
        <f>HYPERLINK("https://creighton-primo.hosted.exlibrisgroup.com/primo-explore/search?tab=default_tab&amp;search_scope=EVERYTHING&amp;vid=01CRU&amp;lang=en_US&amp;offset=0&amp;query=any,contains,991001780819702656","Catalog Record")</f>
        <v/>
      </c>
      <c r="AT80">
        <f>HYPERLINK("http://www.worldcat.org/oclc/22452966","WorldCat Record")</f>
        <v/>
      </c>
      <c r="AU80" t="inlineStr">
        <is>
          <t>20723329:eng</t>
        </is>
      </c>
      <c r="AV80" t="inlineStr">
        <is>
          <t>22452966</t>
        </is>
      </c>
      <c r="AW80" t="inlineStr">
        <is>
          <t>991001780819702656</t>
        </is>
      </c>
      <c r="AX80" t="inlineStr">
        <is>
          <t>991001780819702656</t>
        </is>
      </c>
      <c r="AY80" t="inlineStr">
        <is>
          <t>2260279420002656</t>
        </is>
      </c>
      <c r="AZ80" t="inlineStr">
        <is>
          <t>BOOK</t>
        </is>
      </c>
      <c r="BB80" t="inlineStr">
        <is>
          <t>9780847813032</t>
        </is>
      </c>
      <c r="BC80" t="inlineStr">
        <is>
          <t>32285002101045</t>
        </is>
      </c>
      <c r="BD80" t="inlineStr">
        <is>
          <t>893885543</t>
        </is>
      </c>
    </row>
    <row r="81">
      <c r="A81" t="inlineStr">
        <is>
          <t>No</t>
        </is>
      </c>
      <c r="B81" t="inlineStr">
        <is>
          <t>ND1354.4 .K57 1996</t>
        </is>
      </c>
      <c r="C81" t="inlineStr">
        <is>
          <t>0                      ND 1354400K  57          1996</t>
        </is>
      </c>
      <c r="D81" t="inlineStr">
        <is>
          <t>Science and the perception of nature : British landscape art in the late eighteenth and early nineteenth centuries / Charlotte Klonk.</t>
        </is>
      </c>
      <c r="F81" t="inlineStr">
        <is>
          <t>No</t>
        </is>
      </c>
      <c r="G81" t="inlineStr">
        <is>
          <t>1</t>
        </is>
      </c>
      <c r="H81" t="inlineStr">
        <is>
          <t>No</t>
        </is>
      </c>
      <c r="I81" t="inlineStr">
        <is>
          <t>No</t>
        </is>
      </c>
      <c r="J81" t="inlineStr">
        <is>
          <t>0</t>
        </is>
      </c>
      <c r="K81" t="inlineStr">
        <is>
          <t>Klonk, Charlotte.</t>
        </is>
      </c>
      <c r="L81" t="inlineStr">
        <is>
          <t>New Haven : Published for the Paul Mellon Centre for Studies in British Art by Yale University Press, c1996.</t>
        </is>
      </c>
      <c r="M81" t="inlineStr">
        <is>
          <t>1996</t>
        </is>
      </c>
      <c r="O81" t="inlineStr">
        <is>
          <t>eng</t>
        </is>
      </c>
      <c r="P81" t="inlineStr">
        <is>
          <t>ctu</t>
        </is>
      </c>
      <c r="R81" t="inlineStr">
        <is>
          <t xml:space="preserve">ND </t>
        </is>
      </c>
      <c r="S81" t="n">
        <v>4</v>
      </c>
      <c r="T81" t="n">
        <v>4</v>
      </c>
      <c r="U81" t="inlineStr">
        <is>
          <t>2004-12-13</t>
        </is>
      </c>
      <c r="V81" t="inlineStr">
        <is>
          <t>2004-12-13</t>
        </is>
      </c>
      <c r="W81" t="inlineStr">
        <is>
          <t>1998-03-10</t>
        </is>
      </c>
      <c r="X81" t="inlineStr">
        <is>
          <t>1998-03-10</t>
        </is>
      </c>
      <c r="Y81" t="n">
        <v>491</v>
      </c>
      <c r="Z81" t="n">
        <v>362</v>
      </c>
      <c r="AA81" t="n">
        <v>362</v>
      </c>
      <c r="AB81" t="n">
        <v>4</v>
      </c>
      <c r="AC81" t="n">
        <v>4</v>
      </c>
      <c r="AD81" t="n">
        <v>26</v>
      </c>
      <c r="AE81" t="n">
        <v>26</v>
      </c>
      <c r="AF81" t="n">
        <v>8</v>
      </c>
      <c r="AG81" t="n">
        <v>8</v>
      </c>
      <c r="AH81" t="n">
        <v>7</v>
      </c>
      <c r="AI81" t="n">
        <v>7</v>
      </c>
      <c r="AJ81" t="n">
        <v>13</v>
      </c>
      <c r="AK81" t="n">
        <v>13</v>
      </c>
      <c r="AL81" t="n">
        <v>3</v>
      </c>
      <c r="AM81" t="n">
        <v>3</v>
      </c>
      <c r="AN81" t="n">
        <v>0</v>
      </c>
      <c r="AO81" t="n">
        <v>0</v>
      </c>
      <c r="AP81" t="inlineStr">
        <is>
          <t>No</t>
        </is>
      </c>
      <c r="AQ81" t="inlineStr">
        <is>
          <t>No</t>
        </is>
      </c>
      <c r="AS81">
        <f>HYPERLINK("https://creighton-primo.hosted.exlibrisgroup.com/primo-explore/search?tab=default_tab&amp;search_scope=EVERYTHING&amp;vid=01CRU&amp;lang=en_US&amp;offset=0&amp;query=any,contains,991002738679702656","Catalog Record")</f>
        <v/>
      </c>
      <c r="AT81">
        <f>HYPERLINK("http://www.worldcat.org/oclc/35963286","WorldCat Record")</f>
        <v/>
      </c>
      <c r="AU81" t="inlineStr">
        <is>
          <t>837038079:eng</t>
        </is>
      </c>
      <c r="AV81" t="inlineStr">
        <is>
          <t>35963286</t>
        </is>
      </c>
      <c r="AW81" t="inlineStr">
        <is>
          <t>991002738679702656</t>
        </is>
      </c>
      <c r="AX81" t="inlineStr">
        <is>
          <t>991002738679702656</t>
        </is>
      </c>
      <c r="AY81" t="inlineStr">
        <is>
          <t>2268911370002656</t>
        </is>
      </c>
      <c r="AZ81" t="inlineStr">
        <is>
          <t>BOOK</t>
        </is>
      </c>
      <c r="BB81" t="inlineStr">
        <is>
          <t>9780300069501</t>
        </is>
      </c>
      <c r="BC81" t="inlineStr">
        <is>
          <t>32285003356986</t>
        </is>
      </c>
      <c r="BD81" t="inlineStr">
        <is>
          <t>893427954</t>
        </is>
      </c>
    </row>
    <row r="82">
      <c r="A82" t="inlineStr">
        <is>
          <t>No</t>
        </is>
      </c>
      <c r="B82" t="inlineStr">
        <is>
          <t>ND1382.6 .V36 1982</t>
        </is>
      </c>
      <c r="C82" t="inlineStr">
        <is>
          <t>0                      ND 1382600V  36          1982</t>
        </is>
      </c>
      <c r="D82" t="inlineStr">
        <is>
          <t>Wildlife artists at work / by Patricia Van Gelder.</t>
        </is>
      </c>
      <c r="F82" t="inlineStr">
        <is>
          <t>No</t>
        </is>
      </c>
      <c r="G82" t="inlineStr">
        <is>
          <t>1</t>
        </is>
      </c>
      <c r="H82" t="inlineStr">
        <is>
          <t>No</t>
        </is>
      </c>
      <c r="I82" t="inlineStr">
        <is>
          <t>No</t>
        </is>
      </c>
      <c r="J82" t="inlineStr">
        <is>
          <t>0</t>
        </is>
      </c>
      <c r="K82" t="inlineStr">
        <is>
          <t>Van Gelder, Patricia.</t>
        </is>
      </c>
      <c r="L82" t="inlineStr">
        <is>
          <t>New York : Watson-Guptill, 1982.</t>
        </is>
      </c>
      <c r="M82" t="inlineStr">
        <is>
          <t>1982</t>
        </is>
      </c>
      <c r="O82" t="inlineStr">
        <is>
          <t>eng</t>
        </is>
      </c>
      <c r="P82" t="inlineStr">
        <is>
          <t>nyu</t>
        </is>
      </c>
      <c r="R82" t="inlineStr">
        <is>
          <t xml:space="preserve">ND </t>
        </is>
      </c>
      <c r="S82" t="n">
        <v>2</v>
      </c>
      <c r="T82" t="n">
        <v>2</v>
      </c>
      <c r="U82" t="inlineStr">
        <is>
          <t>1999-04-30</t>
        </is>
      </c>
      <c r="V82" t="inlineStr">
        <is>
          <t>1999-04-30</t>
        </is>
      </c>
      <c r="W82" t="inlineStr">
        <is>
          <t>1998-12-03</t>
        </is>
      </c>
      <c r="X82" t="inlineStr">
        <is>
          <t>1998-12-03</t>
        </is>
      </c>
      <c r="Y82" t="n">
        <v>558</v>
      </c>
      <c r="Z82" t="n">
        <v>512</v>
      </c>
      <c r="AA82" t="n">
        <v>515</v>
      </c>
      <c r="AB82" t="n">
        <v>4</v>
      </c>
      <c r="AC82" t="n">
        <v>4</v>
      </c>
      <c r="AD82" t="n">
        <v>2</v>
      </c>
      <c r="AE82" t="n">
        <v>2</v>
      </c>
      <c r="AF82" t="n">
        <v>0</v>
      </c>
      <c r="AG82" t="n">
        <v>0</v>
      </c>
      <c r="AH82" t="n">
        <v>0</v>
      </c>
      <c r="AI82" t="n">
        <v>0</v>
      </c>
      <c r="AJ82" t="n">
        <v>1</v>
      </c>
      <c r="AK82" t="n">
        <v>1</v>
      </c>
      <c r="AL82" t="n">
        <v>1</v>
      </c>
      <c r="AM82" t="n">
        <v>1</v>
      </c>
      <c r="AN82" t="n">
        <v>0</v>
      </c>
      <c r="AO82" t="n">
        <v>0</v>
      </c>
      <c r="AP82" t="inlineStr">
        <is>
          <t>No</t>
        </is>
      </c>
      <c r="AQ82" t="inlineStr">
        <is>
          <t>Yes</t>
        </is>
      </c>
      <c r="AR82">
        <f>HYPERLINK("http://catalog.hathitrust.org/Record/000769378","HathiTrust Record")</f>
        <v/>
      </c>
      <c r="AS82">
        <f>HYPERLINK("https://creighton-primo.hosted.exlibrisgroup.com/primo-explore/search?tab=default_tab&amp;search_scope=EVERYTHING&amp;vid=01CRU&amp;lang=en_US&amp;offset=0&amp;query=any,contains,991005207609702656","Catalog Record")</f>
        <v/>
      </c>
      <c r="AT82">
        <f>HYPERLINK("http://www.worldcat.org/oclc/8132364","WorldCat Record")</f>
        <v/>
      </c>
      <c r="AU82" t="inlineStr">
        <is>
          <t>488441:eng</t>
        </is>
      </c>
      <c r="AV82" t="inlineStr">
        <is>
          <t>8132364</t>
        </is>
      </c>
      <c r="AW82" t="inlineStr">
        <is>
          <t>991005207609702656</t>
        </is>
      </c>
      <c r="AX82" t="inlineStr">
        <is>
          <t>991005207609702656</t>
        </is>
      </c>
      <c r="AY82" t="inlineStr">
        <is>
          <t>2267782240002656</t>
        </is>
      </c>
      <c r="AZ82" t="inlineStr">
        <is>
          <t>BOOK</t>
        </is>
      </c>
      <c r="BB82" t="inlineStr">
        <is>
          <t>9780823057498</t>
        </is>
      </c>
      <c r="BC82" t="inlineStr">
        <is>
          <t>32285003493326</t>
        </is>
      </c>
      <c r="BD82" t="inlineStr">
        <is>
          <t>893254647</t>
        </is>
      </c>
    </row>
    <row r="83">
      <c r="A83" t="inlineStr">
        <is>
          <t>No</t>
        </is>
      </c>
      <c r="B83" t="inlineStr">
        <is>
          <t>ND1390 .B8 1990</t>
        </is>
      </c>
      <c r="C83" t="inlineStr">
        <is>
          <t>0                      ND 1390000B  8           1990</t>
        </is>
      </c>
      <c r="D83" t="inlineStr">
        <is>
          <t>Looking at the overlooked : four essays on still life painting / Norman Bryson.</t>
        </is>
      </c>
      <c r="F83" t="inlineStr">
        <is>
          <t>No</t>
        </is>
      </c>
      <c r="G83" t="inlineStr">
        <is>
          <t>1</t>
        </is>
      </c>
      <c r="H83" t="inlineStr">
        <is>
          <t>No</t>
        </is>
      </c>
      <c r="I83" t="inlineStr">
        <is>
          <t>No</t>
        </is>
      </c>
      <c r="J83" t="inlineStr">
        <is>
          <t>0</t>
        </is>
      </c>
      <c r="K83" t="inlineStr">
        <is>
          <t>Bryson, Norman, 1949-</t>
        </is>
      </c>
      <c r="L83" t="inlineStr">
        <is>
          <t>Cambridge, Mass. : Harvard University Press, 1990.</t>
        </is>
      </c>
      <c r="M83" t="inlineStr">
        <is>
          <t>1990</t>
        </is>
      </c>
      <c r="O83" t="inlineStr">
        <is>
          <t>eng</t>
        </is>
      </c>
      <c r="P83" t="inlineStr">
        <is>
          <t>mau</t>
        </is>
      </c>
      <c r="R83" t="inlineStr">
        <is>
          <t xml:space="preserve">ND </t>
        </is>
      </c>
      <c r="S83" t="n">
        <v>1</v>
      </c>
      <c r="T83" t="n">
        <v>1</v>
      </c>
      <c r="U83" t="inlineStr">
        <is>
          <t>2008-08-27</t>
        </is>
      </c>
      <c r="V83" t="inlineStr">
        <is>
          <t>2008-08-27</t>
        </is>
      </c>
      <c r="W83" t="inlineStr">
        <is>
          <t>2006-11-09</t>
        </is>
      </c>
      <c r="X83" t="inlineStr">
        <is>
          <t>2006-11-09</t>
        </is>
      </c>
      <c r="Y83" t="n">
        <v>483</v>
      </c>
      <c r="Z83" t="n">
        <v>385</v>
      </c>
      <c r="AA83" t="n">
        <v>490</v>
      </c>
      <c r="AB83" t="n">
        <v>3</v>
      </c>
      <c r="AC83" t="n">
        <v>4</v>
      </c>
      <c r="AD83" t="n">
        <v>17</v>
      </c>
      <c r="AE83" t="n">
        <v>21</v>
      </c>
      <c r="AF83" t="n">
        <v>4</v>
      </c>
      <c r="AG83" t="n">
        <v>6</v>
      </c>
      <c r="AH83" t="n">
        <v>4</v>
      </c>
      <c r="AI83" t="n">
        <v>6</v>
      </c>
      <c r="AJ83" t="n">
        <v>9</v>
      </c>
      <c r="AK83" t="n">
        <v>9</v>
      </c>
      <c r="AL83" t="n">
        <v>2</v>
      </c>
      <c r="AM83" t="n">
        <v>3</v>
      </c>
      <c r="AN83" t="n">
        <v>0</v>
      </c>
      <c r="AO83" t="n">
        <v>0</v>
      </c>
      <c r="AP83" t="inlineStr">
        <is>
          <t>No</t>
        </is>
      </c>
      <c r="AQ83" t="inlineStr">
        <is>
          <t>Yes</t>
        </is>
      </c>
      <c r="AR83">
        <f>HYPERLINK("http://catalog.hathitrust.org/Record/002164607","HathiTrust Record")</f>
        <v/>
      </c>
      <c r="AS83">
        <f>HYPERLINK("https://creighton-primo.hosted.exlibrisgroup.com/primo-explore/search?tab=default_tab&amp;search_scope=EVERYTHING&amp;vid=01CRU&amp;lang=en_US&amp;offset=0&amp;query=any,contains,991004973059702656","Catalog Record")</f>
        <v/>
      </c>
      <c r="AT83">
        <f>HYPERLINK("http://www.worldcat.org/oclc/20594078","WorldCat Record")</f>
        <v/>
      </c>
      <c r="AU83" t="inlineStr">
        <is>
          <t>2681696:eng</t>
        </is>
      </c>
      <c r="AV83" t="inlineStr">
        <is>
          <t>20594078</t>
        </is>
      </c>
      <c r="AW83" t="inlineStr">
        <is>
          <t>991004973059702656</t>
        </is>
      </c>
      <c r="AX83" t="inlineStr">
        <is>
          <t>991004973059702656</t>
        </is>
      </c>
      <c r="AY83" t="inlineStr">
        <is>
          <t>2267478680002656</t>
        </is>
      </c>
      <c r="AZ83" t="inlineStr">
        <is>
          <t>BOOK</t>
        </is>
      </c>
      <c r="BB83" t="inlineStr">
        <is>
          <t>9780674539051</t>
        </is>
      </c>
      <c r="BC83" t="inlineStr">
        <is>
          <t>32285005234363</t>
        </is>
      </c>
      <c r="BD83" t="inlineStr">
        <is>
          <t>893883167</t>
        </is>
      </c>
    </row>
    <row r="84">
      <c r="A84" t="inlineStr">
        <is>
          <t>No</t>
        </is>
      </c>
      <c r="B84" t="inlineStr">
        <is>
          <t>ND1390 .E2313 1999</t>
        </is>
      </c>
      <c r="C84" t="inlineStr">
        <is>
          <t>0                      ND 1390000E  2313        1999</t>
        </is>
      </c>
      <c r="D84" t="inlineStr">
        <is>
          <t>Still life : a history / by Sybille Ebert-Schifferer ; translated from the German by Russell Stockman.</t>
        </is>
      </c>
      <c r="F84" t="inlineStr">
        <is>
          <t>No</t>
        </is>
      </c>
      <c r="G84" t="inlineStr">
        <is>
          <t>1</t>
        </is>
      </c>
      <c r="H84" t="inlineStr">
        <is>
          <t>No</t>
        </is>
      </c>
      <c r="I84" t="inlineStr">
        <is>
          <t>No</t>
        </is>
      </c>
      <c r="J84" t="inlineStr">
        <is>
          <t>0</t>
        </is>
      </c>
      <c r="K84" t="inlineStr">
        <is>
          <t>Ebert-Schifferer, S.</t>
        </is>
      </c>
      <c r="L84" t="inlineStr">
        <is>
          <t>New York : Abrams, 1999.</t>
        </is>
      </c>
      <c r="M84" t="inlineStr">
        <is>
          <t>1999</t>
        </is>
      </c>
      <c r="O84" t="inlineStr">
        <is>
          <t>eng</t>
        </is>
      </c>
      <c r="P84" t="inlineStr">
        <is>
          <t>nyu</t>
        </is>
      </c>
      <c r="R84" t="inlineStr">
        <is>
          <t xml:space="preserve">ND </t>
        </is>
      </c>
      <c r="S84" t="n">
        <v>2</v>
      </c>
      <c r="T84" t="n">
        <v>2</v>
      </c>
      <c r="U84" t="inlineStr">
        <is>
          <t>2004-07-07</t>
        </is>
      </c>
      <c r="V84" t="inlineStr">
        <is>
          <t>2004-07-07</t>
        </is>
      </c>
      <c r="W84" t="inlineStr">
        <is>
          <t>2000-07-24</t>
        </is>
      </c>
      <c r="X84" t="inlineStr">
        <is>
          <t>2000-07-24</t>
        </is>
      </c>
      <c r="Y84" t="n">
        <v>901</v>
      </c>
      <c r="Z84" t="n">
        <v>800</v>
      </c>
      <c r="AA84" t="n">
        <v>804</v>
      </c>
      <c r="AB84" t="n">
        <v>6</v>
      </c>
      <c r="AC84" t="n">
        <v>6</v>
      </c>
      <c r="AD84" t="n">
        <v>24</v>
      </c>
      <c r="AE84" t="n">
        <v>24</v>
      </c>
      <c r="AF84" t="n">
        <v>8</v>
      </c>
      <c r="AG84" t="n">
        <v>8</v>
      </c>
      <c r="AH84" t="n">
        <v>5</v>
      </c>
      <c r="AI84" t="n">
        <v>5</v>
      </c>
      <c r="AJ84" t="n">
        <v>10</v>
      </c>
      <c r="AK84" t="n">
        <v>10</v>
      </c>
      <c r="AL84" t="n">
        <v>5</v>
      </c>
      <c r="AM84" t="n">
        <v>5</v>
      </c>
      <c r="AN84" t="n">
        <v>0</v>
      </c>
      <c r="AO84" t="n">
        <v>0</v>
      </c>
      <c r="AP84" t="inlineStr">
        <is>
          <t>No</t>
        </is>
      </c>
      <c r="AQ84" t="inlineStr">
        <is>
          <t>Yes</t>
        </is>
      </c>
      <c r="AR84">
        <f>HYPERLINK("http://catalog.hathitrust.org/Record/004573603","HathiTrust Record")</f>
        <v/>
      </c>
      <c r="AS84">
        <f>HYPERLINK("https://creighton-primo.hosted.exlibrisgroup.com/primo-explore/search?tab=default_tab&amp;search_scope=EVERYTHING&amp;vid=01CRU&amp;lang=en_US&amp;offset=0&amp;query=any,contains,991003214909702656","Catalog Record")</f>
        <v/>
      </c>
      <c r="AT84">
        <f>HYPERLINK("http://www.worldcat.org/oclc/38870601","WorldCat Record")</f>
        <v/>
      </c>
      <c r="AU84" t="inlineStr">
        <is>
          <t>26534565:eng</t>
        </is>
      </c>
      <c r="AV84" t="inlineStr">
        <is>
          <t>38870601</t>
        </is>
      </c>
      <c r="AW84" t="inlineStr">
        <is>
          <t>991003214909702656</t>
        </is>
      </c>
      <c r="AX84" t="inlineStr">
        <is>
          <t>991003214909702656</t>
        </is>
      </c>
      <c r="AY84" t="inlineStr">
        <is>
          <t>2260686500002656</t>
        </is>
      </c>
      <c r="AZ84" t="inlineStr">
        <is>
          <t>BOOK</t>
        </is>
      </c>
      <c r="BB84" t="inlineStr">
        <is>
          <t>9780810941908</t>
        </is>
      </c>
      <c r="BC84" t="inlineStr">
        <is>
          <t>32285003711636</t>
        </is>
      </c>
      <c r="BD84" t="inlineStr">
        <is>
          <t>893422297</t>
        </is>
      </c>
    </row>
    <row r="85">
      <c r="A85" t="inlineStr">
        <is>
          <t>No</t>
        </is>
      </c>
      <c r="B85" t="inlineStr">
        <is>
          <t>ND1390 .S54 1987</t>
        </is>
      </c>
      <c r="C85" t="inlineStr">
        <is>
          <t>0                      ND 1390000S  54          1987</t>
        </is>
      </c>
      <c r="D85" t="inlineStr">
        <is>
          <t>Bringing textures to life / Joseph Sheppard.</t>
        </is>
      </c>
      <c r="F85" t="inlineStr">
        <is>
          <t>No</t>
        </is>
      </c>
      <c r="G85" t="inlineStr">
        <is>
          <t>1</t>
        </is>
      </c>
      <c r="H85" t="inlineStr">
        <is>
          <t>No</t>
        </is>
      </c>
      <c r="I85" t="inlineStr">
        <is>
          <t>No</t>
        </is>
      </c>
      <c r="J85" t="inlineStr">
        <is>
          <t>0</t>
        </is>
      </c>
      <c r="K85" t="inlineStr">
        <is>
          <t>Sheppard, Joseph, 1930-</t>
        </is>
      </c>
      <c r="L85" t="inlineStr">
        <is>
          <t>New York : Watson-Guptill Publications, 1987.</t>
        </is>
      </c>
      <c r="M85" t="inlineStr">
        <is>
          <t>1987</t>
        </is>
      </c>
      <c r="O85" t="inlineStr">
        <is>
          <t>eng</t>
        </is>
      </c>
      <c r="P85" t="inlineStr">
        <is>
          <t>nyu</t>
        </is>
      </c>
      <c r="R85" t="inlineStr">
        <is>
          <t xml:space="preserve">ND </t>
        </is>
      </c>
      <c r="S85" t="n">
        <v>2</v>
      </c>
      <c r="T85" t="n">
        <v>2</v>
      </c>
      <c r="U85" t="inlineStr">
        <is>
          <t>1995-03-15</t>
        </is>
      </c>
      <c r="V85" t="inlineStr">
        <is>
          <t>1995-03-15</t>
        </is>
      </c>
      <c r="W85" t="inlineStr">
        <is>
          <t>1991-12-12</t>
        </is>
      </c>
      <c r="X85" t="inlineStr">
        <is>
          <t>1991-12-12</t>
        </is>
      </c>
      <c r="Y85" t="n">
        <v>163</v>
      </c>
      <c r="Z85" t="n">
        <v>138</v>
      </c>
      <c r="AA85" t="n">
        <v>266</v>
      </c>
      <c r="AB85" t="n">
        <v>1</v>
      </c>
      <c r="AC85" t="n">
        <v>4</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HYPERLINK("https://creighton-primo.hosted.exlibrisgroup.com/primo-explore/search?tab=default_tab&amp;search_scope=EVERYTHING&amp;vid=01CRU&amp;lang=en_US&amp;offset=0&amp;query=any,contains,991000967059702656","Catalog Record")</f>
        <v/>
      </c>
      <c r="AT85">
        <f>HYPERLINK("http://www.worldcat.org/oclc/14930932","WorldCat Record")</f>
        <v/>
      </c>
      <c r="AU85" t="inlineStr">
        <is>
          <t>378748:eng</t>
        </is>
      </c>
      <c r="AV85" t="inlineStr">
        <is>
          <t>14930932</t>
        </is>
      </c>
      <c r="AW85" t="inlineStr">
        <is>
          <t>991000967059702656</t>
        </is>
      </c>
      <c r="AX85" t="inlineStr">
        <is>
          <t>991000967059702656</t>
        </is>
      </c>
      <c r="AY85" t="inlineStr">
        <is>
          <t>2255826640002656</t>
        </is>
      </c>
      <c r="AZ85" t="inlineStr">
        <is>
          <t>BOOK</t>
        </is>
      </c>
      <c r="BB85" t="inlineStr">
        <is>
          <t>9780823005246</t>
        </is>
      </c>
      <c r="BC85" t="inlineStr">
        <is>
          <t>32285000887355</t>
        </is>
      </c>
      <c r="BD85" t="inlineStr">
        <is>
          <t>893791041</t>
        </is>
      </c>
    </row>
    <row r="86">
      <c r="A86" t="inlineStr">
        <is>
          <t>No</t>
        </is>
      </c>
      <c r="B86" t="inlineStr">
        <is>
          <t>ND1393.F85 I47 2001</t>
        </is>
      </c>
      <c r="C86" t="inlineStr">
        <is>
          <t>0                      ND 1393000F  85                 I  47          2001</t>
        </is>
      </c>
      <c r="D86" t="inlineStr">
        <is>
          <t>Impressionist still life / by Eliza E. Rathbone and George T.M. Shackelford ; essays by Jeannene M. Przyblyski, John McCoubrey and Richard Shiff ; with Mary Hannah Byers ... [et al.].</t>
        </is>
      </c>
      <c r="F86" t="inlineStr">
        <is>
          <t>No</t>
        </is>
      </c>
      <c r="G86" t="inlineStr">
        <is>
          <t>1</t>
        </is>
      </c>
      <c r="H86" t="inlineStr">
        <is>
          <t>No</t>
        </is>
      </c>
      <c r="I86" t="inlineStr">
        <is>
          <t>No</t>
        </is>
      </c>
      <c r="J86" t="inlineStr">
        <is>
          <t>0</t>
        </is>
      </c>
      <c r="L86" t="inlineStr">
        <is>
          <t>New York : Phillips Collection in association with Harry N. Abrams, 2001.</t>
        </is>
      </c>
      <c r="M86" t="inlineStr">
        <is>
          <t>2001</t>
        </is>
      </c>
      <c r="O86" t="inlineStr">
        <is>
          <t>eng</t>
        </is>
      </c>
      <c r="P86" t="inlineStr">
        <is>
          <t>nyu</t>
        </is>
      </c>
      <c r="R86" t="inlineStr">
        <is>
          <t xml:space="preserve">ND </t>
        </is>
      </c>
      <c r="S86" t="n">
        <v>5</v>
      </c>
      <c r="T86" t="n">
        <v>5</v>
      </c>
      <c r="U86" t="inlineStr">
        <is>
          <t>2010-01-19</t>
        </is>
      </c>
      <c r="V86" t="inlineStr">
        <is>
          <t>2010-01-19</t>
        </is>
      </c>
      <c r="W86" t="inlineStr">
        <is>
          <t>2002-03-27</t>
        </is>
      </c>
      <c r="X86" t="inlineStr">
        <is>
          <t>2002-03-27</t>
        </is>
      </c>
      <c r="Y86" t="n">
        <v>932</v>
      </c>
      <c r="Z86" t="n">
        <v>819</v>
      </c>
      <c r="AA86" t="n">
        <v>823</v>
      </c>
      <c r="AB86" t="n">
        <v>7</v>
      </c>
      <c r="AC86" t="n">
        <v>7</v>
      </c>
      <c r="AD86" t="n">
        <v>24</v>
      </c>
      <c r="AE86" t="n">
        <v>24</v>
      </c>
      <c r="AF86" t="n">
        <v>10</v>
      </c>
      <c r="AG86" t="n">
        <v>10</v>
      </c>
      <c r="AH86" t="n">
        <v>8</v>
      </c>
      <c r="AI86" t="n">
        <v>8</v>
      </c>
      <c r="AJ86" t="n">
        <v>10</v>
      </c>
      <c r="AK86" t="n">
        <v>10</v>
      </c>
      <c r="AL86" t="n">
        <v>3</v>
      </c>
      <c r="AM86" t="n">
        <v>3</v>
      </c>
      <c r="AN86" t="n">
        <v>0</v>
      </c>
      <c r="AO86" t="n">
        <v>0</v>
      </c>
      <c r="AP86" t="inlineStr">
        <is>
          <t>No</t>
        </is>
      </c>
      <c r="AQ86" t="inlineStr">
        <is>
          <t>No</t>
        </is>
      </c>
      <c r="AS86">
        <f>HYPERLINK("https://creighton-primo.hosted.exlibrisgroup.com/primo-explore/search?tab=default_tab&amp;search_scope=EVERYTHING&amp;vid=01CRU&amp;lang=en_US&amp;offset=0&amp;query=any,contains,991003755999702656","Catalog Record")</f>
        <v/>
      </c>
      <c r="AT86">
        <f>HYPERLINK("http://www.worldcat.org/oclc/46503330","WorldCat Record")</f>
        <v/>
      </c>
      <c r="AU86" t="inlineStr">
        <is>
          <t>1810972784:eng</t>
        </is>
      </c>
      <c r="AV86" t="inlineStr">
        <is>
          <t>46503330</t>
        </is>
      </c>
      <c r="AW86" t="inlineStr">
        <is>
          <t>991003755999702656</t>
        </is>
      </c>
      <c r="AX86" t="inlineStr">
        <is>
          <t>991003755999702656</t>
        </is>
      </c>
      <c r="AY86" t="inlineStr">
        <is>
          <t>2265878760002656</t>
        </is>
      </c>
      <c r="AZ86" t="inlineStr">
        <is>
          <t>BOOK</t>
        </is>
      </c>
      <c r="BB86" t="inlineStr">
        <is>
          <t>9780810906136</t>
        </is>
      </c>
      <c r="BC86" t="inlineStr">
        <is>
          <t>32285004464185</t>
        </is>
      </c>
      <c r="BD86" t="inlineStr">
        <is>
          <t>893800117</t>
        </is>
      </c>
    </row>
    <row r="87">
      <c r="A87" t="inlineStr">
        <is>
          <t>No</t>
        </is>
      </c>
      <c r="B87" t="inlineStr">
        <is>
          <t>ND1393.S73 J67 1985</t>
        </is>
      </c>
      <c r="C87" t="inlineStr">
        <is>
          <t>0                      ND 1393000S  73                 J  67          1985</t>
        </is>
      </c>
      <c r="D87" t="inlineStr">
        <is>
          <t>Spanish still life in the golden age, 1600-1650 / by William B. Jordan, with assistance from and an essay by Sarah Schroth.</t>
        </is>
      </c>
      <c r="F87" t="inlineStr">
        <is>
          <t>No</t>
        </is>
      </c>
      <c r="G87" t="inlineStr">
        <is>
          <t>1</t>
        </is>
      </c>
      <c r="H87" t="inlineStr">
        <is>
          <t>No</t>
        </is>
      </c>
      <c r="I87" t="inlineStr">
        <is>
          <t>No</t>
        </is>
      </c>
      <c r="J87" t="inlineStr">
        <is>
          <t>0</t>
        </is>
      </c>
      <c r="K87" t="inlineStr">
        <is>
          <t>Jordan, William B., 1940-2018.</t>
        </is>
      </c>
      <c r="L87" t="inlineStr">
        <is>
          <t>Fort Worth : Kimbell Art Museum, 1985.</t>
        </is>
      </c>
      <c r="M87" t="inlineStr">
        <is>
          <t>1985</t>
        </is>
      </c>
      <c r="O87" t="inlineStr">
        <is>
          <t>eng</t>
        </is>
      </c>
      <c r="P87" t="inlineStr">
        <is>
          <t>txu</t>
        </is>
      </c>
      <c r="R87" t="inlineStr">
        <is>
          <t xml:space="preserve">ND </t>
        </is>
      </c>
      <c r="S87" t="n">
        <v>2</v>
      </c>
      <c r="T87" t="n">
        <v>2</v>
      </c>
      <c r="U87" t="inlineStr">
        <is>
          <t>1994-11-29</t>
        </is>
      </c>
      <c r="V87" t="inlineStr">
        <is>
          <t>1994-11-29</t>
        </is>
      </c>
      <c r="W87" t="inlineStr">
        <is>
          <t>1993-05-28</t>
        </is>
      </c>
      <c r="X87" t="inlineStr">
        <is>
          <t>1993-05-28</t>
        </is>
      </c>
      <c r="Y87" t="n">
        <v>571</v>
      </c>
      <c r="Z87" t="n">
        <v>466</v>
      </c>
      <c r="AA87" t="n">
        <v>467</v>
      </c>
      <c r="AB87" t="n">
        <v>2</v>
      </c>
      <c r="AC87" t="n">
        <v>2</v>
      </c>
      <c r="AD87" t="n">
        <v>14</v>
      </c>
      <c r="AE87" t="n">
        <v>14</v>
      </c>
      <c r="AF87" t="n">
        <v>5</v>
      </c>
      <c r="AG87" t="n">
        <v>5</v>
      </c>
      <c r="AH87" t="n">
        <v>4</v>
      </c>
      <c r="AI87" t="n">
        <v>4</v>
      </c>
      <c r="AJ87" t="n">
        <v>9</v>
      </c>
      <c r="AK87" t="n">
        <v>9</v>
      </c>
      <c r="AL87" t="n">
        <v>1</v>
      </c>
      <c r="AM87" t="n">
        <v>1</v>
      </c>
      <c r="AN87" t="n">
        <v>0</v>
      </c>
      <c r="AO87" t="n">
        <v>0</v>
      </c>
      <c r="AP87" t="inlineStr">
        <is>
          <t>No</t>
        </is>
      </c>
      <c r="AQ87" t="inlineStr">
        <is>
          <t>Yes</t>
        </is>
      </c>
      <c r="AR87">
        <f>HYPERLINK("http://catalog.hathitrust.org/Record/000467307","HathiTrust Record")</f>
        <v/>
      </c>
      <c r="AS87">
        <f>HYPERLINK("https://creighton-primo.hosted.exlibrisgroup.com/primo-explore/search?tab=default_tab&amp;search_scope=EVERYTHING&amp;vid=01CRU&amp;lang=en_US&amp;offset=0&amp;query=any,contains,991000622659702656","Catalog Record")</f>
        <v/>
      </c>
      <c r="AT87">
        <f>HYPERLINK("http://www.worldcat.org/oclc/11972759","WorldCat Record")</f>
        <v/>
      </c>
      <c r="AU87" t="inlineStr">
        <is>
          <t>4530335:eng</t>
        </is>
      </c>
      <c r="AV87" t="inlineStr">
        <is>
          <t>11972759</t>
        </is>
      </c>
      <c r="AW87" t="inlineStr">
        <is>
          <t>991000622659702656</t>
        </is>
      </c>
      <c r="AX87" t="inlineStr">
        <is>
          <t>991000622659702656</t>
        </is>
      </c>
      <c r="AY87" t="inlineStr">
        <is>
          <t>2255745390002656</t>
        </is>
      </c>
      <c r="AZ87" t="inlineStr">
        <is>
          <t>BOOK</t>
        </is>
      </c>
      <c r="BB87" t="inlineStr">
        <is>
          <t>9780912804200</t>
        </is>
      </c>
      <c r="BC87" t="inlineStr">
        <is>
          <t>32285001693679</t>
        </is>
      </c>
      <c r="BD87" t="inlineStr">
        <is>
          <t>893432134</t>
        </is>
      </c>
    </row>
    <row r="88">
      <c r="A88" t="inlineStr">
        <is>
          <t>No</t>
        </is>
      </c>
      <c r="B88" t="inlineStr">
        <is>
          <t>ND140 .A353</t>
        </is>
      </c>
      <c r="C88" t="inlineStr">
        <is>
          <t>0                      ND 0140000A  353</t>
        </is>
      </c>
      <c r="D88" t="inlineStr">
        <is>
          <t>Romanesque painting [by] Juan Ainaud [and] André Held. [Translated by Jean Stewart]</t>
        </is>
      </c>
      <c r="F88" t="inlineStr">
        <is>
          <t>No</t>
        </is>
      </c>
      <c r="G88" t="inlineStr">
        <is>
          <t>1</t>
        </is>
      </c>
      <c r="H88" t="inlineStr">
        <is>
          <t>No</t>
        </is>
      </c>
      <c r="I88" t="inlineStr">
        <is>
          <t>No</t>
        </is>
      </c>
      <c r="J88" t="inlineStr">
        <is>
          <t>0</t>
        </is>
      </c>
      <c r="K88" t="inlineStr">
        <is>
          <t>Ainaud de Lasarte, Juan.</t>
        </is>
      </c>
      <c r="L88" t="inlineStr">
        <is>
          <t>New York, Viking Press [1963]</t>
        </is>
      </c>
      <c r="M88" t="inlineStr">
        <is>
          <t>1963</t>
        </is>
      </c>
      <c r="O88" t="inlineStr">
        <is>
          <t>eng</t>
        </is>
      </c>
      <c r="P88" t="inlineStr">
        <is>
          <t>nyu</t>
        </is>
      </c>
      <c r="Q88" t="inlineStr">
        <is>
          <t>Compass books, CA 5. Compass history of art</t>
        </is>
      </c>
      <c r="R88" t="inlineStr">
        <is>
          <t xml:space="preserve">ND </t>
        </is>
      </c>
      <c r="S88" t="n">
        <v>3</v>
      </c>
      <c r="T88" t="n">
        <v>3</v>
      </c>
      <c r="U88" t="inlineStr">
        <is>
          <t>2000-02-14</t>
        </is>
      </c>
      <c r="V88" t="inlineStr">
        <is>
          <t>2000-02-14</t>
        </is>
      </c>
      <c r="W88" t="inlineStr">
        <is>
          <t>1997-07-21</t>
        </is>
      </c>
      <c r="X88" t="inlineStr">
        <is>
          <t>1997-07-21</t>
        </is>
      </c>
      <c r="Y88" t="n">
        <v>444</v>
      </c>
      <c r="Z88" t="n">
        <v>417</v>
      </c>
      <c r="AA88" t="n">
        <v>436</v>
      </c>
      <c r="AB88" t="n">
        <v>5</v>
      </c>
      <c r="AC88" t="n">
        <v>5</v>
      </c>
      <c r="AD88" t="n">
        <v>19</v>
      </c>
      <c r="AE88" t="n">
        <v>20</v>
      </c>
      <c r="AF88" t="n">
        <v>6</v>
      </c>
      <c r="AG88" t="n">
        <v>6</v>
      </c>
      <c r="AH88" t="n">
        <v>4</v>
      </c>
      <c r="AI88" t="n">
        <v>4</v>
      </c>
      <c r="AJ88" t="n">
        <v>10</v>
      </c>
      <c r="AK88" t="n">
        <v>11</v>
      </c>
      <c r="AL88" t="n">
        <v>3</v>
      </c>
      <c r="AM88" t="n">
        <v>3</v>
      </c>
      <c r="AN88" t="n">
        <v>0</v>
      </c>
      <c r="AO88" t="n">
        <v>0</v>
      </c>
      <c r="AP88" t="inlineStr">
        <is>
          <t>No</t>
        </is>
      </c>
      <c r="AQ88" t="inlineStr">
        <is>
          <t>Yes</t>
        </is>
      </c>
      <c r="AR88">
        <f>HYPERLINK("http://catalog.hathitrust.org/Record/008511161","HathiTrust Record")</f>
        <v/>
      </c>
      <c r="AS88">
        <f>HYPERLINK("https://creighton-primo.hosted.exlibrisgroup.com/primo-explore/search?tab=default_tab&amp;search_scope=EVERYTHING&amp;vid=01CRU&amp;lang=en_US&amp;offset=0&amp;query=any,contains,991002963489702656","Catalog Record")</f>
        <v/>
      </c>
      <c r="AT88">
        <f>HYPERLINK("http://www.worldcat.org/oclc/544982","WorldCat Record")</f>
        <v/>
      </c>
      <c r="AU88" t="inlineStr">
        <is>
          <t>1576382:eng</t>
        </is>
      </c>
      <c r="AV88" t="inlineStr">
        <is>
          <t>544982</t>
        </is>
      </c>
      <c r="AW88" t="inlineStr">
        <is>
          <t>991002963489702656</t>
        </is>
      </c>
      <c r="AX88" t="inlineStr">
        <is>
          <t>991002963489702656</t>
        </is>
      </c>
      <c r="AY88" t="inlineStr">
        <is>
          <t>2268038390002656</t>
        </is>
      </c>
      <c r="AZ88" t="inlineStr">
        <is>
          <t>BOOK</t>
        </is>
      </c>
      <c r="BC88" t="inlineStr">
        <is>
          <t>32285002965969</t>
        </is>
      </c>
      <c r="BD88" t="inlineStr">
        <is>
          <t>893880657</t>
        </is>
      </c>
    </row>
    <row r="89">
      <c r="A89" t="inlineStr">
        <is>
          <t>No</t>
        </is>
      </c>
      <c r="B89" t="inlineStr">
        <is>
          <t>ND140 .D85</t>
        </is>
      </c>
      <c r="C89" t="inlineStr">
        <is>
          <t>0                      ND 0140000D  85</t>
        </is>
      </c>
      <c r="D89" t="inlineStr">
        <is>
          <t>Gothic painting / text by Jacques Dupont and Cesare Gnudi ; [translated by Stuart Gilbert.</t>
        </is>
      </c>
      <c r="F89" t="inlineStr">
        <is>
          <t>No</t>
        </is>
      </c>
      <c r="G89" t="inlineStr">
        <is>
          <t>1</t>
        </is>
      </c>
      <c r="H89" t="inlineStr">
        <is>
          <t>No</t>
        </is>
      </c>
      <c r="I89" t="inlineStr">
        <is>
          <t>No</t>
        </is>
      </c>
      <c r="J89" t="inlineStr">
        <is>
          <t>0</t>
        </is>
      </c>
      <c r="K89" t="inlineStr">
        <is>
          <t>Dupont, Jacques.</t>
        </is>
      </c>
      <c r="L89" t="inlineStr">
        <is>
          <t>Geneva] : Skira, [1954]</t>
        </is>
      </c>
      <c r="M89" t="inlineStr">
        <is>
          <t>1954</t>
        </is>
      </c>
      <c r="O89" t="inlineStr">
        <is>
          <t>eng</t>
        </is>
      </c>
      <c r="P89" t="inlineStr">
        <is>
          <t xml:space="preserve">sz </t>
        </is>
      </c>
      <c r="Q89" t="inlineStr">
        <is>
          <t>The Great centuries of painting</t>
        </is>
      </c>
      <c r="R89" t="inlineStr">
        <is>
          <t xml:space="preserve">ND </t>
        </is>
      </c>
      <c r="S89" t="n">
        <v>5</v>
      </c>
      <c r="T89" t="n">
        <v>5</v>
      </c>
      <c r="U89" t="inlineStr">
        <is>
          <t>2005-03-28</t>
        </is>
      </c>
      <c r="V89" t="inlineStr">
        <is>
          <t>2005-03-28</t>
        </is>
      </c>
      <c r="W89" t="inlineStr">
        <is>
          <t>1993-05-20</t>
        </is>
      </c>
      <c r="X89" t="inlineStr">
        <is>
          <t>1993-05-20</t>
        </is>
      </c>
      <c r="Y89" t="n">
        <v>1396</v>
      </c>
      <c r="Z89" t="n">
        <v>1204</v>
      </c>
      <c r="AA89" t="n">
        <v>1310</v>
      </c>
      <c r="AB89" t="n">
        <v>10</v>
      </c>
      <c r="AC89" t="n">
        <v>11</v>
      </c>
      <c r="AD89" t="n">
        <v>48</v>
      </c>
      <c r="AE89" t="n">
        <v>50</v>
      </c>
      <c r="AF89" t="n">
        <v>21</v>
      </c>
      <c r="AG89" t="n">
        <v>21</v>
      </c>
      <c r="AH89" t="n">
        <v>7</v>
      </c>
      <c r="AI89" t="n">
        <v>7</v>
      </c>
      <c r="AJ89" t="n">
        <v>20</v>
      </c>
      <c r="AK89" t="n">
        <v>21</v>
      </c>
      <c r="AL89" t="n">
        <v>8</v>
      </c>
      <c r="AM89" t="n">
        <v>9</v>
      </c>
      <c r="AN89" t="n">
        <v>0</v>
      </c>
      <c r="AO89" t="n">
        <v>0</v>
      </c>
      <c r="AP89" t="inlineStr">
        <is>
          <t>No</t>
        </is>
      </c>
      <c r="AQ89" t="inlineStr">
        <is>
          <t>Yes</t>
        </is>
      </c>
      <c r="AR89">
        <f>HYPERLINK("http://catalog.hathitrust.org/Record/000346511","HathiTrust Record")</f>
        <v/>
      </c>
      <c r="AS89">
        <f>HYPERLINK("https://creighton-primo.hosted.exlibrisgroup.com/primo-explore/search?tab=default_tab&amp;search_scope=EVERYTHING&amp;vid=01CRU&amp;lang=en_US&amp;offset=0&amp;query=any,contains,991002961949702656","Catalog Record")</f>
        <v/>
      </c>
      <c r="AT89">
        <f>HYPERLINK("http://www.worldcat.org/oclc/544227","WorldCat Record")</f>
        <v/>
      </c>
      <c r="AU89" t="inlineStr">
        <is>
          <t>9911849699:eng</t>
        </is>
      </c>
      <c r="AV89" t="inlineStr">
        <is>
          <t>544227</t>
        </is>
      </c>
      <c r="AW89" t="inlineStr">
        <is>
          <t>991002961949702656</t>
        </is>
      </c>
      <c r="AX89" t="inlineStr">
        <is>
          <t>991002961949702656</t>
        </is>
      </c>
      <c r="AY89" t="inlineStr">
        <is>
          <t>2268109590002656</t>
        </is>
      </c>
      <c r="AZ89" t="inlineStr">
        <is>
          <t>BOOK</t>
        </is>
      </c>
      <c r="BC89" t="inlineStr">
        <is>
          <t>32285001690964</t>
        </is>
      </c>
      <c r="BD89" t="inlineStr">
        <is>
          <t>893524262</t>
        </is>
      </c>
    </row>
    <row r="90">
      <c r="A90" t="inlineStr">
        <is>
          <t>No</t>
        </is>
      </c>
      <c r="B90" t="inlineStr">
        <is>
          <t>ND140 .G683</t>
        </is>
      </c>
      <c r="C90" t="inlineStr">
        <is>
          <t>0                      ND 0140000G  683</t>
        </is>
      </c>
      <c r="D90" t="inlineStr">
        <is>
          <t>Romanesque painting from the eleventh to the thirteenth century: Mural painting, by André Grabar. Book illumination, by Carl Nordenfalk. Translated by Stuart Gilbert.</t>
        </is>
      </c>
      <c r="F90" t="inlineStr">
        <is>
          <t>No</t>
        </is>
      </c>
      <c r="G90" t="inlineStr">
        <is>
          <t>1</t>
        </is>
      </c>
      <c r="H90" t="inlineStr">
        <is>
          <t>No</t>
        </is>
      </c>
      <c r="I90" t="inlineStr">
        <is>
          <t>No</t>
        </is>
      </c>
      <c r="J90" t="inlineStr">
        <is>
          <t>0</t>
        </is>
      </c>
      <c r="K90" t="inlineStr">
        <is>
          <t>Grabar, André, 1896-1990.</t>
        </is>
      </c>
      <c r="L90" t="inlineStr">
        <is>
          <t>[Geneva] Skira ,1958.</t>
        </is>
      </c>
      <c r="M90" t="inlineStr">
        <is>
          <t>1958</t>
        </is>
      </c>
      <c r="O90" t="inlineStr">
        <is>
          <t>eng</t>
        </is>
      </c>
      <c r="P90" t="inlineStr">
        <is>
          <t xml:space="preserve">sz </t>
        </is>
      </c>
      <c r="Q90" t="inlineStr">
        <is>
          <t>The Great centuries of painting</t>
        </is>
      </c>
      <c r="R90" t="inlineStr">
        <is>
          <t xml:space="preserve">ND </t>
        </is>
      </c>
      <c r="S90" t="n">
        <v>2</v>
      </c>
      <c r="T90" t="n">
        <v>2</v>
      </c>
      <c r="U90" t="inlineStr">
        <is>
          <t>2000-02-07</t>
        </is>
      </c>
      <c r="V90" t="inlineStr">
        <is>
          <t>2000-02-07</t>
        </is>
      </c>
      <c r="W90" t="inlineStr">
        <is>
          <t>1997-07-21</t>
        </is>
      </c>
      <c r="X90" t="inlineStr">
        <is>
          <t>1997-07-21</t>
        </is>
      </c>
      <c r="Y90" t="n">
        <v>27</v>
      </c>
      <c r="Z90" t="n">
        <v>7</v>
      </c>
      <c r="AA90" t="n">
        <v>961</v>
      </c>
      <c r="AB90" t="n">
        <v>1</v>
      </c>
      <c r="AC90" t="n">
        <v>7</v>
      </c>
      <c r="AD90" t="n">
        <v>0</v>
      </c>
      <c r="AE90" t="n">
        <v>37</v>
      </c>
      <c r="AF90" t="n">
        <v>0</v>
      </c>
      <c r="AG90" t="n">
        <v>18</v>
      </c>
      <c r="AH90" t="n">
        <v>0</v>
      </c>
      <c r="AI90" t="n">
        <v>6</v>
      </c>
      <c r="AJ90" t="n">
        <v>0</v>
      </c>
      <c r="AK90" t="n">
        <v>15</v>
      </c>
      <c r="AL90" t="n">
        <v>0</v>
      </c>
      <c r="AM90" t="n">
        <v>5</v>
      </c>
      <c r="AN90" t="n">
        <v>0</v>
      </c>
      <c r="AO90" t="n">
        <v>0</v>
      </c>
      <c r="AP90" t="inlineStr">
        <is>
          <t>No</t>
        </is>
      </c>
      <c r="AQ90" t="inlineStr">
        <is>
          <t>No</t>
        </is>
      </c>
      <c r="AS90">
        <f>HYPERLINK("https://creighton-primo.hosted.exlibrisgroup.com/primo-explore/search?tab=default_tab&amp;search_scope=EVERYTHING&amp;vid=01CRU&amp;lang=en_US&amp;offset=0&amp;query=any,contains,991001634599702656","Catalog Record")</f>
        <v/>
      </c>
      <c r="AT90">
        <f>HYPERLINK("http://www.worldcat.org/oclc/20936655","WorldCat Record")</f>
        <v/>
      </c>
      <c r="AU90" t="inlineStr">
        <is>
          <t>149482711:eng</t>
        </is>
      </c>
      <c r="AV90" t="inlineStr">
        <is>
          <t>20936655</t>
        </is>
      </c>
      <c r="AW90" t="inlineStr">
        <is>
          <t>991001634599702656</t>
        </is>
      </c>
      <c r="AX90" t="inlineStr">
        <is>
          <t>991001634599702656</t>
        </is>
      </c>
      <c r="AY90" t="inlineStr">
        <is>
          <t>2267845210002656</t>
        </is>
      </c>
      <c r="AZ90" t="inlineStr">
        <is>
          <t>BOOK</t>
        </is>
      </c>
      <c r="BC90" t="inlineStr">
        <is>
          <t>32285002965977</t>
        </is>
      </c>
      <c r="BD90" t="inlineStr">
        <is>
          <t>893885429</t>
        </is>
      </c>
    </row>
    <row r="91">
      <c r="A91" t="inlineStr">
        <is>
          <t>No</t>
        </is>
      </c>
      <c r="B91" t="inlineStr">
        <is>
          <t>ND142 .C5</t>
        </is>
      </c>
      <c r="C91" t="inlineStr">
        <is>
          <t>0                      ND 0142000C  5</t>
        </is>
      </c>
      <c r="D91" t="inlineStr">
        <is>
          <t>Byzantine and early Medieval painting [by] Manolis Chatzidakis [and] André Grabar. Translated by Simon Watson Taylor.</t>
        </is>
      </c>
      <c r="F91" t="inlineStr">
        <is>
          <t>No</t>
        </is>
      </c>
      <c r="G91" t="inlineStr">
        <is>
          <t>1</t>
        </is>
      </c>
      <c r="H91" t="inlineStr">
        <is>
          <t>No</t>
        </is>
      </c>
      <c r="I91" t="inlineStr">
        <is>
          <t>No</t>
        </is>
      </c>
      <c r="J91" t="inlineStr">
        <is>
          <t>0</t>
        </is>
      </c>
      <c r="K91" t="inlineStr">
        <is>
          <t>Chatzēdakēs, Manolēs.</t>
        </is>
      </c>
      <c r="L91" t="inlineStr">
        <is>
          <t>New York, Viking Press [1965]</t>
        </is>
      </c>
      <c r="M91" t="inlineStr">
        <is>
          <t>1965</t>
        </is>
      </c>
      <c r="O91" t="inlineStr">
        <is>
          <t>eng</t>
        </is>
      </c>
      <c r="P91" t="inlineStr">
        <is>
          <t>nyu</t>
        </is>
      </c>
      <c r="Q91" t="inlineStr">
        <is>
          <t>Compass books, CA4. Compass history of art</t>
        </is>
      </c>
      <c r="R91" t="inlineStr">
        <is>
          <t xml:space="preserve">ND </t>
        </is>
      </c>
      <c r="S91" t="n">
        <v>2</v>
      </c>
      <c r="T91" t="n">
        <v>2</v>
      </c>
      <c r="U91" t="inlineStr">
        <is>
          <t>2000-02-14</t>
        </is>
      </c>
      <c r="V91" t="inlineStr">
        <is>
          <t>2000-02-14</t>
        </is>
      </c>
      <c r="W91" t="inlineStr">
        <is>
          <t>1997-07-21</t>
        </is>
      </c>
      <c r="X91" t="inlineStr">
        <is>
          <t>1997-07-21</t>
        </is>
      </c>
      <c r="Y91" t="n">
        <v>561</v>
      </c>
      <c r="Z91" t="n">
        <v>540</v>
      </c>
      <c r="AA91" t="n">
        <v>586</v>
      </c>
      <c r="AB91" t="n">
        <v>5</v>
      </c>
      <c r="AC91" t="n">
        <v>5</v>
      </c>
      <c r="AD91" t="n">
        <v>19</v>
      </c>
      <c r="AE91" t="n">
        <v>20</v>
      </c>
      <c r="AF91" t="n">
        <v>7</v>
      </c>
      <c r="AG91" t="n">
        <v>7</v>
      </c>
      <c r="AH91" t="n">
        <v>4</v>
      </c>
      <c r="AI91" t="n">
        <v>4</v>
      </c>
      <c r="AJ91" t="n">
        <v>9</v>
      </c>
      <c r="AK91" t="n">
        <v>10</v>
      </c>
      <c r="AL91" t="n">
        <v>3</v>
      </c>
      <c r="AM91" t="n">
        <v>3</v>
      </c>
      <c r="AN91" t="n">
        <v>0</v>
      </c>
      <c r="AO91" t="n">
        <v>0</v>
      </c>
      <c r="AP91" t="inlineStr">
        <is>
          <t>No</t>
        </is>
      </c>
      <c r="AQ91" t="inlineStr">
        <is>
          <t>Yes</t>
        </is>
      </c>
      <c r="AR91">
        <f>HYPERLINK("http://catalog.hathitrust.org/Record/008511108","HathiTrust Record")</f>
        <v/>
      </c>
      <c r="AS91">
        <f>HYPERLINK("https://creighton-primo.hosted.exlibrisgroup.com/primo-explore/search?tab=default_tab&amp;search_scope=EVERYTHING&amp;vid=01CRU&amp;lang=en_US&amp;offset=0&amp;query=any,contains,991002974219702656","Catalog Record")</f>
        <v/>
      </c>
      <c r="AT91">
        <f>HYPERLINK("http://www.worldcat.org/oclc/551006","WorldCat Record")</f>
        <v/>
      </c>
      <c r="AU91" t="inlineStr">
        <is>
          <t>1596434:eng</t>
        </is>
      </c>
      <c r="AV91" t="inlineStr">
        <is>
          <t>551006</t>
        </is>
      </c>
      <c r="AW91" t="inlineStr">
        <is>
          <t>991002974219702656</t>
        </is>
      </c>
      <c r="AX91" t="inlineStr">
        <is>
          <t>991002974219702656</t>
        </is>
      </c>
      <c r="AY91" t="inlineStr">
        <is>
          <t>2257843340002656</t>
        </is>
      </c>
      <c r="AZ91" t="inlineStr">
        <is>
          <t>BOOK</t>
        </is>
      </c>
      <c r="BC91" t="inlineStr">
        <is>
          <t>32285002965993</t>
        </is>
      </c>
      <c r="BD91" t="inlineStr">
        <is>
          <t>893530714</t>
        </is>
      </c>
    </row>
    <row r="92">
      <c r="A92" t="inlineStr">
        <is>
          <t>No</t>
        </is>
      </c>
      <c r="B92" t="inlineStr">
        <is>
          <t>ND1432.E85 D78 1999</t>
        </is>
      </c>
      <c r="C92" t="inlineStr">
        <is>
          <t>0                      ND 1432000E  85                 D  78          1999</t>
        </is>
      </c>
      <c r="D92" t="inlineStr">
        <is>
          <t>Painting the word : Christian pictures and their meanings / John Drury.</t>
        </is>
      </c>
      <c r="F92" t="inlineStr">
        <is>
          <t>No</t>
        </is>
      </c>
      <c r="G92" t="inlineStr">
        <is>
          <t>1</t>
        </is>
      </c>
      <c r="H92" t="inlineStr">
        <is>
          <t>No</t>
        </is>
      </c>
      <c r="I92" t="inlineStr">
        <is>
          <t>No</t>
        </is>
      </c>
      <c r="J92" t="inlineStr">
        <is>
          <t>0</t>
        </is>
      </c>
      <c r="K92" t="inlineStr">
        <is>
          <t>Drury, John, 1936-</t>
        </is>
      </c>
      <c r="L92" t="inlineStr">
        <is>
          <t>New Haven, Conn. : Yale University Press ; London : National Gallery Publications, 1999.</t>
        </is>
      </c>
      <c r="M92" t="inlineStr">
        <is>
          <t>1999</t>
        </is>
      </c>
      <c r="O92" t="inlineStr">
        <is>
          <t>eng</t>
        </is>
      </c>
      <c r="P92" t="inlineStr">
        <is>
          <t>ctu</t>
        </is>
      </c>
      <c r="R92" t="inlineStr">
        <is>
          <t xml:space="preserve">ND </t>
        </is>
      </c>
      <c r="S92" t="n">
        <v>6</v>
      </c>
      <c r="T92" t="n">
        <v>6</v>
      </c>
      <c r="U92" t="inlineStr">
        <is>
          <t>2009-03-05</t>
        </is>
      </c>
      <c r="V92" t="inlineStr">
        <is>
          <t>2009-03-05</t>
        </is>
      </c>
      <c r="W92" t="inlineStr">
        <is>
          <t>2000-07-24</t>
        </is>
      </c>
      <c r="X92" t="inlineStr">
        <is>
          <t>2000-07-24</t>
        </is>
      </c>
      <c r="Y92" t="n">
        <v>1587</v>
      </c>
      <c r="Z92" t="n">
        <v>1391</v>
      </c>
      <c r="AA92" t="n">
        <v>1419</v>
      </c>
      <c r="AB92" t="n">
        <v>9</v>
      </c>
      <c r="AC92" t="n">
        <v>9</v>
      </c>
      <c r="AD92" t="n">
        <v>45</v>
      </c>
      <c r="AE92" t="n">
        <v>45</v>
      </c>
      <c r="AF92" t="n">
        <v>19</v>
      </c>
      <c r="AG92" t="n">
        <v>19</v>
      </c>
      <c r="AH92" t="n">
        <v>10</v>
      </c>
      <c r="AI92" t="n">
        <v>10</v>
      </c>
      <c r="AJ92" t="n">
        <v>20</v>
      </c>
      <c r="AK92" t="n">
        <v>20</v>
      </c>
      <c r="AL92" t="n">
        <v>8</v>
      </c>
      <c r="AM92" t="n">
        <v>8</v>
      </c>
      <c r="AN92" t="n">
        <v>0</v>
      </c>
      <c r="AO92" t="n">
        <v>0</v>
      </c>
      <c r="AP92" t="inlineStr">
        <is>
          <t>No</t>
        </is>
      </c>
      <c r="AQ92" t="inlineStr">
        <is>
          <t>No</t>
        </is>
      </c>
      <c r="AS92">
        <f>HYPERLINK("https://creighton-primo.hosted.exlibrisgroup.com/primo-explore/search?tab=default_tab&amp;search_scope=EVERYTHING&amp;vid=01CRU&amp;lang=en_US&amp;offset=0&amp;query=any,contains,991003213409702656","Catalog Record")</f>
        <v/>
      </c>
      <c r="AT92">
        <f>HYPERLINK("http://www.worldcat.org/oclc/41070866","WorldCat Record")</f>
        <v/>
      </c>
      <c r="AU92" t="inlineStr">
        <is>
          <t>38361861:eng</t>
        </is>
      </c>
      <c r="AV92" t="inlineStr">
        <is>
          <t>41070866</t>
        </is>
      </c>
      <c r="AW92" t="inlineStr">
        <is>
          <t>991003213409702656</t>
        </is>
      </c>
      <c r="AX92" t="inlineStr">
        <is>
          <t>991003213409702656</t>
        </is>
      </c>
      <c r="AY92" t="inlineStr">
        <is>
          <t>2261413040002656</t>
        </is>
      </c>
      <c r="AZ92" t="inlineStr">
        <is>
          <t>BOOK</t>
        </is>
      </c>
      <c r="BB92" t="inlineStr">
        <is>
          <t>9780300077773</t>
        </is>
      </c>
      <c r="BC92" t="inlineStr">
        <is>
          <t>32285003711479</t>
        </is>
      </c>
      <c r="BD92" t="inlineStr">
        <is>
          <t>893893482</t>
        </is>
      </c>
    </row>
    <row r="93">
      <c r="A93" t="inlineStr">
        <is>
          <t>No</t>
        </is>
      </c>
      <c r="B93" t="inlineStr">
        <is>
          <t>ND1432.E85 F74 1980</t>
        </is>
      </c>
      <c r="C93" t="inlineStr">
        <is>
          <t>0                      ND 1432000E  85                 F  74          1980</t>
        </is>
      </c>
      <c r="D93" t="inlineStr">
        <is>
          <t>A bestiary for Saint Jerome : animal symbolism in European religious art / Herbert Friedmann.</t>
        </is>
      </c>
      <c r="F93" t="inlineStr">
        <is>
          <t>No</t>
        </is>
      </c>
      <c r="G93" t="inlineStr">
        <is>
          <t>1</t>
        </is>
      </c>
      <c r="H93" t="inlineStr">
        <is>
          <t>No</t>
        </is>
      </c>
      <c r="I93" t="inlineStr">
        <is>
          <t>No</t>
        </is>
      </c>
      <c r="J93" t="inlineStr">
        <is>
          <t>0</t>
        </is>
      </c>
      <c r="K93" t="inlineStr">
        <is>
          <t>Friedmann, Herbert, 1900-1987.</t>
        </is>
      </c>
      <c r="L93" t="inlineStr">
        <is>
          <t>Washington : Smithsonian Institution Press, 1980.</t>
        </is>
      </c>
      <c r="M93" t="inlineStr">
        <is>
          <t>1980</t>
        </is>
      </c>
      <c r="O93" t="inlineStr">
        <is>
          <t>eng</t>
        </is>
      </c>
      <c r="P93" t="inlineStr">
        <is>
          <t>dcu</t>
        </is>
      </c>
      <c r="R93" t="inlineStr">
        <is>
          <t xml:space="preserve">ND </t>
        </is>
      </c>
      <c r="S93" t="n">
        <v>3</v>
      </c>
      <c r="T93" t="n">
        <v>3</v>
      </c>
      <c r="U93" t="inlineStr">
        <is>
          <t>1993-11-19</t>
        </is>
      </c>
      <c r="V93" t="inlineStr">
        <is>
          <t>1993-11-19</t>
        </is>
      </c>
      <c r="W93" t="inlineStr">
        <is>
          <t>1993-05-28</t>
        </is>
      </c>
      <c r="X93" t="inlineStr">
        <is>
          <t>1993-05-28</t>
        </is>
      </c>
      <c r="Y93" t="n">
        <v>598</v>
      </c>
      <c r="Z93" t="n">
        <v>478</v>
      </c>
      <c r="AA93" t="n">
        <v>481</v>
      </c>
      <c r="AB93" t="n">
        <v>4</v>
      </c>
      <c r="AC93" t="n">
        <v>4</v>
      </c>
      <c r="AD93" t="n">
        <v>23</v>
      </c>
      <c r="AE93" t="n">
        <v>23</v>
      </c>
      <c r="AF93" t="n">
        <v>9</v>
      </c>
      <c r="AG93" t="n">
        <v>9</v>
      </c>
      <c r="AH93" t="n">
        <v>6</v>
      </c>
      <c r="AI93" t="n">
        <v>6</v>
      </c>
      <c r="AJ93" t="n">
        <v>14</v>
      </c>
      <c r="AK93" t="n">
        <v>14</v>
      </c>
      <c r="AL93" t="n">
        <v>2</v>
      </c>
      <c r="AM93" t="n">
        <v>2</v>
      </c>
      <c r="AN93" t="n">
        <v>0</v>
      </c>
      <c r="AO93" t="n">
        <v>0</v>
      </c>
      <c r="AP93" t="inlineStr">
        <is>
          <t>No</t>
        </is>
      </c>
      <c r="AQ93" t="inlineStr">
        <is>
          <t>Yes</t>
        </is>
      </c>
      <c r="AR93">
        <f>HYPERLINK("http://catalog.hathitrust.org/Record/000086532","HathiTrust Record")</f>
        <v/>
      </c>
      <c r="AS93">
        <f>HYPERLINK("https://creighton-primo.hosted.exlibrisgroup.com/primo-explore/search?tab=default_tab&amp;search_scope=EVERYTHING&amp;vid=01CRU&amp;lang=en_US&amp;offset=0&amp;query=any,contains,991004859389702656","Catalog Record")</f>
        <v/>
      </c>
      <c r="AT93">
        <f>HYPERLINK("http://www.worldcat.org/oclc/5680124","WorldCat Record")</f>
        <v/>
      </c>
      <c r="AU93" t="inlineStr">
        <is>
          <t>19039065:eng</t>
        </is>
      </c>
      <c r="AV93" t="inlineStr">
        <is>
          <t>5680124</t>
        </is>
      </c>
      <c r="AW93" t="inlineStr">
        <is>
          <t>991004859389702656</t>
        </is>
      </c>
      <c r="AX93" t="inlineStr">
        <is>
          <t>991004859389702656</t>
        </is>
      </c>
      <c r="AY93" t="inlineStr">
        <is>
          <t>2258935020002656</t>
        </is>
      </c>
      <c r="AZ93" t="inlineStr">
        <is>
          <t>BOOK</t>
        </is>
      </c>
      <c r="BB93" t="inlineStr">
        <is>
          <t>9780874744460</t>
        </is>
      </c>
      <c r="BC93" t="inlineStr">
        <is>
          <t>32285001693695</t>
        </is>
      </c>
      <c r="BD93" t="inlineStr">
        <is>
          <t>893424271</t>
        </is>
      </c>
    </row>
    <row r="94">
      <c r="A94" t="inlineStr">
        <is>
          <t>No</t>
        </is>
      </c>
      <c r="B94" t="inlineStr">
        <is>
          <t>ND1432.I8 G64 1986</t>
        </is>
      </c>
      <c r="C94" t="inlineStr">
        <is>
          <t>0                      ND 1432000I  8                  G  64          1986</t>
        </is>
      </c>
      <c r="D94" t="inlineStr">
        <is>
          <t>Piety and patronage in Renaissance Venice : Bellini, Titian, and the Franciscans / Rona Goffen.</t>
        </is>
      </c>
      <c r="F94" t="inlineStr">
        <is>
          <t>No</t>
        </is>
      </c>
      <c r="G94" t="inlineStr">
        <is>
          <t>1</t>
        </is>
      </c>
      <c r="H94" t="inlineStr">
        <is>
          <t>No</t>
        </is>
      </c>
      <c r="I94" t="inlineStr">
        <is>
          <t>No</t>
        </is>
      </c>
      <c r="J94" t="inlineStr">
        <is>
          <t>0</t>
        </is>
      </c>
      <c r="K94" t="inlineStr">
        <is>
          <t>Goffen, Rona, 1944-2004.</t>
        </is>
      </c>
      <c r="L94" t="inlineStr">
        <is>
          <t>New Haven : Yale University Press, c1986.</t>
        </is>
      </c>
      <c r="M94" t="inlineStr">
        <is>
          <t>1986</t>
        </is>
      </c>
      <c r="O94" t="inlineStr">
        <is>
          <t>eng</t>
        </is>
      </c>
      <c r="P94" t="inlineStr">
        <is>
          <t>ctu</t>
        </is>
      </c>
      <c r="R94" t="inlineStr">
        <is>
          <t xml:space="preserve">ND </t>
        </is>
      </c>
      <c r="S94" t="n">
        <v>5</v>
      </c>
      <c r="T94" t="n">
        <v>5</v>
      </c>
      <c r="U94" t="inlineStr">
        <is>
          <t>2002-04-09</t>
        </is>
      </c>
      <c r="V94" t="inlineStr">
        <is>
          <t>2002-04-09</t>
        </is>
      </c>
      <c r="W94" t="inlineStr">
        <is>
          <t>1992-03-25</t>
        </is>
      </c>
      <c r="X94" t="inlineStr">
        <is>
          <t>1992-03-25</t>
        </is>
      </c>
      <c r="Y94" t="n">
        <v>710</v>
      </c>
      <c r="Z94" t="n">
        <v>537</v>
      </c>
      <c r="AA94" t="n">
        <v>542</v>
      </c>
      <c r="AB94" t="n">
        <v>3</v>
      </c>
      <c r="AC94" t="n">
        <v>3</v>
      </c>
      <c r="AD94" t="n">
        <v>29</v>
      </c>
      <c r="AE94" t="n">
        <v>29</v>
      </c>
      <c r="AF94" t="n">
        <v>15</v>
      </c>
      <c r="AG94" t="n">
        <v>15</v>
      </c>
      <c r="AH94" t="n">
        <v>7</v>
      </c>
      <c r="AI94" t="n">
        <v>7</v>
      </c>
      <c r="AJ94" t="n">
        <v>16</v>
      </c>
      <c r="AK94" t="n">
        <v>16</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HYPERLINK("https://creighton-primo.hosted.exlibrisgroup.com/primo-explore/search?tab=default_tab&amp;search_scope=EVERYTHING&amp;vid=01CRU&amp;lang=en_US&amp;offset=0&amp;query=any,contains,991000701909702656","Catalog Record")</f>
        <v/>
      </c>
      <c r="AT94">
        <f>HYPERLINK("http://www.worldcat.org/oclc/12550794","WorldCat Record")</f>
        <v/>
      </c>
      <c r="AU94" t="inlineStr">
        <is>
          <t>836656533:eng</t>
        </is>
      </c>
      <c r="AV94" t="inlineStr">
        <is>
          <t>12550794</t>
        </is>
      </c>
      <c r="AW94" t="inlineStr">
        <is>
          <t>991000701909702656</t>
        </is>
      </c>
      <c r="AX94" t="inlineStr">
        <is>
          <t>991000701909702656</t>
        </is>
      </c>
      <c r="AY94" t="inlineStr">
        <is>
          <t>2267242450002656</t>
        </is>
      </c>
      <c r="AZ94" t="inlineStr">
        <is>
          <t>BOOK</t>
        </is>
      </c>
      <c r="BB94" t="inlineStr">
        <is>
          <t>9780300034554</t>
        </is>
      </c>
      <c r="BC94" t="inlineStr">
        <is>
          <t>32285001006047</t>
        </is>
      </c>
      <c r="BD94" t="inlineStr">
        <is>
          <t>893333698</t>
        </is>
      </c>
    </row>
    <row r="95">
      <c r="A95" t="inlineStr">
        <is>
          <t>No</t>
        </is>
      </c>
      <c r="B95" t="inlineStr">
        <is>
          <t>ND144 .N38 1991</t>
        </is>
      </c>
      <c r="C95" t="inlineStr">
        <is>
          <t>0                      ND 0144000N  38          1991</t>
        </is>
      </c>
      <c r="D95" t="inlineStr">
        <is>
          <t>Giotto to Dürer : early Renaissance painting in the National Gallery / Jill Dunkerton ... [et al.].</t>
        </is>
      </c>
      <c r="F95" t="inlineStr">
        <is>
          <t>No</t>
        </is>
      </c>
      <c r="G95" t="inlineStr">
        <is>
          <t>1</t>
        </is>
      </c>
      <c r="H95" t="inlineStr">
        <is>
          <t>No</t>
        </is>
      </c>
      <c r="I95" t="inlineStr">
        <is>
          <t>No</t>
        </is>
      </c>
      <c r="J95" t="inlineStr">
        <is>
          <t>0</t>
        </is>
      </c>
      <c r="K95" t="inlineStr">
        <is>
          <t>National Gallery (Great Britain).</t>
        </is>
      </c>
      <c r="L95" t="inlineStr">
        <is>
          <t>New Haven : Yale University Press ; London : National Gallery Publications, c1991.</t>
        </is>
      </c>
      <c r="M95" t="inlineStr">
        <is>
          <t>1991</t>
        </is>
      </c>
      <c r="O95" t="inlineStr">
        <is>
          <t>eng</t>
        </is>
      </c>
      <c r="P95" t="inlineStr">
        <is>
          <t>ctu</t>
        </is>
      </c>
      <c r="R95" t="inlineStr">
        <is>
          <t xml:space="preserve">ND </t>
        </is>
      </c>
      <c r="S95" t="n">
        <v>9</v>
      </c>
      <c r="T95" t="n">
        <v>9</v>
      </c>
      <c r="U95" t="inlineStr">
        <is>
          <t>2000-08-01</t>
        </is>
      </c>
      <c r="V95" t="inlineStr">
        <is>
          <t>2000-08-01</t>
        </is>
      </c>
      <c r="W95" t="inlineStr">
        <is>
          <t>1992-10-13</t>
        </is>
      </c>
      <c r="X95" t="inlineStr">
        <is>
          <t>1992-10-13</t>
        </is>
      </c>
      <c r="Y95" t="n">
        <v>1012</v>
      </c>
      <c r="Z95" t="n">
        <v>804</v>
      </c>
      <c r="AA95" t="n">
        <v>816</v>
      </c>
      <c r="AB95" t="n">
        <v>3</v>
      </c>
      <c r="AC95" t="n">
        <v>3</v>
      </c>
      <c r="AD95" t="n">
        <v>30</v>
      </c>
      <c r="AE95" t="n">
        <v>33</v>
      </c>
      <c r="AF95" t="n">
        <v>17</v>
      </c>
      <c r="AG95" t="n">
        <v>18</v>
      </c>
      <c r="AH95" t="n">
        <v>5</v>
      </c>
      <c r="AI95" t="n">
        <v>7</v>
      </c>
      <c r="AJ95" t="n">
        <v>16</v>
      </c>
      <c r="AK95" t="n">
        <v>17</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HYPERLINK("https://creighton-primo.hosted.exlibrisgroup.com/primo-explore/search?tab=default_tab&amp;search_scope=EVERYTHING&amp;vid=01CRU&amp;lang=en_US&amp;offset=0&amp;query=any,contains,991001935719702656","Catalog Record")</f>
        <v/>
      </c>
      <c r="AT95">
        <f>HYPERLINK("http://www.worldcat.org/oclc/24451690","WorldCat Record")</f>
        <v/>
      </c>
      <c r="AU95" t="inlineStr">
        <is>
          <t>905863793:eng</t>
        </is>
      </c>
      <c r="AV95" t="inlineStr">
        <is>
          <t>24451690</t>
        </is>
      </c>
      <c r="AW95" t="inlineStr">
        <is>
          <t>991001935719702656</t>
        </is>
      </c>
      <c r="AX95" t="inlineStr">
        <is>
          <t>991001935719702656</t>
        </is>
      </c>
      <c r="AY95" t="inlineStr">
        <is>
          <t>2267503480002656</t>
        </is>
      </c>
      <c r="AZ95" t="inlineStr">
        <is>
          <t>BOOK</t>
        </is>
      </c>
      <c r="BB95" t="inlineStr">
        <is>
          <t>9780300050707</t>
        </is>
      </c>
      <c r="BC95" t="inlineStr">
        <is>
          <t>32285001317642</t>
        </is>
      </c>
      <c r="BD95" t="inlineStr">
        <is>
          <t>893603009</t>
        </is>
      </c>
    </row>
    <row r="96">
      <c r="A96" t="inlineStr">
        <is>
          <t>No</t>
        </is>
      </c>
      <c r="B96" t="inlineStr">
        <is>
          <t>ND1441 .R43 1995</t>
        </is>
      </c>
      <c r="C96" t="inlineStr">
        <is>
          <t>0                      ND 1441000R  43          1995</t>
        </is>
      </c>
      <c r="D96" t="inlineStr">
        <is>
          <t>Redefining American history painting / edited by Patricia M. Burnham, Lucretia Hoover Giese.</t>
        </is>
      </c>
      <c r="F96" t="inlineStr">
        <is>
          <t>No</t>
        </is>
      </c>
      <c r="G96" t="inlineStr">
        <is>
          <t>1</t>
        </is>
      </c>
      <c r="H96" t="inlineStr">
        <is>
          <t>No</t>
        </is>
      </c>
      <c r="I96" t="inlineStr">
        <is>
          <t>No</t>
        </is>
      </c>
      <c r="J96" t="inlineStr">
        <is>
          <t>0</t>
        </is>
      </c>
      <c r="L96" t="inlineStr">
        <is>
          <t>Cambridge ; New York : Cambridge University Press, 1995.</t>
        </is>
      </c>
      <c r="M96" t="inlineStr">
        <is>
          <t>1995</t>
        </is>
      </c>
      <c r="O96" t="inlineStr">
        <is>
          <t>eng</t>
        </is>
      </c>
      <c r="P96" t="inlineStr">
        <is>
          <t>enk</t>
        </is>
      </c>
      <c r="R96" t="inlineStr">
        <is>
          <t xml:space="preserve">ND </t>
        </is>
      </c>
      <c r="S96" t="n">
        <v>2</v>
      </c>
      <c r="T96" t="n">
        <v>2</v>
      </c>
      <c r="U96" t="inlineStr">
        <is>
          <t>1999-12-14</t>
        </is>
      </c>
      <c r="V96" t="inlineStr">
        <is>
          <t>1999-12-14</t>
        </is>
      </c>
      <c r="W96" t="inlineStr">
        <is>
          <t>1997-06-25</t>
        </is>
      </c>
      <c r="X96" t="inlineStr">
        <is>
          <t>1997-06-25</t>
        </is>
      </c>
      <c r="Y96" t="n">
        <v>472</v>
      </c>
      <c r="Z96" t="n">
        <v>402</v>
      </c>
      <c r="AA96" t="n">
        <v>407</v>
      </c>
      <c r="AB96" t="n">
        <v>4</v>
      </c>
      <c r="AC96" t="n">
        <v>4</v>
      </c>
      <c r="AD96" t="n">
        <v>21</v>
      </c>
      <c r="AE96" t="n">
        <v>21</v>
      </c>
      <c r="AF96" t="n">
        <v>8</v>
      </c>
      <c r="AG96" t="n">
        <v>8</v>
      </c>
      <c r="AH96" t="n">
        <v>5</v>
      </c>
      <c r="AI96" t="n">
        <v>5</v>
      </c>
      <c r="AJ96" t="n">
        <v>11</v>
      </c>
      <c r="AK96" t="n">
        <v>11</v>
      </c>
      <c r="AL96" t="n">
        <v>3</v>
      </c>
      <c r="AM96" t="n">
        <v>3</v>
      </c>
      <c r="AN96" t="n">
        <v>0</v>
      </c>
      <c r="AO96" t="n">
        <v>0</v>
      </c>
      <c r="AP96" t="inlineStr">
        <is>
          <t>No</t>
        </is>
      </c>
      <c r="AQ96" t="inlineStr">
        <is>
          <t>No</t>
        </is>
      </c>
      <c r="AS96">
        <f>HYPERLINK("https://creighton-primo.hosted.exlibrisgroup.com/primo-explore/search?tab=default_tab&amp;search_scope=EVERYTHING&amp;vid=01CRU&amp;lang=en_US&amp;offset=0&amp;query=any,contains,991002456019702656","Catalog Record")</f>
        <v/>
      </c>
      <c r="AT96">
        <f>HYPERLINK("http://www.worldcat.org/oclc/32014672","WorldCat Record")</f>
        <v/>
      </c>
      <c r="AU96" t="inlineStr">
        <is>
          <t>33917409:eng</t>
        </is>
      </c>
      <c r="AV96" t="inlineStr">
        <is>
          <t>32014672</t>
        </is>
      </c>
      <c r="AW96" t="inlineStr">
        <is>
          <t>991002456019702656</t>
        </is>
      </c>
      <c r="AX96" t="inlineStr">
        <is>
          <t>991002456019702656</t>
        </is>
      </c>
      <c r="AY96" t="inlineStr">
        <is>
          <t>2255361850002656</t>
        </is>
      </c>
      <c r="AZ96" t="inlineStr">
        <is>
          <t>BOOK</t>
        </is>
      </c>
      <c r="BB96" t="inlineStr">
        <is>
          <t>9780521460590</t>
        </is>
      </c>
      <c r="BC96" t="inlineStr">
        <is>
          <t>32285002754041</t>
        </is>
      </c>
      <c r="BD96" t="inlineStr">
        <is>
          <t>893898770</t>
        </is>
      </c>
    </row>
    <row r="97">
      <c r="A97" t="inlineStr">
        <is>
          <t>No</t>
        </is>
      </c>
      <c r="B97" t="inlineStr">
        <is>
          <t>ND1451.5 .J64 1991</t>
        </is>
      </c>
      <c r="C97" t="inlineStr">
        <is>
          <t>0                      ND 1451500J  64          1991</t>
        </is>
      </c>
      <c r="D97" t="inlineStr">
        <is>
          <t>American genre painting : the politics of everyday life / Elizabeth Johns.</t>
        </is>
      </c>
      <c r="F97" t="inlineStr">
        <is>
          <t>No</t>
        </is>
      </c>
      <c r="G97" t="inlineStr">
        <is>
          <t>1</t>
        </is>
      </c>
      <c r="H97" t="inlineStr">
        <is>
          <t>No</t>
        </is>
      </c>
      <c r="I97" t="inlineStr">
        <is>
          <t>No</t>
        </is>
      </c>
      <c r="J97" t="inlineStr">
        <is>
          <t>0</t>
        </is>
      </c>
      <c r="K97" t="inlineStr">
        <is>
          <t>Johns, Elizabeth, 1937-</t>
        </is>
      </c>
      <c r="L97" t="inlineStr">
        <is>
          <t>New Haven : Yale University Press, c1991.</t>
        </is>
      </c>
      <c r="M97" t="inlineStr">
        <is>
          <t>1991</t>
        </is>
      </c>
      <c r="O97" t="inlineStr">
        <is>
          <t>eng</t>
        </is>
      </c>
      <c r="P97" t="inlineStr">
        <is>
          <t>ctu</t>
        </is>
      </c>
      <c r="R97" t="inlineStr">
        <is>
          <t xml:space="preserve">ND </t>
        </is>
      </c>
      <c r="S97" t="n">
        <v>7</v>
      </c>
      <c r="T97" t="n">
        <v>7</v>
      </c>
      <c r="U97" t="inlineStr">
        <is>
          <t>2002-02-26</t>
        </is>
      </c>
      <c r="V97" t="inlineStr">
        <is>
          <t>2002-02-26</t>
        </is>
      </c>
      <c r="W97" t="inlineStr">
        <is>
          <t>1995-03-01</t>
        </is>
      </c>
      <c r="X97" t="inlineStr">
        <is>
          <t>1995-03-01</t>
        </is>
      </c>
      <c r="Y97" t="n">
        <v>1005</v>
      </c>
      <c r="Z97" t="n">
        <v>880</v>
      </c>
      <c r="AA97" t="n">
        <v>891</v>
      </c>
      <c r="AB97" t="n">
        <v>6</v>
      </c>
      <c r="AC97" t="n">
        <v>6</v>
      </c>
      <c r="AD97" t="n">
        <v>39</v>
      </c>
      <c r="AE97" t="n">
        <v>39</v>
      </c>
      <c r="AF97" t="n">
        <v>18</v>
      </c>
      <c r="AG97" t="n">
        <v>18</v>
      </c>
      <c r="AH97" t="n">
        <v>9</v>
      </c>
      <c r="AI97" t="n">
        <v>9</v>
      </c>
      <c r="AJ97" t="n">
        <v>18</v>
      </c>
      <c r="AK97" t="n">
        <v>18</v>
      </c>
      <c r="AL97" t="n">
        <v>4</v>
      </c>
      <c r="AM97" t="n">
        <v>4</v>
      </c>
      <c r="AN97" t="n">
        <v>0</v>
      </c>
      <c r="AO97" t="n">
        <v>0</v>
      </c>
      <c r="AP97" t="inlineStr">
        <is>
          <t>No</t>
        </is>
      </c>
      <c r="AQ97" t="inlineStr">
        <is>
          <t>No</t>
        </is>
      </c>
      <c r="AS97">
        <f>HYPERLINK("https://creighton-primo.hosted.exlibrisgroup.com/primo-explore/search?tab=default_tab&amp;search_scope=EVERYTHING&amp;vid=01CRU&amp;lang=en_US&amp;offset=0&amp;query=any,contains,991005413209702656","Catalog Record")</f>
        <v/>
      </c>
      <c r="AT97">
        <f>HYPERLINK("http://www.worldcat.org/oclc/23213978","WorldCat Record")</f>
        <v/>
      </c>
      <c r="AU97" t="inlineStr">
        <is>
          <t>433894054:eng</t>
        </is>
      </c>
      <c r="AV97" t="inlineStr">
        <is>
          <t>23213978</t>
        </is>
      </c>
      <c r="AW97" t="inlineStr">
        <is>
          <t>991005413209702656</t>
        </is>
      </c>
      <c r="AX97" t="inlineStr">
        <is>
          <t>991005413209702656</t>
        </is>
      </c>
      <c r="AY97" t="inlineStr">
        <is>
          <t>2262470410002656</t>
        </is>
      </c>
      <c r="AZ97" t="inlineStr">
        <is>
          <t>BOOK</t>
        </is>
      </c>
      <c r="BB97" t="inlineStr">
        <is>
          <t>9780300050196</t>
        </is>
      </c>
      <c r="BC97" t="inlineStr">
        <is>
          <t>32285002001005</t>
        </is>
      </c>
      <c r="BD97" t="inlineStr">
        <is>
          <t>893890193</t>
        </is>
      </c>
    </row>
    <row r="98">
      <c r="A98" t="inlineStr">
        <is>
          <t>No</t>
        </is>
      </c>
      <c r="B98" t="inlineStr">
        <is>
          <t>ND1451.5 .N67 1979</t>
        </is>
      </c>
      <c r="C98" t="inlineStr">
        <is>
          <t>0                      ND 1451500N  67          1979</t>
        </is>
      </c>
      <c r="D98" t="inlineStr">
        <is>
          <t>The way West : artist-explorers of the frontier : selections from the collections of Northern Natural Gas Company / [text by George P. Tomko ; rev. by Ruby C. Hagerbaumer].</t>
        </is>
      </c>
      <c r="F98" t="inlineStr">
        <is>
          <t>No</t>
        </is>
      </c>
      <c r="G98" t="inlineStr">
        <is>
          <t>1</t>
        </is>
      </c>
      <c r="H98" t="inlineStr">
        <is>
          <t>No</t>
        </is>
      </c>
      <c r="I98" t="inlineStr">
        <is>
          <t>No</t>
        </is>
      </c>
      <c r="J98" t="inlineStr">
        <is>
          <t>0</t>
        </is>
      </c>
      <c r="K98" t="inlineStr">
        <is>
          <t>Northern Natural Gas Company.</t>
        </is>
      </c>
      <c r="L98" t="inlineStr">
        <is>
          <t>[Omaha, Neb.] : The Company, [1979?]</t>
        </is>
      </c>
      <c r="M98" t="inlineStr">
        <is>
          <t>1979</t>
        </is>
      </c>
      <c r="O98" t="inlineStr">
        <is>
          <t>eng</t>
        </is>
      </c>
      <c r="P98" t="inlineStr">
        <is>
          <t>nbu</t>
        </is>
      </c>
      <c r="R98" t="inlineStr">
        <is>
          <t xml:space="preserve">ND </t>
        </is>
      </c>
      <c r="S98" t="n">
        <v>1</v>
      </c>
      <c r="T98" t="n">
        <v>1</v>
      </c>
      <c r="U98" t="inlineStr">
        <is>
          <t>2006-03-31</t>
        </is>
      </c>
      <c r="V98" t="inlineStr">
        <is>
          <t>2006-03-31</t>
        </is>
      </c>
      <c r="W98" t="inlineStr">
        <is>
          <t>2002-07-02</t>
        </is>
      </c>
      <c r="X98" t="inlineStr">
        <is>
          <t>2002-07-02</t>
        </is>
      </c>
      <c r="Y98" t="n">
        <v>17</v>
      </c>
      <c r="Z98" t="n">
        <v>17</v>
      </c>
      <c r="AA98" t="n">
        <v>17</v>
      </c>
      <c r="AB98" t="n">
        <v>3</v>
      </c>
      <c r="AC98" t="n">
        <v>3</v>
      </c>
      <c r="AD98" t="n">
        <v>1</v>
      </c>
      <c r="AE98" t="n">
        <v>1</v>
      </c>
      <c r="AF98" t="n">
        <v>0</v>
      </c>
      <c r="AG98" t="n">
        <v>0</v>
      </c>
      <c r="AH98" t="n">
        <v>0</v>
      </c>
      <c r="AI98" t="n">
        <v>0</v>
      </c>
      <c r="AJ98" t="n">
        <v>0</v>
      </c>
      <c r="AK98" t="n">
        <v>0</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HYPERLINK("https://creighton-primo.hosted.exlibrisgroup.com/primo-explore/search?tab=default_tab&amp;search_scope=EVERYTHING&amp;vid=01CRU&amp;lang=en_US&amp;offset=0&amp;query=any,contains,991003833369702656","Catalog Record")</f>
        <v/>
      </c>
      <c r="AT98">
        <f>HYPERLINK("http://www.worldcat.org/oclc/5334784","WorldCat Record")</f>
        <v/>
      </c>
      <c r="AU98" t="inlineStr">
        <is>
          <t>17823731:eng</t>
        </is>
      </c>
      <c r="AV98" t="inlineStr">
        <is>
          <t>5334784</t>
        </is>
      </c>
      <c r="AW98" t="inlineStr">
        <is>
          <t>991003833369702656</t>
        </is>
      </c>
      <c r="AX98" t="inlineStr">
        <is>
          <t>991003833369702656</t>
        </is>
      </c>
      <c r="AY98" t="inlineStr">
        <is>
          <t>2266360770002656</t>
        </is>
      </c>
      <c r="AZ98" t="inlineStr">
        <is>
          <t>BOOK</t>
        </is>
      </c>
      <c r="BC98" t="inlineStr">
        <is>
          <t>32285004496294</t>
        </is>
      </c>
      <c r="BD98" t="inlineStr">
        <is>
          <t>893429276</t>
        </is>
      </c>
    </row>
    <row r="99">
      <c r="A99" t="inlineStr">
        <is>
          <t>No</t>
        </is>
      </c>
      <c r="B99" t="inlineStr">
        <is>
          <t>ND1452.F84 R36 1997</t>
        </is>
      </c>
      <c r="C99" t="inlineStr">
        <is>
          <t>0                      ND 1452000F  84                 R  36          1997</t>
        </is>
      </c>
      <c r="D99" t="inlineStr">
        <is>
          <t>Intimate encounters : love and domesticity in eighteenth-century France / Richard Rand with the assistance of Juliette M. Bianco and contributions by Mark Ledbury ... [et al.].</t>
        </is>
      </c>
      <c r="F99" t="inlineStr">
        <is>
          <t>No</t>
        </is>
      </c>
      <c r="G99" t="inlineStr">
        <is>
          <t>1</t>
        </is>
      </c>
      <c r="H99" t="inlineStr">
        <is>
          <t>No</t>
        </is>
      </c>
      <c r="I99" t="inlineStr">
        <is>
          <t>No</t>
        </is>
      </c>
      <c r="J99" t="inlineStr">
        <is>
          <t>0</t>
        </is>
      </c>
      <c r="K99" t="inlineStr">
        <is>
          <t>Rand, Richard.</t>
        </is>
      </c>
      <c r="L99" t="inlineStr">
        <is>
          <t>[Hanover, N.H.] : Hood Museum of Art, Dartmouth College ; Princeton, N.J. : Princeton University Press, 1997.</t>
        </is>
      </c>
      <c r="M99" t="inlineStr">
        <is>
          <t>1997</t>
        </is>
      </c>
      <c r="O99" t="inlineStr">
        <is>
          <t>eng</t>
        </is>
      </c>
      <c r="P99" t="inlineStr">
        <is>
          <t>nhu</t>
        </is>
      </c>
      <c r="R99" t="inlineStr">
        <is>
          <t xml:space="preserve">ND </t>
        </is>
      </c>
      <c r="S99" t="n">
        <v>1</v>
      </c>
      <c r="T99" t="n">
        <v>1</v>
      </c>
      <c r="U99" t="inlineStr">
        <is>
          <t>2001-04-04</t>
        </is>
      </c>
      <c r="V99" t="inlineStr">
        <is>
          <t>2001-04-04</t>
        </is>
      </c>
      <c r="W99" t="inlineStr">
        <is>
          <t>1998-03-03</t>
        </is>
      </c>
      <c r="X99" t="inlineStr">
        <is>
          <t>1998-03-03</t>
        </is>
      </c>
      <c r="Y99" t="n">
        <v>491</v>
      </c>
      <c r="Z99" t="n">
        <v>399</v>
      </c>
      <c r="AA99" t="n">
        <v>404</v>
      </c>
      <c r="AB99" t="n">
        <v>3</v>
      </c>
      <c r="AC99" t="n">
        <v>3</v>
      </c>
      <c r="AD99" t="n">
        <v>18</v>
      </c>
      <c r="AE99" t="n">
        <v>18</v>
      </c>
      <c r="AF99" t="n">
        <v>7</v>
      </c>
      <c r="AG99" t="n">
        <v>7</v>
      </c>
      <c r="AH99" t="n">
        <v>5</v>
      </c>
      <c r="AI99" t="n">
        <v>5</v>
      </c>
      <c r="AJ99" t="n">
        <v>8</v>
      </c>
      <c r="AK99" t="n">
        <v>8</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HYPERLINK("https://creighton-primo.hosted.exlibrisgroup.com/primo-explore/search?tab=default_tab&amp;search_scope=EVERYTHING&amp;vid=01CRU&amp;lang=en_US&amp;offset=0&amp;query=any,contains,991002765149702656","Catalog Record")</f>
        <v/>
      </c>
      <c r="AT99">
        <f>HYPERLINK("http://www.worldcat.org/oclc/36284152","WorldCat Record")</f>
        <v/>
      </c>
      <c r="AU99" t="inlineStr">
        <is>
          <t>341673679:eng</t>
        </is>
      </c>
      <c r="AV99" t="inlineStr">
        <is>
          <t>36284152</t>
        </is>
      </c>
      <c r="AW99" t="inlineStr">
        <is>
          <t>991002765149702656</t>
        </is>
      </c>
      <c r="AX99" t="inlineStr">
        <is>
          <t>991002765149702656</t>
        </is>
      </c>
      <c r="AY99" t="inlineStr">
        <is>
          <t>2270970950002656</t>
        </is>
      </c>
      <c r="AZ99" t="inlineStr">
        <is>
          <t>BOOK</t>
        </is>
      </c>
      <c r="BB99" t="inlineStr">
        <is>
          <t>9780691016627</t>
        </is>
      </c>
      <c r="BC99" t="inlineStr">
        <is>
          <t>32285003356242</t>
        </is>
      </c>
      <c r="BD99" t="inlineStr">
        <is>
          <t>893524027</t>
        </is>
      </c>
    </row>
    <row r="100">
      <c r="A100" t="inlineStr">
        <is>
          <t>No</t>
        </is>
      </c>
      <c r="B100" t="inlineStr">
        <is>
          <t>ND1452.I82 A5 1995</t>
        </is>
      </c>
      <c r="C100" t="inlineStr">
        <is>
          <t>0                      ND 1452000I  82                 A  5           1995</t>
        </is>
      </c>
      <c r="D100" t="inlineStr">
        <is>
          <t>Story and space in Renaissance art : the rebirth of continuous narrative / Lew Andrews.</t>
        </is>
      </c>
      <c r="F100" t="inlineStr">
        <is>
          <t>No</t>
        </is>
      </c>
      <c r="G100" t="inlineStr">
        <is>
          <t>1</t>
        </is>
      </c>
      <c r="H100" t="inlineStr">
        <is>
          <t>No</t>
        </is>
      </c>
      <c r="I100" t="inlineStr">
        <is>
          <t>No</t>
        </is>
      </c>
      <c r="J100" t="inlineStr">
        <is>
          <t>0</t>
        </is>
      </c>
      <c r="K100" t="inlineStr">
        <is>
          <t>Andrews, Lew.</t>
        </is>
      </c>
      <c r="L100" t="inlineStr">
        <is>
          <t>Cambridge [England] ; New York, NY : Cambridge University Press, 1995.</t>
        </is>
      </c>
      <c r="M100" t="inlineStr">
        <is>
          <t>1995</t>
        </is>
      </c>
      <c r="O100" t="inlineStr">
        <is>
          <t>eng</t>
        </is>
      </c>
      <c r="P100" t="inlineStr">
        <is>
          <t>enk</t>
        </is>
      </c>
      <c r="R100" t="inlineStr">
        <is>
          <t xml:space="preserve">ND </t>
        </is>
      </c>
      <c r="S100" t="n">
        <v>0</v>
      </c>
      <c r="T100" t="n">
        <v>0</v>
      </c>
      <c r="U100" t="inlineStr">
        <is>
          <t>2007-03-21</t>
        </is>
      </c>
      <c r="V100" t="inlineStr">
        <is>
          <t>2007-03-21</t>
        </is>
      </c>
      <c r="W100" t="inlineStr">
        <is>
          <t>1997-06-25</t>
        </is>
      </c>
      <c r="X100" t="inlineStr">
        <is>
          <t>1997-06-25</t>
        </is>
      </c>
      <c r="Y100" t="n">
        <v>515</v>
      </c>
      <c r="Z100" t="n">
        <v>385</v>
      </c>
      <c r="AA100" t="n">
        <v>414</v>
      </c>
      <c r="AB100" t="n">
        <v>3</v>
      </c>
      <c r="AC100" t="n">
        <v>3</v>
      </c>
      <c r="AD100" t="n">
        <v>24</v>
      </c>
      <c r="AE100" t="n">
        <v>24</v>
      </c>
      <c r="AF100" t="n">
        <v>11</v>
      </c>
      <c r="AG100" t="n">
        <v>11</v>
      </c>
      <c r="AH100" t="n">
        <v>6</v>
      </c>
      <c r="AI100" t="n">
        <v>6</v>
      </c>
      <c r="AJ100" t="n">
        <v>10</v>
      </c>
      <c r="AK100" t="n">
        <v>10</v>
      </c>
      <c r="AL100" t="n">
        <v>2</v>
      </c>
      <c r="AM100" t="n">
        <v>2</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HYPERLINK("https://creighton-primo.hosted.exlibrisgroup.com/primo-explore/search?tab=default_tab&amp;search_scope=EVERYTHING&amp;vid=01CRU&amp;lang=en_US&amp;offset=0&amp;query=any,contains,991002429809702656","Catalog Record")</f>
        <v/>
      </c>
      <c r="AT100">
        <f>HYPERLINK("http://www.worldcat.org/oclc/31662187","WorldCat Record")</f>
        <v/>
      </c>
      <c r="AU100" t="inlineStr">
        <is>
          <t>25799141:eng</t>
        </is>
      </c>
      <c r="AV100" t="inlineStr">
        <is>
          <t>31662187</t>
        </is>
      </c>
      <c r="AW100" t="inlineStr">
        <is>
          <t>991002429809702656</t>
        </is>
      </c>
      <c r="AX100" t="inlineStr">
        <is>
          <t>991002429809702656</t>
        </is>
      </c>
      <c r="AY100" t="inlineStr">
        <is>
          <t>2257009960002656</t>
        </is>
      </c>
      <c r="AZ100" t="inlineStr">
        <is>
          <t>BOOK</t>
        </is>
      </c>
      <c r="BB100" t="inlineStr">
        <is>
          <t>9780521473569</t>
        </is>
      </c>
      <c r="BC100" t="inlineStr">
        <is>
          <t>32285002754058</t>
        </is>
      </c>
      <c r="BD100" t="inlineStr">
        <is>
          <t>893239024</t>
        </is>
      </c>
    </row>
    <row r="101">
      <c r="A101" t="inlineStr">
        <is>
          <t>No</t>
        </is>
      </c>
      <c r="B101" t="inlineStr">
        <is>
          <t>ND1457.C53 K88 1981</t>
        </is>
      </c>
      <c r="C101" t="inlineStr">
        <is>
          <t>0                      ND 1457000C  53                 K  88          1981</t>
        </is>
      </c>
      <c r="D101" t="inlineStr">
        <is>
          <t>Chinese brushwork : its history, aesthetics, and techniques / Kwo Da-Wei.</t>
        </is>
      </c>
      <c r="F101" t="inlineStr">
        <is>
          <t>No</t>
        </is>
      </c>
      <c r="G101" t="inlineStr">
        <is>
          <t>1</t>
        </is>
      </c>
      <c r="H101" t="inlineStr">
        <is>
          <t>No</t>
        </is>
      </c>
      <c r="I101" t="inlineStr">
        <is>
          <t>No</t>
        </is>
      </c>
      <c r="J101" t="inlineStr">
        <is>
          <t>0</t>
        </is>
      </c>
      <c r="K101" t="inlineStr">
        <is>
          <t>Kwo, Da-Wei, 1919-</t>
        </is>
      </c>
      <c r="L101" t="inlineStr">
        <is>
          <t>Montclair, N.J. : Allanheld &amp; Schram, 1981.</t>
        </is>
      </c>
      <c r="M101" t="inlineStr">
        <is>
          <t>1981</t>
        </is>
      </c>
      <c r="O101" t="inlineStr">
        <is>
          <t>eng</t>
        </is>
      </c>
      <c r="P101" t="inlineStr">
        <is>
          <t>nju</t>
        </is>
      </c>
      <c r="R101" t="inlineStr">
        <is>
          <t xml:space="preserve">ND </t>
        </is>
      </c>
      <c r="S101" t="n">
        <v>7</v>
      </c>
      <c r="T101" t="n">
        <v>7</v>
      </c>
      <c r="U101" t="inlineStr">
        <is>
          <t>2004-06-24</t>
        </is>
      </c>
      <c r="V101" t="inlineStr">
        <is>
          <t>2004-06-24</t>
        </is>
      </c>
      <c r="W101" t="inlineStr">
        <is>
          <t>1993-05-28</t>
        </is>
      </c>
      <c r="X101" t="inlineStr">
        <is>
          <t>1993-05-28</t>
        </is>
      </c>
      <c r="Y101" t="n">
        <v>461</v>
      </c>
      <c r="Z101" t="n">
        <v>386</v>
      </c>
      <c r="AA101" t="n">
        <v>405</v>
      </c>
      <c r="AB101" t="n">
        <v>3</v>
      </c>
      <c r="AC101" t="n">
        <v>3</v>
      </c>
      <c r="AD101" t="n">
        <v>11</v>
      </c>
      <c r="AE101" t="n">
        <v>11</v>
      </c>
      <c r="AF101" t="n">
        <v>5</v>
      </c>
      <c r="AG101" t="n">
        <v>5</v>
      </c>
      <c r="AH101" t="n">
        <v>2</v>
      </c>
      <c r="AI101" t="n">
        <v>2</v>
      </c>
      <c r="AJ101" t="n">
        <v>5</v>
      </c>
      <c r="AK101" t="n">
        <v>5</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HYPERLINK("https://creighton-primo.hosted.exlibrisgroup.com/primo-explore/search?tab=default_tab&amp;search_scope=EVERYTHING&amp;vid=01CRU&amp;lang=en_US&amp;offset=0&amp;query=any,contains,991005096379702656","Catalog Record")</f>
        <v/>
      </c>
      <c r="AT101">
        <f>HYPERLINK("http://www.worldcat.org/oclc/7273804","WorldCat Record")</f>
        <v/>
      </c>
      <c r="AU101" t="inlineStr">
        <is>
          <t>44926226:eng</t>
        </is>
      </c>
      <c r="AV101" t="inlineStr">
        <is>
          <t>7273804</t>
        </is>
      </c>
      <c r="AW101" t="inlineStr">
        <is>
          <t>991005096379702656</t>
        </is>
      </c>
      <c r="AX101" t="inlineStr">
        <is>
          <t>991005096379702656</t>
        </is>
      </c>
      <c r="AY101" t="inlineStr">
        <is>
          <t>2258369280002656</t>
        </is>
      </c>
      <c r="AZ101" t="inlineStr">
        <is>
          <t>BOOK</t>
        </is>
      </c>
      <c r="BB101" t="inlineStr">
        <is>
          <t>9780839002673</t>
        </is>
      </c>
      <c r="BC101" t="inlineStr">
        <is>
          <t>32285001693729</t>
        </is>
      </c>
      <c r="BD101" t="inlineStr">
        <is>
          <t>893248343</t>
        </is>
      </c>
    </row>
    <row r="102">
      <c r="A102" t="inlineStr">
        <is>
          <t>No</t>
        </is>
      </c>
      <c r="B102" t="inlineStr">
        <is>
          <t>ND1457.J33 U9 1991</t>
        </is>
      </c>
      <c r="C102" t="inlineStr">
        <is>
          <t>0                      ND 1457000J  33                 U  9           1991</t>
        </is>
      </c>
      <c r="D102" t="inlineStr">
        <is>
          <t>Japanese calligraphy : a bibliographic study / Cecil H. Uyehara.</t>
        </is>
      </c>
      <c r="F102" t="inlineStr">
        <is>
          <t>No</t>
        </is>
      </c>
      <c r="G102" t="inlineStr">
        <is>
          <t>1</t>
        </is>
      </c>
      <c r="H102" t="inlineStr">
        <is>
          <t>No</t>
        </is>
      </c>
      <c r="I102" t="inlineStr">
        <is>
          <t>No</t>
        </is>
      </c>
      <c r="J102" t="inlineStr">
        <is>
          <t>0</t>
        </is>
      </c>
      <c r="K102" t="inlineStr">
        <is>
          <t>Uyehara, Cecil H.</t>
        </is>
      </c>
      <c r="L102" t="inlineStr">
        <is>
          <t>Lanham, Md. : University Press of America, c1991.</t>
        </is>
      </c>
      <c r="M102" t="inlineStr">
        <is>
          <t>1991</t>
        </is>
      </c>
      <c r="O102" t="inlineStr">
        <is>
          <t>eng</t>
        </is>
      </c>
      <c r="P102" t="inlineStr">
        <is>
          <t>mdu</t>
        </is>
      </c>
      <c r="R102" t="inlineStr">
        <is>
          <t xml:space="preserve">ND </t>
        </is>
      </c>
      <c r="S102" t="n">
        <v>7</v>
      </c>
      <c r="T102" t="n">
        <v>7</v>
      </c>
      <c r="U102" t="inlineStr">
        <is>
          <t>1996-04-22</t>
        </is>
      </c>
      <c r="V102" t="inlineStr">
        <is>
          <t>1996-04-22</t>
        </is>
      </c>
      <c r="W102" t="inlineStr">
        <is>
          <t>1991-10-17</t>
        </is>
      </c>
      <c r="X102" t="inlineStr">
        <is>
          <t>1991-10-17</t>
        </is>
      </c>
      <c r="Y102" t="n">
        <v>138</v>
      </c>
      <c r="Z102" t="n">
        <v>108</v>
      </c>
      <c r="AA102" t="n">
        <v>110</v>
      </c>
      <c r="AB102" t="n">
        <v>2</v>
      </c>
      <c r="AC102" t="n">
        <v>2</v>
      </c>
      <c r="AD102" t="n">
        <v>2</v>
      </c>
      <c r="AE102" t="n">
        <v>2</v>
      </c>
      <c r="AF102" t="n">
        <v>1</v>
      </c>
      <c r="AG102" t="n">
        <v>1</v>
      </c>
      <c r="AH102" t="n">
        <v>0</v>
      </c>
      <c r="AI102" t="n">
        <v>0</v>
      </c>
      <c r="AJ102" t="n">
        <v>1</v>
      </c>
      <c r="AK102" t="n">
        <v>1</v>
      </c>
      <c r="AL102" t="n">
        <v>1</v>
      </c>
      <c r="AM102" t="n">
        <v>1</v>
      </c>
      <c r="AN102" t="n">
        <v>0</v>
      </c>
      <c r="AO102" t="n">
        <v>0</v>
      </c>
      <c r="AP102" t="inlineStr">
        <is>
          <t>No</t>
        </is>
      </c>
      <c r="AQ102" t="inlineStr">
        <is>
          <t>Yes</t>
        </is>
      </c>
      <c r="AR102">
        <f>HYPERLINK("http://catalog.hathitrust.org/Record/002477156","HathiTrust Record")</f>
        <v/>
      </c>
      <c r="AS102">
        <f>HYPERLINK("https://creighton-primo.hosted.exlibrisgroup.com/primo-explore/search?tab=default_tab&amp;search_scope=EVERYTHING&amp;vid=01CRU&amp;lang=en_US&amp;offset=0&amp;query=any,contains,991001822189702656","Catalog Record")</f>
        <v/>
      </c>
      <c r="AT102">
        <f>HYPERLINK("http://www.worldcat.org/oclc/22892947","WorldCat Record")</f>
        <v/>
      </c>
      <c r="AU102" t="inlineStr">
        <is>
          <t>307026371:eng</t>
        </is>
      </c>
      <c r="AV102" t="inlineStr">
        <is>
          <t>22892947</t>
        </is>
      </c>
      <c r="AW102" t="inlineStr">
        <is>
          <t>991001822189702656</t>
        </is>
      </c>
      <c r="AX102" t="inlineStr">
        <is>
          <t>991001822189702656</t>
        </is>
      </c>
      <c r="AY102" t="inlineStr">
        <is>
          <t>2267019300002656</t>
        </is>
      </c>
      <c r="AZ102" t="inlineStr">
        <is>
          <t>BOOK</t>
        </is>
      </c>
      <c r="BB102" t="inlineStr">
        <is>
          <t>9780819181701</t>
        </is>
      </c>
      <c r="BC102" t="inlineStr">
        <is>
          <t>32285000727098</t>
        </is>
      </c>
      <c r="BD102" t="inlineStr">
        <is>
          <t>893602920</t>
        </is>
      </c>
    </row>
    <row r="103">
      <c r="A103" t="inlineStr">
        <is>
          <t>No</t>
        </is>
      </c>
      <c r="B103" t="inlineStr">
        <is>
          <t>ND1460.W65 K47 1989</t>
        </is>
      </c>
      <c r="C103" t="inlineStr">
        <is>
          <t>0                      ND 1460000W  65                 K  47          1989</t>
        </is>
      </c>
      <c r="D103" t="inlineStr">
        <is>
          <t>Mythology and misogyny : the social discourse of nineteenth-century British classical-subject painting / Joseph A. Kestner.</t>
        </is>
      </c>
      <c r="F103" t="inlineStr">
        <is>
          <t>No</t>
        </is>
      </c>
      <c r="G103" t="inlineStr">
        <is>
          <t>1</t>
        </is>
      </c>
      <c r="H103" t="inlineStr">
        <is>
          <t>No</t>
        </is>
      </c>
      <c r="I103" t="inlineStr">
        <is>
          <t>No</t>
        </is>
      </c>
      <c r="J103" t="inlineStr">
        <is>
          <t>0</t>
        </is>
      </c>
      <c r="K103" t="inlineStr">
        <is>
          <t>Kestner, Joseph A.</t>
        </is>
      </c>
      <c r="L103" t="inlineStr">
        <is>
          <t>Madison, Wis. : University of Wisconsin Press, c1989.</t>
        </is>
      </c>
      <c r="M103" t="inlineStr">
        <is>
          <t>1988</t>
        </is>
      </c>
      <c r="O103" t="inlineStr">
        <is>
          <t>eng</t>
        </is>
      </c>
      <c r="P103" t="inlineStr">
        <is>
          <t>wiu</t>
        </is>
      </c>
      <c r="R103" t="inlineStr">
        <is>
          <t xml:space="preserve">ND </t>
        </is>
      </c>
      <c r="S103" t="n">
        <v>2</v>
      </c>
      <c r="T103" t="n">
        <v>2</v>
      </c>
      <c r="U103" t="inlineStr">
        <is>
          <t>2008-10-08</t>
        </is>
      </c>
      <c r="V103" t="inlineStr">
        <is>
          <t>2008-10-08</t>
        </is>
      </c>
      <c r="W103" t="inlineStr">
        <is>
          <t>1993-05-28</t>
        </is>
      </c>
      <c r="X103" t="inlineStr">
        <is>
          <t>1993-05-28</t>
        </is>
      </c>
      <c r="Y103" t="n">
        <v>574</v>
      </c>
      <c r="Z103" t="n">
        <v>462</v>
      </c>
      <c r="AA103" t="n">
        <v>464</v>
      </c>
      <c r="AB103" t="n">
        <v>4</v>
      </c>
      <c r="AC103" t="n">
        <v>4</v>
      </c>
      <c r="AD103" t="n">
        <v>23</v>
      </c>
      <c r="AE103" t="n">
        <v>23</v>
      </c>
      <c r="AF103" t="n">
        <v>10</v>
      </c>
      <c r="AG103" t="n">
        <v>10</v>
      </c>
      <c r="AH103" t="n">
        <v>5</v>
      </c>
      <c r="AI103" t="n">
        <v>5</v>
      </c>
      <c r="AJ103" t="n">
        <v>12</v>
      </c>
      <c r="AK103" t="n">
        <v>12</v>
      </c>
      <c r="AL103" t="n">
        <v>2</v>
      </c>
      <c r="AM103" t="n">
        <v>2</v>
      </c>
      <c r="AN103" t="n">
        <v>0</v>
      </c>
      <c r="AO103" t="n">
        <v>0</v>
      </c>
      <c r="AP103" t="inlineStr">
        <is>
          <t>No</t>
        </is>
      </c>
      <c r="AQ103" t="inlineStr">
        <is>
          <t>Yes</t>
        </is>
      </c>
      <c r="AR103">
        <f>HYPERLINK("http://catalog.hathitrust.org/Record/001088496","HathiTrust Record")</f>
        <v/>
      </c>
      <c r="AS103">
        <f>HYPERLINK("https://creighton-primo.hosted.exlibrisgroup.com/primo-explore/search?tab=default_tab&amp;search_scope=EVERYTHING&amp;vid=01CRU&amp;lang=en_US&amp;offset=0&amp;query=any,contains,991001271969702656","Catalog Record")</f>
        <v/>
      </c>
      <c r="AT103">
        <f>HYPERLINK("http://www.worldcat.org/oclc/17841861","WorldCat Record")</f>
        <v/>
      </c>
      <c r="AU103" t="inlineStr">
        <is>
          <t>16985790:eng</t>
        </is>
      </c>
      <c r="AV103" t="inlineStr">
        <is>
          <t>17841861</t>
        </is>
      </c>
      <c r="AW103" t="inlineStr">
        <is>
          <t>991001271969702656</t>
        </is>
      </c>
      <c r="AX103" t="inlineStr">
        <is>
          <t>991001271969702656</t>
        </is>
      </c>
      <c r="AY103" t="inlineStr">
        <is>
          <t>2269115820002656</t>
        </is>
      </c>
      <c r="AZ103" t="inlineStr">
        <is>
          <t>BOOK</t>
        </is>
      </c>
      <c r="BB103" t="inlineStr">
        <is>
          <t>9780299115302</t>
        </is>
      </c>
      <c r="BC103" t="inlineStr">
        <is>
          <t>32285001693737</t>
        </is>
      </c>
      <c r="BD103" t="inlineStr">
        <is>
          <t>893596368</t>
        </is>
      </c>
    </row>
    <row r="104">
      <c r="A104" t="inlineStr">
        <is>
          <t>No</t>
        </is>
      </c>
      <c r="B104" t="inlineStr">
        <is>
          <t>ND1460.W65 M84 1985</t>
        </is>
      </c>
      <c r="C104" t="inlineStr">
        <is>
          <t>0                      ND 1460000W  65                 M  84          1985</t>
        </is>
      </c>
      <c r="D104" t="inlineStr">
        <is>
          <t>The painted witch : how Western artists have viewed the sexuality of women / Edwin Mullins.</t>
        </is>
      </c>
      <c r="F104" t="inlineStr">
        <is>
          <t>No</t>
        </is>
      </c>
      <c r="G104" t="inlineStr">
        <is>
          <t>1</t>
        </is>
      </c>
      <c r="H104" t="inlineStr">
        <is>
          <t>No</t>
        </is>
      </c>
      <c r="I104" t="inlineStr">
        <is>
          <t>No</t>
        </is>
      </c>
      <c r="J104" t="inlineStr">
        <is>
          <t>0</t>
        </is>
      </c>
      <c r="K104" t="inlineStr">
        <is>
          <t>Mullins, Edwin, 1933-</t>
        </is>
      </c>
      <c r="L104" t="inlineStr">
        <is>
          <t>New York : Carroll &amp; Graf, 1985.</t>
        </is>
      </c>
      <c r="M104" t="inlineStr">
        <is>
          <t>1985</t>
        </is>
      </c>
      <c r="O104" t="inlineStr">
        <is>
          <t>eng</t>
        </is>
      </c>
      <c r="P104" t="inlineStr">
        <is>
          <t>nyu</t>
        </is>
      </c>
      <c r="R104" t="inlineStr">
        <is>
          <t xml:space="preserve">ND </t>
        </is>
      </c>
      <c r="S104" t="n">
        <v>8</v>
      </c>
      <c r="T104" t="n">
        <v>8</v>
      </c>
      <c r="U104" t="inlineStr">
        <is>
          <t>2001-04-04</t>
        </is>
      </c>
      <c r="V104" t="inlineStr">
        <is>
          <t>2001-04-04</t>
        </is>
      </c>
      <c r="W104" t="inlineStr">
        <is>
          <t>1992-03-17</t>
        </is>
      </c>
      <c r="X104" t="inlineStr">
        <is>
          <t>1992-03-17</t>
        </is>
      </c>
      <c r="Y104" t="n">
        <v>479</v>
      </c>
      <c r="Z104" t="n">
        <v>449</v>
      </c>
      <c r="AA104" t="n">
        <v>534</v>
      </c>
      <c r="AB104" t="n">
        <v>5</v>
      </c>
      <c r="AC104" t="n">
        <v>6</v>
      </c>
      <c r="AD104" t="n">
        <v>15</v>
      </c>
      <c r="AE104" t="n">
        <v>16</v>
      </c>
      <c r="AF104" t="n">
        <v>8</v>
      </c>
      <c r="AG104" t="n">
        <v>8</v>
      </c>
      <c r="AH104" t="n">
        <v>3</v>
      </c>
      <c r="AI104" t="n">
        <v>3</v>
      </c>
      <c r="AJ104" t="n">
        <v>4</v>
      </c>
      <c r="AK104" t="n">
        <v>4</v>
      </c>
      <c r="AL104" t="n">
        <v>3</v>
      </c>
      <c r="AM104" t="n">
        <v>4</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HYPERLINK("https://creighton-primo.hosted.exlibrisgroup.com/primo-explore/search?tab=default_tab&amp;search_scope=EVERYTHING&amp;vid=01CRU&amp;lang=en_US&amp;offset=0&amp;query=any,contains,991000600209702656","Catalog Record")</f>
        <v/>
      </c>
      <c r="AT104">
        <f>HYPERLINK("http://www.worldcat.org/oclc/11840329","WorldCat Record")</f>
        <v/>
      </c>
      <c r="AU104" t="inlineStr">
        <is>
          <t>2278970202:eng</t>
        </is>
      </c>
      <c r="AV104" t="inlineStr">
        <is>
          <t>11840329</t>
        </is>
      </c>
      <c r="AW104" t="inlineStr">
        <is>
          <t>991000600209702656</t>
        </is>
      </c>
      <c r="AX104" t="inlineStr">
        <is>
          <t>991000600209702656</t>
        </is>
      </c>
      <c r="AY104" t="inlineStr">
        <is>
          <t>2267892570002656</t>
        </is>
      </c>
      <c r="AZ104" t="inlineStr">
        <is>
          <t>BOOK</t>
        </is>
      </c>
      <c r="BB104" t="inlineStr">
        <is>
          <t>9780881842005</t>
        </is>
      </c>
      <c r="BC104" t="inlineStr">
        <is>
          <t>32285001012417</t>
        </is>
      </c>
      <c r="BD104" t="inlineStr">
        <is>
          <t>893595699</t>
        </is>
      </c>
    </row>
    <row r="105">
      <c r="A105" t="inlineStr">
        <is>
          <t>No</t>
        </is>
      </c>
      <c r="B105" t="inlineStr">
        <is>
          <t>ND1475 .D86 1991</t>
        </is>
      </c>
      <c r="C105" t="inlineStr">
        <is>
          <t>0                      ND 1475000D  86          1991</t>
        </is>
      </c>
      <c r="D105" t="inlineStr">
        <is>
          <t>Changing images of pictorial space : a history of spatial illusion in painting / William V. Dunning.</t>
        </is>
      </c>
      <c r="F105" t="inlineStr">
        <is>
          <t>No</t>
        </is>
      </c>
      <c r="G105" t="inlineStr">
        <is>
          <t>1</t>
        </is>
      </c>
      <c r="H105" t="inlineStr">
        <is>
          <t>No</t>
        </is>
      </c>
      <c r="I105" t="inlineStr">
        <is>
          <t>No</t>
        </is>
      </c>
      <c r="J105" t="inlineStr">
        <is>
          <t>0</t>
        </is>
      </c>
      <c r="K105" t="inlineStr">
        <is>
          <t>Dunning, William V., 1933-2003.</t>
        </is>
      </c>
      <c r="L105" t="inlineStr">
        <is>
          <t>Syracuse : Syracuse University Press, 1991.</t>
        </is>
      </c>
      <c r="M105" t="inlineStr">
        <is>
          <t>1991</t>
        </is>
      </c>
      <c r="N105" t="inlineStr">
        <is>
          <t>1st ed.</t>
        </is>
      </c>
      <c r="O105" t="inlineStr">
        <is>
          <t>eng</t>
        </is>
      </c>
      <c r="P105" t="inlineStr">
        <is>
          <t>nyu</t>
        </is>
      </c>
      <c r="R105" t="inlineStr">
        <is>
          <t xml:space="preserve">ND </t>
        </is>
      </c>
      <c r="S105" t="n">
        <v>3</v>
      </c>
      <c r="T105" t="n">
        <v>3</v>
      </c>
      <c r="U105" t="inlineStr">
        <is>
          <t>2006-04-05</t>
        </is>
      </c>
      <c r="V105" t="inlineStr">
        <is>
          <t>2006-04-05</t>
        </is>
      </c>
      <c r="W105" t="inlineStr">
        <is>
          <t>1991-12-13</t>
        </is>
      </c>
      <c r="X105" t="inlineStr">
        <is>
          <t>1991-12-13</t>
        </is>
      </c>
      <c r="Y105" t="n">
        <v>674</v>
      </c>
      <c r="Z105" t="n">
        <v>553</v>
      </c>
      <c r="AA105" t="n">
        <v>556</v>
      </c>
      <c r="AB105" t="n">
        <v>3</v>
      </c>
      <c r="AC105" t="n">
        <v>3</v>
      </c>
      <c r="AD105" t="n">
        <v>30</v>
      </c>
      <c r="AE105" t="n">
        <v>30</v>
      </c>
      <c r="AF105" t="n">
        <v>13</v>
      </c>
      <c r="AG105" t="n">
        <v>13</v>
      </c>
      <c r="AH105" t="n">
        <v>9</v>
      </c>
      <c r="AI105" t="n">
        <v>9</v>
      </c>
      <c r="AJ105" t="n">
        <v>13</v>
      </c>
      <c r="AK105" t="n">
        <v>13</v>
      </c>
      <c r="AL105" t="n">
        <v>2</v>
      </c>
      <c r="AM105" t="n">
        <v>2</v>
      </c>
      <c r="AN105" t="n">
        <v>0</v>
      </c>
      <c r="AO105" t="n">
        <v>0</v>
      </c>
      <c r="AP105" t="inlineStr">
        <is>
          <t>No</t>
        </is>
      </c>
      <c r="AQ105" t="inlineStr">
        <is>
          <t>Yes</t>
        </is>
      </c>
      <c r="AR105">
        <f>HYPERLINK("http://catalog.hathitrust.org/Record/002439641","HathiTrust Record")</f>
        <v/>
      </c>
      <c r="AS105">
        <f>HYPERLINK("https://creighton-primo.hosted.exlibrisgroup.com/primo-explore/search?tab=default_tab&amp;search_scope=EVERYTHING&amp;vid=01CRU&amp;lang=en_US&amp;offset=0&amp;query=any,contains,991001868979702656","Catalog Record")</f>
        <v/>
      </c>
      <c r="AT105">
        <f>HYPERLINK("http://www.worldcat.org/oclc/23582911","WorldCat Record")</f>
        <v/>
      </c>
      <c r="AU105" t="inlineStr">
        <is>
          <t>23211222:eng</t>
        </is>
      </c>
      <c r="AV105" t="inlineStr">
        <is>
          <t>23582911</t>
        </is>
      </c>
      <c r="AW105" t="inlineStr">
        <is>
          <t>991001868979702656</t>
        </is>
      </c>
      <c r="AX105" t="inlineStr">
        <is>
          <t>991001868979702656</t>
        </is>
      </c>
      <c r="AY105" t="inlineStr">
        <is>
          <t>2256080110002656</t>
        </is>
      </c>
      <c r="AZ105" t="inlineStr">
        <is>
          <t>BOOK</t>
        </is>
      </c>
      <c r="BB105" t="inlineStr">
        <is>
          <t>9780815625087</t>
        </is>
      </c>
      <c r="BC105" t="inlineStr">
        <is>
          <t>32285000819366</t>
        </is>
      </c>
      <c r="BD105" t="inlineStr">
        <is>
          <t>893497498</t>
        </is>
      </c>
    </row>
    <row r="106">
      <c r="A106" t="inlineStr">
        <is>
          <t>No</t>
        </is>
      </c>
      <c r="B106" t="inlineStr">
        <is>
          <t>ND1475 .K46 1990</t>
        </is>
      </c>
      <c r="C106" t="inlineStr">
        <is>
          <t>0                      ND 1475000K  46          1990</t>
        </is>
      </c>
      <c r="D106" t="inlineStr">
        <is>
          <t>The science of art : optical themes in western art from Brunelleschi to Seurat / Martin Kemp.</t>
        </is>
      </c>
      <c r="F106" t="inlineStr">
        <is>
          <t>No</t>
        </is>
      </c>
      <c r="G106" t="inlineStr">
        <is>
          <t>1</t>
        </is>
      </c>
      <c r="H106" t="inlineStr">
        <is>
          <t>No</t>
        </is>
      </c>
      <c r="I106" t="inlineStr">
        <is>
          <t>No</t>
        </is>
      </c>
      <c r="J106" t="inlineStr">
        <is>
          <t>0</t>
        </is>
      </c>
      <c r="K106" t="inlineStr">
        <is>
          <t>Kemp, Martin.</t>
        </is>
      </c>
      <c r="L106" t="inlineStr">
        <is>
          <t>New Haven : Yale University Press, 1990.</t>
        </is>
      </c>
      <c r="M106" t="inlineStr">
        <is>
          <t>1990</t>
        </is>
      </c>
      <c r="O106" t="inlineStr">
        <is>
          <t>eng</t>
        </is>
      </c>
      <c r="P106" t="inlineStr">
        <is>
          <t>ctu</t>
        </is>
      </c>
      <c r="R106" t="inlineStr">
        <is>
          <t xml:space="preserve">ND </t>
        </is>
      </c>
      <c r="S106" t="n">
        <v>14</v>
      </c>
      <c r="T106" t="n">
        <v>14</v>
      </c>
      <c r="U106" t="inlineStr">
        <is>
          <t>2009-02-02</t>
        </is>
      </c>
      <c r="V106" t="inlineStr">
        <is>
          <t>2009-02-02</t>
        </is>
      </c>
      <c r="W106" t="inlineStr">
        <is>
          <t>1991-02-22</t>
        </is>
      </c>
      <c r="X106" t="inlineStr">
        <is>
          <t>1991-02-22</t>
        </is>
      </c>
      <c r="Y106" t="n">
        <v>1340</v>
      </c>
      <c r="Z106" t="n">
        <v>1022</v>
      </c>
      <c r="AA106" t="n">
        <v>1034</v>
      </c>
      <c r="AB106" t="n">
        <v>8</v>
      </c>
      <c r="AC106" t="n">
        <v>8</v>
      </c>
      <c r="AD106" t="n">
        <v>44</v>
      </c>
      <c r="AE106" t="n">
        <v>44</v>
      </c>
      <c r="AF106" t="n">
        <v>19</v>
      </c>
      <c r="AG106" t="n">
        <v>19</v>
      </c>
      <c r="AH106" t="n">
        <v>10</v>
      </c>
      <c r="AI106" t="n">
        <v>10</v>
      </c>
      <c r="AJ106" t="n">
        <v>20</v>
      </c>
      <c r="AK106" t="n">
        <v>20</v>
      </c>
      <c r="AL106" t="n">
        <v>6</v>
      </c>
      <c r="AM106" t="n">
        <v>6</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HYPERLINK("https://creighton-primo.hosted.exlibrisgroup.com/primo-explore/search?tab=default_tab&amp;search_scope=EVERYTHING&amp;vid=01CRU&amp;lang=en_US&amp;offset=0&amp;query=any,contains,991001401679702656","Catalog Record")</f>
        <v/>
      </c>
      <c r="AT106">
        <f>HYPERLINK("http://www.worldcat.org/oclc/18832748","WorldCat Record")</f>
        <v/>
      </c>
      <c r="AU106" t="inlineStr">
        <is>
          <t>836727663:eng</t>
        </is>
      </c>
      <c r="AV106" t="inlineStr">
        <is>
          <t>18832748</t>
        </is>
      </c>
      <c r="AW106" t="inlineStr">
        <is>
          <t>991001401679702656</t>
        </is>
      </c>
      <c r="AX106" t="inlineStr">
        <is>
          <t>991001401679702656</t>
        </is>
      </c>
      <c r="AY106" t="inlineStr">
        <is>
          <t>2259289050002656</t>
        </is>
      </c>
      <c r="AZ106" t="inlineStr">
        <is>
          <t>BOOK</t>
        </is>
      </c>
      <c r="BB106" t="inlineStr">
        <is>
          <t>9780300043372</t>
        </is>
      </c>
      <c r="BC106" t="inlineStr">
        <is>
          <t>32285000490754</t>
        </is>
      </c>
      <c r="BD106" t="inlineStr">
        <is>
          <t>893439114</t>
        </is>
      </c>
    </row>
    <row r="107">
      <c r="A107" t="inlineStr">
        <is>
          <t>No</t>
        </is>
      </c>
      <c r="B107" t="inlineStr">
        <is>
          <t>ND1488 .J46 2003</t>
        </is>
      </c>
      <c r="C107" t="inlineStr">
        <is>
          <t>0                      ND 1488000J  46          2003</t>
        </is>
      </c>
      <c r="D107" t="inlineStr">
        <is>
          <t>Artist's color manual : the complete guide to working with color / Simon Jennings.</t>
        </is>
      </c>
      <c r="F107" t="inlineStr">
        <is>
          <t>No</t>
        </is>
      </c>
      <c r="G107" t="inlineStr">
        <is>
          <t>1</t>
        </is>
      </c>
      <c r="H107" t="inlineStr">
        <is>
          <t>No</t>
        </is>
      </c>
      <c r="I107" t="inlineStr">
        <is>
          <t>No</t>
        </is>
      </c>
      <c r="J107" t="inlineStr">
        <is>
          <t>0</t>
        </is>
      </c>
      <c r="K107" t="inlineStr">
        <is>
          <t>Jennings, Simon (Artist)</t>
        </is>
      </c>
      <c r="L107" t="inlineStr">
        <is>
          <t>San Francisco, CA : Chronicle Books, 2003.</t>
        </is>
      </c>
      <c r="M107" t="inlineStr">
        <is>
          <t>2003</t>
        </is>
      </c>
      <c r="O107" t="inlineStr">
        <is>
          <t>eng</t>
        </is>
      </c>
      <c r="P107" t="inlineStr">
        <is>
          <t>cau</t>
        </is>
      </c>
      <c r="R107" t="inlineStr">
        <is>
          <t xml:space="preserve">ND </t>
        </is>
      </c>
      <c r="S107" t="n">
        <v>5</v>
      </c>
      <c r="T107" t="n">
        <v>5</v>
      </c>
      <c r="U107" t="inlineStr">
        <is>
          <t>2010-02-09</t>
        </is>
      </c>
      <c r="V107" t="inlineStr">
        <is>
          <t>2010-02-09</t>
        </is>
      </c>
      <c r="W107" t="inlineStr">
        <is>
          <t>2004-04-12</t>
        </is>
      </c>
      <c r="X107" t="inlineStr">
        <is>
          <t>2004-04-12</t>
        </is>
      </c>
      <c r="Y107" t="n">
        <v>351</v>
      </c>
      <c r="Z107" t="n">
        <v>302</v>
      </c>
      <c r="AA107" t="n">
        <v>307</v>
      </c>
      <c r="AB107" t="n">
        <v>6</v>
      </c>
      <c r="AC107" t="n">
        <v>6</v>
      </c>
      <c r="AD107" t="n">
        <v>5</v>
      </c>
      <c r="AE107" t="n">
        <v>5</v>
      </c>
      <c r="AF107" t="n">
        <v>1</v>
      </c>
      <c r="AG107" t="n">
        <v>1</v>
      </c>
      <c r="AH107" t="n">
        <v>1</v>
      </c>
      <c r="AI107" t="n">
        <v>1</v>
      </c>
      <c r="AJ107" t="n">
        <v>2</v>
      </c>
      <c r="AK107" t="n">
        <v>2</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HYPERLINK("https://creighton-primo.hosted.exlibrisgroup.com/primo-explore/search?tab=default_tab&amp;search_scope=EVERYTHING&amp;vid=01CRU&amp;lang=en_US&amp;offset=0&amp;query=any,contains,991004261979702656","Catalog Record")</f>
        <v/>
      </c>
      <c r="AT107">
        <f>HYPERLINK("http://www.worldcat.org/oclc/53873331","WorldCat Record")</f>
        <v/>
      </c>
      <c r="AU107" t="inlineStr">
        <is>
          <t>705852:eng</t>
        </is>
      </c>
      <c r="AV107" t="inlineStr">
        <is>
          <t>53873331</t>
        </is>
      </c>
      <c r="AW107" t="inlineStr">
        <is>
          <t>991004261979702656</t>
        </is>
      </c>
      <c r="AX107" t="inlineStr">
        <is>
          <t>991004261979702656</t>
        </is>
      </c>
      <c r="AY107" t="inlineStr">
        <is>
          <t>2271099990002656</t>
        </is>
      </c>
      <c r="AZ107" t="inlineStr">
        <is>
          <t>BOOK</t>
        </is>
      </c>
      <c r="BB107" t="inlineStr">
        <is>
          <t>9780811841436</t>
        </is>
      </c>
      <c r="BC107" t="inlineStr">
        <is>
          <t>32285004899067</t>
        </is>
      </c>
      <c r="BD107" t="inlineStr">
        <is>
          <t>893618459</t>
        </is>
      </c>
    </row>
    <row r="108">
      <c r="A108" t="inlineStr">
        <is>
          <t>No</t>
        </is>
      </c>
      <c r="B108" t="inlineStr">
        <is>
          <t>ND1488 .K75 1986</t>
        </is>
      </c>
      <c r="C108" t="inlineStr">
        <is>
          <t>0                      ND 1488000K  75          1986</t>
        </is>
      </c>
      <c r="D108" t="inlineStr">
        <is>
          <t>Working with color : a manual for painters / Irving Kriesberg.</t>
        </is>
      </c>
      <c r="F108" t="inlineStr">
        <is>
          <t>No</t>
        </is>
      </c>
      <c r="G108" t="inlineStr">
        <is>
          <t>1</t>
        </is>
      </c>
      <c r="H108" t="inlineStr">
        <is>
          <t>No</t>
        </is>
      </c>
      <c r="I108" t="inlineStr">
        <is>
          <t>No</t>
        </is>
      </c>
      <c r="J108" t="inlineStr">
        <is>
          <t>0</t>
        </is>
      </c>
      <c r="K108" t="inlineStr">
        <is>
          <t>Kriesberg, Irving, 1919-2009.</t>
        </is>
      </c>
      <c r="L108" t="inlineStr">
        <is>
          <t>New York : Prentice Hall, c1986.</t>
        </is>
      </c>
      <c r="M108" t="inlineStr">
        <is>
          <t>1986</t>
        </is>
      </c>
      <c r="O108" t="inlineStr">
        <is>
          <t>eng</t>
        </is>
      </c>
      <c r="P108" t="inlineStr">
        <is>
          <t>nyu</t>
        </is>
      </c>
      <c r="R108" t="inlineStr">
        <is>
          <t xml:space="preserve">ND </t>
        </is>
      </c>
      <c r="S108" t="n">
        <v>1</v>
      </c>
      <c r="T108" t="n">
        <v>1</v>
      </c>
      <c r="U108" t="inlineStr">
        <is>
          <t>1993-11-19</t>
        </is>
      </c>
      <c r="V108" t="inlineStr">
        <is>
          <t>1993-11-19</t>
        </is>
      </c>
      <c r="W108" t="inlineStr">
        <is>
          <t>1993-05-28</t>
        </is>
      </c>
      <c r="X108" t="inlineStr">
        <is>
          <t>1993-05-28</t>
        </is>
      </c>
      <c r="Y108" t="n">
        <v>121</v>
      </c>
      <c r="Z108" t="n">
        <v>116</v>
      </c>
      <c r="AA108" t="n">
        <v>178</v>
      </c>
      <c r="AB108" t="n">
        <v>3</v>
      </c>
      <c r="AC108" t="n">
        <v>3</v>
      </c>
      <c r="AD108" t="n">
        <v>2</v>
      </c>
      <c r="AE108" t="n">
        <v>2</v>
      </c>
      <c r="AF108" t="n">
        <v>0</v>
      </c>
      <c r="AG108" t="n">
        <v>0</v>
      </c>
      <c r="AH108" t="n">
        <v>0</v>
      </c>
      <c r="AI108" t="n">
        <v>0</v>
      </c>
      <c r="AJ108" t="n">
        <v>0</v>
      </c>
      <c r="AK108" t="n">
        <v>0</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HYPERLINK("https://creighton-primo.hosted.exlibrisgroup.com/primo-explore/search?tab=default_tab&amp;search_scope=EVERYTHING&amp;vid=01CRU&amp;lang=en_US&amp;offset=0&amp;query=any,contains,991000431679702656","Catalog Record")</f>
        <v/>
      </c>
      <c r="AT108">
        <f>HYPERLINK("http://www.worldcat.org/oclc/10779189","WorldCat Record")</f>
        <v/>
      </c>
      <c r="AU108" t="inlineStr">
        <is>
          <t>375188652:eng</t>
        </is>
      </c>
      <c r="AV108" t="inlineStr">
        <is>
          <t>10779189</t>
        </is>
      </c>
      <c r="AW108" t="inlineStr">
        <is>
          <t>991000431679702656</t>
        </is>
      </c>
      <c r="AX108" t="inlineStr">
        <is>
          <t>991000431679702656</t>
        </is>
      </c>
      <c r="AY108" t="inlineStr">
        <is>
          <t>2268385570002656</t>
        </is>
      </c>
      <c r="AZ108" t="inlineStr">
        <is>
          <t>BOOK</t>
        </is>
      </c>
      <c r="BB108" t="inlineStr">
        <is>
          <t>9780671607340</t>
        </is>
      </c>
      <c r="BC108" t="inlineStr">
        <is>
          <t>32285001693760</t>
        </is>
      </c>
      <c r="BD108" t="inlineStr">
        <is>
          <t>893521650</t>
        </is>
      </c>
    </row>
    <row r="109">
      <c r="A109" t="inlineStr">
        <is>
          <t>No</t>
        </is>
      </c>
      <c r="B109" t="inlineStr">
        <is>
          <t>ND1488 .L52</t>
        </is>
      </c>
      <c r="C109" t="inlineStr">
        <is>
          <t>0                      ND 1488000L  52</t>
        </is>
      </c>
      <c r="D109" t="inlineStr">
        <is>
          <t>Color and the structural sense.</t>
        </is>
      </c>
      <c r="F109" t="inlineStr">
        <is>
          <t>No</t>
        </is>
      </c>
      <c r="G109" t="inlineStr">
        <is>
          <t>1</t>
        </is>
      </c>
      <c r="H109" t="inlineStr">
        <is>
          <t>No</t>
        </is>
      </c>
      <c r="I109" t="inlineStr">
        <is>
          <t>No</t>
        </is>
      </c>
      <c r="J109" t="inlineStr">
        <is>
          <t>0</t>
        </is>
      </c>
      <c r="K109" t="inlineStr">
        <is>
          <t>Libby, William Charles.</t>
        </is>
      </c>
      <c r="L109" t="inlineStr">
        <is>
          <t>Englewood Cliffs, N.J. : Prentice-Hall, [1974]</t>
        </is>
      </c>
      <c r="M109" t="inlineStr">
        <is>
          <t>1974</t>
        </is>
      </c>
      <c r="O109" t="inlineStr">
        <is>
          <t>eng</t>
        </is>
      </c>
      <c r="P109" t="inlineStr">
        <is>
          <t>nju</t>
        </is>
      </c>
      <c r="R109" t="inlineStr">
        <is>
          <t xml:space="preserve">ND </t>
        </is>
      </c>
      <c r="S109" t="n">
        <v>1</v>
      </c>
      <c r="T109" t="n">
        <v>1</v>
      </c>
      <c r="U109" t="inlineStr">
        <is>
          <t>2003-02-06</t>
        </is>
      </c>
      <c r="V109" t="inlineStr">
        <is>
          <t>2003-02-06</t>
        </is>
      </c>
      <c r="W109" t="inlineStr">
        <is>
          <t>1993-10-07</t>
        </is>
      </c>
      <c r="X109" t="inlineStr">
        <is>
          <t>1993-10-07</t>
        </is>
      </c>
      <c r="Y109" t="n">
        <v>685</v>
      </c>
      <c r="Z109" t="n">
        <v>606</v>
      </c>
      <c r="AA109" t="n">
        <v>611</v>
      </c>
      <c r="AB109" t="n">
        <v>5</v>
      </c>
      <c r="AC109" t="n">
        <v>5</v>
      </c>
      <c r="AD109" t="n">
        <v>18</v>
      </c>
      <c r="AE109" t="n">
        <v>18</v>
      </c>
      <c r="AF109" t="n">
        <v>8</v>
      </c>
      <c r="AG109" t="n">
        <v>8</v>
      </c>
      <c r="AH109" t="n">
        <v>4</v>
      </c>
      <c r="AI109" t="n">
        <v>4</v>
      </c>
      <c r="AJ109" t="n">
        <v>6</v>
      </c>
      <c r="AK109" t="n">
        <v>6</v>
      </c>
      <c r="AL109" t="n">
        <v>4</v>
      </c>
      <c r="AM109" t="n">
        <v>4</v>
      </c>
      <c r="AN109" t="n">
        <v>0</v>
      </c>
      <c r="AO109" t="n">
        <v>0</v>
      </c>
      <c r="AP109" t="inlineStr">
        <is>
          <t>No</t>
        </is>
      </c>
      <c r="AQ109" t="inlineStr">
        <is>
          <t>Yes</t>
        </is>
      </c>
      <c r="AR109">
        <f>HYPERLINK("http://catalog.hathitrust.org/Record/000353124","HathiTrust Record")</f>
        <v/>
      </c>
      <c r="AS109">
        <f>HYPERLINK("https://creighton-primo.hosted.exlibrisgroup.com/primo-explore/search?tab=default_tab&amp;search_scope=EVERYTHING&amp;vid=01CRU&amp;lang=en_US&amp;offset=0&amp;query=any,contains,991003238979702656","Catalog Record")</f>
        <v/>
      </c>
      <c r="AT109">
        <f>HYPERLINK("http://www.worldcat.org/oclc/762572","WorldCat Record")</f>
        <v/>
      </c>
      <c r="AU109" t="inlineStr">
        <is>
          <t>1640063:eng</t>
        </is>
      </c>
      <c r="AV109" t="inlineStr">
        <is>
          <t>762572</t>
        </is>
      </c>
      <c r="AW109" t="inlineStr">
        <is>
          <t>991003238979702656</t>
        </is>
      </c>
      <c r="AX109" t="inlineStr">
        <is>
          <t>991003238979702656</t>
        </is>
      </c>
      <c r="AY109" t="inlineStr">
        <is>
          <t>2265170280002656</t>
        </is>
      </c>
      <c r="AZ109" t="inlineStr">
        <is>
          <t>BOOK</t>
        </is>
      </c>
      <c r="BB109" t="inlineStr">
        <is>
          <t>9780131513167</t>
        </is>
      </c>
      <c r="BC109" t="inlineStr">
        <is>
          <t>32285001790137</t>
        </is>
      </c>
      <c r="BD109" t="inlineStr">
        <is>
          <t>893610846</t>
        </is>
      </c>
    </row>
    <row r="110">
      <c r="A110" t="inlineStr">
        <is>
          <t>No</t>
        </is>
      </c>
      <c r="B110" t="inlineStr">
        <is>
          <t>ND1488 .Q55 1989</t>
        </is>
      </c>
      <c r="C110" t="inlineStr">
        <is>
          <t>0                      ND 1488000Q  55          1989</t>
        </is>
      </c>
      <c r="D110" t="inlineStr">
        <is>
          <t>Color choices / Stephen Quiller.</t>
        </is>
      </c>
      <c r="F110" t="inlineStr">
        <is>
          <t>No</t>
        </is>
      </c>
      <c r="G110" t="inlineStr">
        <is>
          <t>1</t>
        </is>
      </c>
      <c r="H110" t="inlineStr">
        <is>
          <t>No</t>
        </is>
      </c>
      <c r="I110" t="inlineStr">
        <is>
          <t>No</t>
        </is>
      </c>
      <c r="J110" t="inlineStr">
        <is>
          <t>0</t>
        </is>
      </c>
      <c r="K110" t="inlineStr">
        <is>
          <t>Quiller, Stephen.</t>
        </is>
      </c>
      <c r="L110" t="inlineStr">
        <is>
          <t>New York : Watson-Guptill Publications, 1989.</t>
        </is>
      </c>
      <c r="M110" t="inlineStr">
        <is>
          <t>1989</t>
        </is>
      </c>
      <c r="O110" t="inlineStr">
        <is>
          <t>eng</t>
        </is>
      </c>
      <c r="P110" t="inlineStr">
        <is>
          <t>nyu</t>
        </is>
      </c>
      <c r="R110" t="inlineStr">
        <is>
          <t xml:space="preserve">ND </t>
        </is>
      </c>
      <c r="S110" t="n">
        <v>7</v>
      </c>
      <c r="T110" t="n">
        <v>7</v>
      </c>
      <c r="U110" t="inlineStr">
        <is>
          <t>2006-09-24</t>
        </is>
      </c>
      <c r="V110" t="inlineStr">
        <is>
          <t>2006-09-24</t>
        </is>
      </c>
      <c r="W110" t="inlineStr">
        <is>
          <t>1991-05-13</t>
        </is>
      </c>
      <c r="X110" t="inlineStr">
        <is>
          <t>1991-05-13</t>
        </is>
      </c>
      <c r="Y110" t="n">
        <v>767</v>
      </c>
      <c r="Z110" t="n">
        <v>654</v>
      </c>
      <c r="AA110" t="n">
        <v>677</v>
      </c>
      <c r="AB110" t="n">
        <v>5</v>
      </c>
      <c r="AC110" t="n">
        <v>5</v>
      </c>
      <c r="AD110" t="n">
        <v>10</v>
      </c>
      <c r="AE110" t="n">
        <v>10</v>
      </c>
      <c r="AF110" t="n">
        <v>4</v>
      </c>
      <c r="AG110" t="n">
        <v>4</v>
      </c>
      <c r="AH110" t="n">
        <v>3</v>
      </c>
      <c r="AI110" t="n">
        <v>3</v>
      </c>
      <c r="AJ110" t="n">
        <v>2</v>
      </c>
      <c r="AK110" t="n">
        <v>2</v>
      </c>
      <c r="AL110" t="n">
        <v>3</v>
      </c>
      <c r="AM110" t="n">
        <v>3</v>
      </c>
      <c r="AN110" t="n">
        <v>0</v>
      </c>
      <c r="AO110" t="n">
        <v>0</v>
      </c>
      <c r="AP110" t="inlineStr">
        <is>
          <t>No</t>
        </is>
      </c>
      <c r="AQ110" t="inlineStr">
        <is>
          <t>Yes</t>
        </is>
      </c>
      <c r="AR110">
        <f>HYPERLINK("http://catalog.hathitrust.org/Record/004259479","HathiTrust Record")</f>
        <v/>
      </c>
      <c r="AS110">
        <f>HYPERLINK("https://creighton-primo.hosted.exlibrisgroup.com/primo-explore/search?tab=default_tab&amp;search_scope=EVERYTHING&amp;vid=01CRU&amp;lang=en_US&amp;offset=0&amp;query=any,contains,991001467239702656","Catalog Record")</f>
        <v/>
      </c>
      <c r="AT110">
        <f>HYPERLINK("http://www.worldcat.org/oclc/19514497","WorldCat Record")</f>
        <v/>
      </c>
      <c r="AU110" t="inlineStr">
        <is>
          <t>21348354:eng</t>
        </is>
      </c>
      <c r="AV110" t="inlineStr">
        <is>
          <t>19514497</t>
        </is>
      </c>
      <c r="AW110" t="inlineStr">
        <is>
          <t>991001467239702656</t>
        </is>
      </c>
      <c r="AX110" t="inlineStr">
        <is>
          <t>991001467239702656</t>
        </is>
      </c>
      <c r="AY110" t="inlineStr">
        <is>
          <t>2259904900002656</t>
        </is>
      </c>
      <c r="AZ110" t="inlineStr">
        <is>
          <t>BOOK</t>
        </is>
      </c>
      <c r="BB110" t="inlineStr">
        <is>
          <t>9780823006960</t>
        </is>
      </c>
      <c r="BC110" t="inlineStr">
        <is>
          <t>32285000572841</t>
        </is>
      </c>
      <c r="BD110" t="inlineStr">
        <is>
          <t>893621405</t>
        </is>
      </c>
    </row>
    <row r="111">
      <c r="A111" t="inlineStr">
        <is>
          <t>No</t>
        </is>
      </c>
      <c r="B111" t="inlineStr">
        <is>
          <t>ND1488 .S55 1989</t>
        </is>
      </c>
      <c r="C111" t="inlineStr">
        <is>
          <t>0                      ND 1488000S  55          1989</t>
        </is>
      </c>
      <c r="D111" t="inlineStr">
        <is>
          <t>The visual nature of color / Patricia Sloane.</t>
        </is>
      </c>
      <c r="F111" t="inlineStr">
        <is>
          <t>No</t>
        </is>
      </c>
      <c r="G111" t="inlineStr">
        <is>
          <t>1</t>
        </is>
      </c>
      <c r="H111" t="inlineStr">
        <is>
          <t>No</t>
        </is>
      </c>
      <c r="I111" t="inlineStr">
        <is>
          <t>No</t>
        </is>
      </c>
      <c r="J111" t="inlineStr">
        <is>
          <t>0</t>
        </is>
      </c>
      <c r="K111" t="inlineStr">
        <is>
          <t>Sloane, Patricia.</t>
        </is>
      </c>
      <c r="L111" t="inlineStr">
        <is>
          <t>New York, NY : Design Press, c1989.</t>
        </is>
      </c>
      <c r="M111" t="inlineStr">
        <is>
          <t>1989</t>
        </is>
      </c>
      <c r="N111" t="inlineStr">
        <is>
          <t>1st ed.</t>
        </is>
      </c>
      <c r="O111" t="inlineStr">
        <is>
          <t>eng</t>
        </is>
      </c>
      <c r="P111" t="inlineStr">
        <is>
          <t>nyu</t>
        </is>
      </c>
      <c r="R111" t="inlineStr">
        <is>
          <t xml:space="preserve">ND </t>
        </is>
      </c>
      <c r="S111" t="n">
        <v>10</v>
      </c>
      <c r="T111" t="n">
        <v>10</v>
      </c>
      <c r="U111" t="inlineStr">
        <is>
          <t>2006-09-24</t>
        </is>
      </c>
      <c r="V111" t="inlineStr">
        <is>
          <t>2006-09-24</t>
        </is>
      </c>
      <c r="W111" t="inlineStr">
        <is>
          <t>1991-03-08</t>
        </is>
      </c>
      <c r="X111" t="inlineStr">
        <is>
          <t>1991-03-08</t>
        </is>
      </c>
      <c r="Y111" t="n">
        <v>402</v>
      </c>
      <c r="Z111" t="n">
        <v>343</v>
      </c>
      <c r="AA111" t="n">
        <v>345</v>
      </c>
      <c r="AB111" t="n">
        <v>3</v>
      </c>
      <c r="AC111" t="n">
        <v>3</v>
      </c>
      <c r="AD111" t="n">
        <v>8</v>
      </c>
      <c r="AE111" t="n">
        <v>8</v>
      </c>
      <c r="AF111" t="n">
        <v>2</v>
      </c>
      <c r="AG111" t="n">
        <v>2</v>
      </c>
      <c r="AH111" t="n">
        <v>0</v>
      </c>
      <c r="AI111" t="n">
        <v>0</v>
      </c>
      <c r="AJ111" t="n">
        <v>4</v>
      </c>
      <c r="AK111" t="n">
        <v>4</v>
      </c>
      <c r="AL111" t="n">
        <v>2</v>
      </c>
      <c r="AM111" t="n">
        <v>2</v>
      </c>
      <c r="AN111" t="n">
        <v>0</v>
      </c>
      <c r="AO111" t="n">
        <v>0</v>
      </c>
      <c r="AP111" t="inlineStr">
        <is>
          <t>No</t>
        </is>
      </c>
      <c r="AQ111" t="inlineStr">
        <is>
          <t>Yes</t>
        </is>
      </c>
      <c r="AR111">
        <f>HYPERLINK("http://catalog.hathitrust.org/Record/007961389","HathiTrust Record")</f>
        <v/>
      </c>
      <c r="AS111">
        <f>HYPERLINK("https://creighton-primo.hosted.exlibrisgroup.com/primo-explore/search?tab=default_tab&amp;search_scope=EVERYTHING&amp;vid=01CRU&amp;lang=en_US&amp;offset=0&amp;query=any,contains,991001428379702656","Catalog Record")</f>
        <v/>
      </c>
      <c r="AT111">
        <f>HYPERLINK("http://www.worldcat.org/oclc/19064957","WorldCat Record")</f>
        <v/>
      </c>
      <c r="AU111" t="inlineStr">
        <is>
          <t>18593928:eng</t>
        </is>
      </c>
      <c r="AV111" t="inlineStr">
        <is>
          <t>19064957</t>
        </is>
      </c>
      <c r="AW111" t="inlineStr">
        <is>
          <t>991001428379702656</t>
        </is>
      </c>
      <c r="AX111" t="inlineStr">
        <is>
          <t>991001428379702656</t>
        </is>
      </c>
      <c r="AY111" t="inlineStr">
        <is>
          <t>2260816570002656</t>
        </is>
      </c>
      <c r="AZ111" t="inlineStr">
        <is>
          <t>BOOK</t>
        </is>
      </c>
      <c r="BC111" t="inlineStr">
        <is>
          <t>32285000493584</t>
        </is>
      </c>
      <c r="BD111" t="inlineStr">
        <is>
          <t>893615110</t>
        </is>
      </c>
    </row>
    <row r="112">
      <c r="A112" t="inlineStr">
        <is>
          <t>No</t>
        </is>
      </c>
      <c r="B112" t="inlineStr">
        <is>
          <t>ND1489 .L4 1991</t>
        </is>
      </c>
      <c r="C112" t="inlineStr">
        <is>
          <t>0                      ND 1489000L  4           1991</t>
        </is>
      </c>
      <c r="D112" t="inlineStr">
        <is>
          <t>Color in contemporary painting / Charles Le Clair.</t>
        </is>
      </c>
      <c r="F112" t="inlineStr">
        <is>
          <t>No</t>
        </is>
      </c>
      <c r="G112" t="inlineStr">
        <is>
          <t>1</t>
        </is>
      </c>
      <c r="H112" t="inlineStr">
        <is>
          <t>No</t>
        </is>
      </c>
      <c r="I112" t="inlineStr">
        <is>
          <t>No</t>
        </is>
      </c>
      <c r="J112" t="inlineStr">
        <is>
          <t>0</t>
        </is>
      </c>
      <c r="K112" t="inlineStr">
        <is>
          <t>Le Clair, Charles.</t>
        </is>
      </c>
      <c r="L112" t="inlineStr">
        <is>
          <t>New York : Watson-Guptill Publications, c1991.</t>
        </is>
      </c>
      <c r="M112" t="inlineStr">
        <is>
          <t>1991</t>
        </is>
      </c>
      <c r="O112" t="inlineStr">
        <is>
          <t>eng</t>
        </is>
      </c>
      <c r="P112" t="inlineStr">
        <is>
          <t>nyu</t>
        </is>
      </c>
      <c r="R112" t="inlineStr">
        <is>
          <t xml:space="preserve">ND </t>
        </is>
      </c>
      <c r="S112" t="n">
        <v>8</v>
      </c>
      <c r="T112" t="n">
        <v>8</v>
      </c>
      <c r="U112" t="inlineStr">
        <is>
          <t>1998-05-19</t>
        </is>
      </c>
      <c r="V112" t="inlineStr">
        <is>
          <t>1998-05-19</t>
        </is>
      </c>
      <c r="W112" t="inlineStr">
        <is>
          <t>1992-08-27</t>
        </is>
      </c>
      <c r="X112" t="inlineStr">
        <is>
          <t>1992-08-27</t>
        </is>
      </c>
      <c r="Y112" t="n">
        <v>392</v>
      </c>
      <c r="Z112" t="n">
        <v>309</v>
      </c>
      <c r="AA112" t="n">
        <v>415</v>
      </c>
      <c r="AB112" t="n">
        <v>7</v>
      </c>
      <c r="AC112" t="n">
        <v>7</v>
      </c>
      <c r="AD112" t="n">
        <v>8</v>
      </c>
      <c r="AE112" t="n">
        <v>10</v>
      </c>
      <c r="AF112" t="n">
        <v>3</v>
      </c>
      <c r="AG112" t="n">
        <v>3</v>
      </c>
      <c r="AH112" t="n">
        <v>0</v>
      </c>
      <c r="AI112" t="n">
        <v>1</v>
      </c>
      <c r="AJ112" t="n">
        <v>1</v>
      </c>
      <c r="AK112" t="n">
        <v>3</v>
      </c>
      <c r="AL112" t="n">
        <v>5</v>
      </c>
      <c r="AM112" t="n">
        <v>5</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HYPERLINK("https://creighton-primo.hosted.exlibrisgroup.com/primo-explore/search?tab=default_tab&amp;search_scope=EVERYTHING&amp;vid=01CRU&amp;lang=en_US&amp;offset=0&amp;query=any,contains,991001811989702656","Catalog Record")</f>
        <v/>
      </c>
      <c r="AT112">
        <f>HYPERLINK("http://www.worldcat.org/oclc/22763449","WorldCat Record")</f>
        <v/>
      </c>
      <c r="AU112" t="inlineStr">
        <is>
          <t>627100:eng</t>
        </is>
      </c>
      <c r="AV112" t="inlineStr">
        <is>
          <t>22763449</t>
        </is>
      </c>
      <c r="AW112" t="inlineStr">
        <is>
          <t>991001811989702656</t>
        </is>
      </c>
      <c r="AX112" t="inlineStr">
        <is>
          <t>991001811989702656</t>
        </is>
      </c>
      <c r="AY112" t="inlineStr">
        <is>
          <t>2263596560002656</t>
        </is>
      </c>
      <c r="AZ112" t="inlineStr">
        <is>
          <t>BOOK</t>
        </is>
      </c>
      <c r="BB112" t="inlineStr">
        <is>
          <t>9780823007387</t>
        </is>
      </c>
      <c r="BC112" t="inlineStr">
        <is>
          <t>32285001285591</t>
        </is>
      </c>
      <c r="BD112" t="inlineStr">
        <is>
          <t>893602914</t>
        </is>
      </c>
    </row>
    <row r="113">
      <c r="A113" t="inlineStr">
        <is>
          <t>No</t>
        </is>
      </c>
      <c r="B113" t="inlineStr">
        <is>
          <t>ND1495.P8 G3713 1993</t>
        </is>
      </c>
      <c r="C113" t="inlineStr">
        <is>
          <t>0                      ND 1495000P  8                  G  3713        1993</t>
        </is>
      </c>
      <c r="D113" t="inlineStr">
        <is>
          <t>Color harmonies / Augusto Garau ; translated by Nicola Bruno ; with a foreword by Rudolf Arnheim.</t>
        </is>
      </c>
      <c r="F113" t="inlineStr">
        <is>
          <t>No</t>
        </is>
      </c>
      <c r="G113" t="inlineStr">
        <is>
          <t>1</t>
        </is>
      </c>
      <c r="H113" t="inlineStr">
        <is>
          <t>No</t>
        </is>
      </c>
      <c r="I113" t="inlineStr">
        <is>
          <t>No</t>
        </is>
      </c>
      <c r="J113" t="inlineStr">
        <is>
          <t>0</t>
        </is>
      </c>
      <c r="K113" t="inlineStr">
        <is>
          <t>Garau, Augusto.</t>
        </is>
      </c>
      <c r="L113" t="inlineStr">
        <is>
          <t>Chicago : University of Chicago Press, c1993.</t>
        </is>
      </c>
      <c r="M113" t="inlineStr">
        <is>
          <t>1993</t>
        </is>
      </c>
      <c r="O113" t="inlineStr">
        <is>
          <t>eng</t>
        </is>
      </c>
      <c r="P113" t="inlineStr">
        <is>
          <t>ilu</t>
        </is>
      </c>
      <c r="R113" t="inlineStr">
        <is>
          <t xml:space="preserve">ND </t>
        </is>
      </c>
      <c r="S113" t="n">
        <v>5</v>
      </c>
      <c r="T113" t="n">
        <v>5</v>
      </c>
      <c r="U113" t="inlineStr">
        <is>
          <t>2010-02-20</t>
        </is>
      </c>
      <c r="V113" t="inlineStr">
        <is>
          <t>2010-02-20</t>
        </is>
      </c>
      <c r="W113" t="inlineStr">
        <is>
          <t>1993-10-19</t>
        </is>
      </c>
      <c r="X113" t="inlineStr">
        <is>
          <t>1993-10-19</t>
        </is>
      </c>
      <c r="Y113" t="n">
        <v>508</v>
      </c>
      <c r="Z113" t="n">
        <v>437</v>
      </c>
      <c r="AA113" t="n">
        <v>441</v>
      </c>
      <c r="AB113" t="n">
        <v>5</v>
      </c>
      <c r="AC113" t="n">
        <v>5</v>
      </c>
      <c r="AD113" t="n">
        <v>18</v>
      </c>
      <c r="AE113" t="n">
        <v>18</v>
      </c>
      <c r="AF113" t="n">
        <v>6</v>
      </c>
      <c r="AG113" t="n">
        <v>6</v>
      </c>
      <c r="AH113" t="n">
        <v>4</v>
      </c>
      <c r="AI113" t="n">
        <v>4</v>
      </c>
      <c r="AJ113" t="n">
        <v>5</v>
      </c>
      <c r="AK113" t="n">
        <v>5</v>
      </c>
      <c r="AL113" t="n">
        <v>4</v>
      </c>
      <c r="AM113" t="n">
        <v>4</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HYPERLINK("https://creighton-primo.hosted.exlibrisgroup.com/primo-explore/search?tab=default_tab&amp;search_scope=EVERYTHING&amp;vid=01CRU&amp;lang=en_US&amp;offset=0&amp;query=any,contains,991002036479702656","Catalog Record")</f>
        <v/>
      </c>
      <c r="AT113">
        <f>HYPERLINK("http://www.worldcat.org/oclc/25964644","WorldCat Record")</f>
        <v/>
      </c>
      <c r="AU113" t="inlineStr">
        <is>
          <t>28531303:eng</t>
        </is>
      </c>
      <c r="AV113" t="inlineStr">
        <is>
          <t>25964644</t>
        </is>
      </c>
      <c r="AW113" t="inlineStr">
        <is>
          <t>991002036479702656</t>
        </is>
      </c>
      <c r="AX113" t="inlineStr">
        <is>
          <t>991002036479702656</t>
        </is>
      </c>
      <c r="AY113" t="inlineStr">
        <is>
          <t>2260317750002656</t>
        </is>
      </c>
      <c r="AZ113" t="inlineStr">
        <is>
          <t>BOOK</t>
        </is>
      </c>
      <c r="BB113" t="inlineStr">
        <is>
          <t>9780226281957</t>
        </is>
      </c>
      <c r="BC113" t="inlineStr">
        <is>
          <t>32285001787323</t>
        </is>
      </c>
      <c r="BD113" t="inlineStr">
        <is>
          <t>893232489</t>
        </is>
      </c>
    </row>
    <row r="114">
      <c r="A114" t="inlineStr">
        <is>
          <t>No</t>
        </is>
      </c>
      <c r="B114" t="inlineStr">
        <is>
          <t>ND1495.P8 S73 1984</t>
        </is>
      </c>
      <c r="C114" t="inlineStr">
        <is>
          <t>0                      ND 1495000P  8                  S  73          1984</t>
        </is>
      </c>
      <c r="D114" t="inlineStr">
        <is>
          <t>How to see color and paint it / by Arthur Stern.</t>
        </is>
      </c>
      <c r="F114" t="inlineStr">
        <is>
          <t>No</t>
        </is>
      </c>
      <c r="G114" t="inlineStr">
        <is>
          <t>1</t>
        </is>
      </c>
      <c r="H114" t="inlineStr">
        <is>
          <t>No</t>
        </is>
      </c>
      <c r="I114" t="inlineStr">
        <is>
          <t>No</t>
        </is>
      </c>
      <c r="J114" t="inlineStr">
        <is>
          <t>0</t>
        </is>
      </c>
      <c r="K114" t="inlineStr">
        <is>
          <t>Stern, Arthur, 1916-</t>
        </is>
      </c>
      <c r="L114" t="inlineStr">
        <is>
          <t>New York : Watson-Guptill, 1984.</t>
        </is>
      </c>
      <c r="M114" t="inlineStr">
        <is>
          <t>1984</t>
        </is>
      </c>
      <c r="O114" t="inlineStr">
        <is>
          <t>eng</t>
        </is>
      </c>
      <c r="P114" t="inlineStr">
        <is>
          <t>nyu</t>
        </is>
      </c>
      <c r="R114" t="inlineStr">
        <is>
          <t xml:space="preserve">ND </t>
        </is>
      </c>
      <c r="S114" t="n">
        <v>16</v>
      </c>
      <c r="T114" t="n">
        <v>16</v>
      </c>
      <c r="U114" t="inlineStr">
        <is>
          <t>2006-08-31</t>
        </is>
      </c>
      <c r="V114" t="inlineStr">
        <is>
          <t>2006-08-31</t>
        </is>
      </c>
      <c r="W114" t="inlineStr">
        <is>
          <t>1993-05-28</t>
        </is>
      </c>
      <c r="X114" t="inlineStr">
        <is>
          <t>1993-05-28</t>
        </is>
      </c>
      <c r="Y114" t="n">
        <v>450</v>
      </c>
      <c r="Z114" t="n">
        <v>411</v>
      </c>
      <c r="AA114" t="n">
        <v>507</v>
      </c>
      <c r="AB114" t="n">
        <v>4</v>
      </c>
      <c r="AC114" t="n">
        <v>4</v>
      </c>
      <c r="AD114" t="n">
        <v>4</v>
      </c>
      <c r="AE114" t="n">
        <v>5</v>
      </c>
      <c r="AF114" t="n">
        <v>3</v>
      </c>
      <c r="AG114" t="n">
        <v>3</v>
      </c>
      <c r="AH114" t="n">
        <v>0</v>
      </c>
      <c r="AI114" t="n">
        <v>1</v>
      </c>
      <c r="AJ114" t="n">
        <v>2</v>
      </c>
      <c r="AK114" t="n">
        <v>2</v>
      </c>
      <c r="AL114" t="n">
        <v>1</v>
      </c>
      <c r="AM114" t="n">
        <v>1</v>
      </c>
      <c r="AN114" t="n">
        <v>0</v>
      </c>
      <c r="AO114" t="n">
        <v>0</v>
      </c>
      <c r="AP114" t="inlineStr">
        <is>
          <t>No</t>
        </is>
      </c>
      <c r="AQ114" t="inlineStr">
        <is>
          <t>Yes</t>
        </is>
      </c>
      <c r="AR114">
        <f>HYPERLINK("http://catalog.hathitrust.org/Record/101951755","HathiTrust Record")</f>
        <v/>
      </c>
      <c r="AS114">
        <f>HYPERLINK("https://creighton-primo.hosted.exlibrisgroup.com/primo-explore/search?tab=default_tab&amp;search_scope=EVERYTHING&amp;vid=01CRU&amp;lang=en_US&amp;offset=0&amp;query=any,contains,991000332209702656","Catalog Record")</f>
        <v/>
      </c>
      <c r="AT114">
        <f>HYPERLINK("http://www.worldcat.org/oclc/10207901","WorldCat Record")</f>
        <v/>
      </c>
      <c r="AU114" t="inlineStr">
        <is>
          <t>2884729:eng</t>
        </is>
      </c>
      <c r="AV114" t="inlineStr">
        <is>
          <t>10207901</t>
        </is>
      </c>
      <c r="AW114" t="inlineStr">
        <is>
          <t>991000332209702656</t>
        </is>
      </c>
      <c r="AX114" t="inlineStr">
        <is>
          <t>991000332209702656</t>
        </is>
      </c>
      <c r="AY114" t="inlineStr">
        <is>
          <t>2265022400002656</t>
        </is>
      </c>
      <c r="AZ114" t="inlineStr">
        <is>
          <t>BOOK</t>
        </is>
      </c>
      <c r="BB114" t="inlineStr">
        <is>
          <t>9780823024698</t>
        </is>
      </c>
      <c r="BC114" t="inlineStr">
        <is>
          <t>32285001693778</t>
        </is>
      </c>
      <c r="BD114" t="inlineStr">
        <is>
          <t>893626273</t>
        </is>
      </c>
    </row>
    <row r="115">
      <c r="A115" t="inlineStr">
        <is>
          <t>No</t>
        </is>
      </c>
      <c r="B115" t="inlineStr">
        <is>
          <t>ND1500 .B55 1979</t>
        </is>
      </c>
      <c r="C115" t="inlineStr">
        <is>
          <t>0                      ND 1500000B  55          1979</t>
        </is>
      </c>
      <c r="D115" t="inlineStr">
        <is>
          <t>The oil painting book / by Wendon Blake ; paintings by George Cherepov.</t>
        </is>
      </c>
      <c r="F115" t="inlineStr">
        <is>
          <t>No</t>
        </is>
      </c>
      <c r="G115" t="inlineStr">
        <is>
          <t>1</t>
        </is>
      </c>
      <c r="H115" t="inlineStr">
        <is>
          <t>No</t>
        </is>
      </c>
      <c r="I115" t="inlineStr">
        <is>
          <t>No</t>
        </is>
      </c>
      <c r="J115" t="inlineStr">
        <is>
          <t>0</t>
        </is>
      </c>
      <c r="K115" t="inlineStr">
        <is>
          <t>Blake, Wendon.</t>
        </is>
      </c>
      <c r="L115" t="inlineStr">
        <is>
          <t>New York : Watson-Guptill Publications, c1979, 1978 printing.</t>
        </is>
      </c>
      <c r="M115" t="inlineStr">
        <is>
          <t>1979</t>
        </is>
      </c>
      <c r="O115" t="inlineStr">
        <is>
          <t>eng</t>
        </is>
      </c>
      <c r="P115" t="inlineStr">
        <is>
          <t>nyu</t>
        </is>
      </c>
      <c r="R115" t="inlineStr">
        <is>
          <t xml:space="preserve">ND </t>
        </is>
      </c>
      <c r="S115" t="n">
        <v>7</v>
      </c>
      <c r="T115" t="n">
        <v>7</v>
      </c>
      <c r="U115" t="inlineStr">
        <is>
          <t>2009-04-22</t>
        </is>
      </c>
      <c r="V115" t="inlineStr">
        <is>
          <t>2009-04-22</t>
        </is>
      </c>
      <c r="W115" t="inlineStr">
        <is>
          <t>1993-05-28</t>
        </is>
      </c>
      <c r="X115" t="inlineStr">
        <is>
          <t>1993-05-28</t>
        </is>
      </c>
      <c r="Y115" t="n">
        <v>836</v>
      </c>
      <c r="Z115" t="n">
        <v>771</v>
      </c>
      <c r="AA115" t="n">
        <v>784</v>
      </c>
      <c r="AB115" t="n">
        <v>9</v>
      </c>
      <c r="AC115" t="n">
        <v>9</v>
      </c>
      <c r="AD115" t="n">
        <v>12</v>
      </c>
      <c r="AE115" t="n">
        <v>12</v>
      </c>
      <c r="AF115" t="n">
        <v>2</v>
      </c>
      <c r="AG115" t="n">
        <v>2</v>
      </c>
      <c r="AH115" t="n">
        <v>2</v>
      </c>
      <c r="AI115" t="n">
        <v>2</v>
      </c>
      <c r="AJ115" t="n">
        <v>5</v>
      </c>
      <c r="AK115" t="n">
        <v>5</v>
      </c>
      <c r="AL115" t="n">
        <v>4</v>
      </c>
      <c r="AM115" t="n">
        <v>4</v>
      </c>
      <c r="AN115" t="n">
        <v>0</v>
      </c>
      <c r="AO115" t="n">
        <v>0</v>
      </c>
      <c r="AP115" t="inlineStr">
        <is>
          <t>No</t>
        </is>
      </c>
      <c r="AQ115" t="inlineStr">
        <is>
          <t>Yes</t>
        </is>
      </c>
      <c r="AR115">
        <f>HYPERLINK("http://catalog.hathitrust.org/Record/008544325","HathiTrust Record")</f>
        <v/>
      </c>
      <c r="AS115">
        <f>HYPERLINK("https://creighton-primo.hosted.exlibrisgroup.com/primo-explore/search?tab=default_tab&amp;search_scope=EVERYTHING&amp;vid=01CRU&amp;lang=en_US&amp;offset=0&amp;query=any,contains,991004645749702656","Catalog Record")</f>
        <v/>
      </c>
      <c r="AT115">
        <f>HYPERLINK("http://www.worldcat.org/oclc/4491737","WorldCat Record")</f>
        <v/>
      </c>
      <c r="AU115" t="inlineStr">
        <is>
          <t>4241348340:eng</t>
        </is>
      </c>
      <c r="AV115" t="inlineStr">
        <is>
          <t>4491737</t>
        </is>
      </c>
      <c r="AW115" t="inlineStr">
        <is>
          <t>991004645749702656</t>
        </is>
      </c>
      <c r="AX115" t="inlineStr">
        <is>
          <t>991004645749702656</t>
        </is>
      </c>
      <c r="AY115" t="inlineStr">
        <is>
          <t>2264056700002656</t>
        </is>
      </c>
      <c r="AZ115" t="inlineStr">
        <is>
          <t>BOOK</t>
        </is>
      </c>
      <c r="BB115" t="inlineStr">
        <is>
          <t>9780823032709</t>
        </is>
      </c>
      <c r="BC115" t="inlineStr">
        <is>
          <t>32285001693786</t>
        </is>
      </c>
      <c r="BD115" t="inlineStr">
        <is>
          <t>893776253</t>
        </is>
      </c>
    </row>
    <row r="116">
      <c r="A116" t="inlineStr">
        <is>
          <t>No</t>
        </is>
      </c>
      <c r="B116" t="inlineStr">
        <is>
          <t>ND1500 .B74 1981</t>
        </is>
      </c>
      <c r="C116" t="inlineStr">
        <is>
          <t>0                      ND 1500000B  74          1981</t>
        </is>
      </c>
      <c r="D116" t="inlineStr">
        <is>
          <t>Oil painting, traditional and new / Leonard Brooks.</t>
        </is>
      </c>
      <c r="F116" t="inlineStr">
        <is>
          <t>No</t>
        </is>
      </c>
      <c r="G116" t="inlineStr">
        <is>
          <t>1</t>
        </is>
      </c>
      <c r="H116" t="inlineStr">
        <is>
          <t>No</t>
        </is>
      </c>
      <c r="I116" t="inlineStr">
        <is>
          <t>No</t>
        </is>
      </c>
      <c r="J116" t="inlineStr">
        <is>
          <t>0</t>
        </is>
      </c>
      <c r="K116" t="inlineStr">
        <is>
          <t>Brooks, Leonard, 1911-2011.</t>
        </is>
      </c>
      <c r="L116" t="inlineStr">
        <is>
          <t>New York : Van Nostrand Reinhold Co., 1981,c1959.</t>
        </is>
      </c>
      <c r="M116" t="inlineStr">
        <is>
          <t>1981</t>
        </is>
      </c>
      <c r="O116" t="inlineStr">
        <is>
          <t>eng</t>
        </is>
      </c>
      <c r="P116" t="inlineStr">
        <is>
          <t>nyu</t>
        </is>
      </c>
      <c r="R116" t="inlineStr">
        <is>
          <t xml:space="preserve">ND </t>
        </is>
      </c>
      <c r="S116" t="n">
        <v>3</v>
      </c>
      <c r="T116" t="n">
        <v>3</v>
      </c>
      <c r="U116" t="inlineStr">
        <is>
          <t>1995-11-07</t>
        </is>
      </c>
      <c r="V116" t="inlineStr">
        <is>
          <t>1995-11-07</t>
        </is>
      </c>
      <c r="W116" t="inlineStr">
        <is>
          <t>1993-05-28</t>
        </is>
      </c>
      <c r="X116" t="inlineStr">
        <is>
          <t>1993-05-28</t>
        </is>
      </c>
      <c r="Y116" t="n">
        <v>93</v>
      </c>
      <c r="Z116" t="n">
        <v>82</v>
      </c>
      <c r="AA116" t="n">
        <v>637</v>
      </c>
      <c r="AB116" t="n">
        <v>3</v>
      </c>
      <c r="AC116" t="n">
        <v>7</v>
      </c>
      <c r="AD116" t="n">
        <v>3</v>
      </c>
      <c r="AE116" t="n">
        <v>11</v>
      </c>
      <c r="AF116" t="n">
        <v>0</v>
      </c>
      <c r="AG116" t="n">
        <v>3</v>
      </c>
      <c r="AH116" t="n">
        <v>1</v>
      </c>
      <c r="AI116" t="n">
        <v>3</v>
      </c>
      <c r="AJ116" t="n">
        <v>0</v>
      </c>
      <c r="AK116" t="n">
        <v>3</v>
      </c>
      <c r="AL116" t="n">
        <v>2</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HYPERLINK("https://creighton-primo.hosted.exlibrisgroup.com/primo-explore/search?tab=default_tab&amp;search_scope=EVERYTHING&amp;vid=01CRU&amp;lang=en_US&amp;offset=0&amp;query=any,contains,991005202669702656","Catalog Record")</f>
        <v/>
      </c>
      <c r="AT116">
        <f>HYPERLINK("http://www.worldcat.org/oclc/16554035","WorldCat Record")</f>
        <v/>
      </c>
      <c r="AU116" t="inlineStr">
        <is>
          <t>1728038:eng</t>
        </is>
      </c>
      <c r="AV116" t="inlineStr">
        <is>
          <t>16554035</t>
        </is>
      </c>
      <c r="AW116" t="inlineStr">
        <is>
          <t>991005202669702656</t>
        </is>
      </c>
      <c r="AX116" t="inlineStr">
        <is>
          <t>991005202669702656</t>
        </is>
      </c>
      <c r="AY116" t="inlineStr">
        <is>
          <t>2255308810002656</t>
        </is>
      </c>
      <c r="AZ116" t="inlineStr">
        <is>
          <t>BOOK</t>
        </is>
      </c>
      <c r="BB116" t="inlineStr">
        <is>
          <t>9780442264277</t>
        </is>
      </c>
      <c r="BC116" t="inlineStr">
        <is>
          <t>32285001693794</t>
        </is>
      </c>
      <c r="BD116" t="inlineStr">
        <is>
          <t>893332593</t>
        </is>
      </c>
    </row>
    <row r="117">
      <c r="A117" t="inlineStr">
        <is>
          <t>No</t>
        </is>
      </c>
      <c r="B117" t="inlineStr">
        <is>
          <t>ND1500 .C38 1984</t>
        </is>
      </c>
      <c r="C117" t="inlineStr">
        <is>
          <t>0                      ND 1500000C  38          1984</t>
        </is>
      </c>
      <c r="D117" t="inlineStr">
        <is>
          <t>Oil painting secrets from a master / by Linda Cateura.</t>
        </is>
      </c>
      <c r="F117" t="inlineStr">
        <is>
          <t>No</t>
        </is>
      </c>
      <c r="G117" t="inlineStr">
        <is>
          <t>1</t>
        </is>
      </c>
      <c r="H117" t="inlineStr">
        <is>
          <t>No</t>
        </is>
      </c>
      <c r="I117" t="inlineStr">
        <is>
          <t>No</t>
        </is>
      </c>
      <c r="J117" t="inlineStr">
        <is>
          <t>0</t>
        </is>
      </c>
      <c r="K117" t="inlineStr">
        <is>
          <t>Cateura, Linda.</t>
        </is>
      </c>
      <c r="L117" t="inlineStr">
        <is>
          <t>New York : Watson-Guptill Publications, 1984.</t>
        </is>
      </c>
      <c r="M117" t="inlineStr">
        <is>
          <t>1984</t>
        </is>
      </c>
      <c r="O117" t="inlineStr">
        <is>
          <t>eng</t>
        </is>
      </c>
      <c r="P117" t="inlineStr">
        <is>
          <t>nyu</t>
        </is>
      </c>
      <c r="R117" t="inlineStr">
        <is>
          <t xml:space="preserve">ND </t>
        </is>
      </c>
      <c r="S117" t="n">
        <v>7</v>
      </c>
      <c r="T117" t="n">
        <v>7</v>
      </c>
      <c r="U117" t="inlineStr">
        <is>
          <t>2005-07-28</t>
        </is>
      </c>
      <c r="V117" t="inlineStr">
        <is>
          <t>2005-07-28</t>
        </is>
      </c>
      <c r="W117" t="inlineStr">
        <is>
          <t>1993-05-28</t>
        </is>
      </c>
      <c r="X117" t="inlineStr">
        <is>
          <t>1993-05-28</t>
        </is>
      </c>
      <c r="Y117" t="n">
        <v>362</v>
      </c>
      <c r="Z117" t="n">
        <v>346</v>
      </c>
      <c r="AA117" t="n">
        <v>429</v>
      </c>
      <c r="AB117" t="n">
        <v>5</v>
      </c>
      <c r="AC117" t="n">
        <v>6</v>
      </c>
      <c r="AD117" t="n">
        <v>1</v>
      </c>
      <c r="AE117" t="n">
        <v>2</v>
      </c>
      <c r="AF117" t="n">
        <v>0</v>
      </c>
      <c r="AG117" t="n">
        <v>0</v>
      </c>
      <c r="AH117" t="n">
        <v>0</v>
      </c>
      <c r="AI117" t="n">
        <v>0</v>
      </c>
      <c r="AJ117" t="n">
        <v>0</v>
      </c>
      <c r="AK117" t="n">
        <v>0</v>
      </c>
      <c r="AL117" t="n">
        <v>1</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HYPERLINK("https://creighton-primo.hosted.exlibrisgroup.com/primo-explore/search?tab=default_tab&amp;search_scope=EVERYTHING&amp;vid=01CRU&amp;lang=en_US&amp;offset=0&amp;query=any,contains,991000447029702656","Catalog Record")</f>
        <v/>
      </c>
      <c r="AT117">
        <f>HYPERLINK("http://www.worldcat.org/oclc/10851508","WorldCat Record")</f>
        <v/>
      </c>
      <c r="AU117" t="inlineStr">
        <is>
          <t>2891249:eng</t>
        </is>
      </c>
      <c r="AV117" t="inlineStr">
        <is>
          <t>10851508</t>
        </is>
      </c>
      <c r="AW117" t="inlineStr">
        <is>
          <t>991000447029702656</t>
        </is>
      </c>
      <c r="AX117" t="inlineStr">
        <is>
          <t>991000447029702656</t>
        </is>
      </c>
      <c r="AY117" t="inlineStr">
        <is>
          <t>2272260530002656</t>
        </is>
      </c>
      <c r="AZ117" t="inlineStr">
        <is>
          <t>BOOK</t>
        </is>
      </c>
      <c r="BB117" t="inlineStr">
        <is>
          <t>9780823025244</t>
        </is>
      </c>
      <c r="BC117" t="inlineStr">
        <is>
          <t>32285001693802</t>
        </is>
      </c>
      <c r="BD117" t="inlineStr">
        <is>
          <t>893425714</t>
        </is>
      </c>
    </row>
    <row r="118">
      <c r="A118" t="inlineStr">
        <is>
          <t>No</t>
        </is>
      </c>
      <c r="B118" t="inlineStr">
        <is>
          <t>ND1500 .C57 1971</t>
        </is>
      </c>
      <c r="C118" t="inlineStr">
        <is>
          <t>0                      ND 1500000C  57          1971</t>
        </is>
      </c>
      <c r="D118" t="inlineStr">
        <is>
          <t>Discovering oil painting / George Cherepov.</t>
        </is>
      </c>
      <c r="F118" t="inlineStr">
        <is>
          <t>No</t>
        </is>
      </c>
      <c r="G118" t="inlineStr">
        <is>
          <t>1</t>
        </is>
      </c>
      <c r="H118" t="inlineStr">
        <is>
          <t>No</t>
        </is>
      </c>
      <c r="I118" t="inlineStr">
        <is>
          <t>No</t>
        </is>
      </c>
      <c r="J118" t="inlineStr">
        <is>
          <t>0</t>
        </is>
      </c>
      <c r="K118" t="inlineStr">
        <is>
          <t>Cherepov, George, 1909-1987.</t>
        </is>
      </c>
      <c r="L118" t="inlineStr">
        <is>
          <t>New York : Watson-Guptill Publications, [1971]</t>
        </is>
      </c>
      <c r="M118" t="inlineStr">
        <is>
          <t>1971</t>
        </is>
      </c>
      <c r="O118" t="inlineStr">
        <is>
          <t>eng</t>
        </is>
      </c>
      <c r="P118" t="inlineStr">
        <is>
          <t>nyu</t>
        </is>
      </c>
      <c r="R118" t="inlineStr">
        <is>
          <t xml:space="preserve">ND </t>
        </is>
      </c>
      <c r="S118" t="n">
        <v>1</v>
      </c>
      <c r="T118" t="n">
        <v>1</v>
      </c>
      <c r="U118" t="inlineStr">
        <is>
          <t>2004-04-18</t>
        </is>
      </c>
      <c r="V118" t="inlineStr">
        <is>
          <t>2004-04-18</t>
        </is>
      </c>
      <c r="W118" t="inlineStr">
        <is>
          <t>1993-05-28</t>
        </is>
      </c>
      <c r="X118" t="inlineStr">
        <is>
          <t>1993-05-28</t>
        </is>
      </c>
      <c r="Y118" t="n">
        <v>490</v>
      </c>
      <c r="Z118" t="n">
        <v>457</v>
      </c>
      <c r="AA118" t="n">
        <v>475</v>
      </c>
      <c r="AB118" t="n">
        <v>4</v>
      </c>
      <c r="AC118" t="n">
        <v>4</v>
      </c>
      <c r="AD118" t="n">
        <v>7</v>
      </c>
      <c r="AE118" t="n">
        <v>8</v>
      </c>
      <c r="AF118" t="n">
        <v>1</v>
      </c>
      <c r="AG118" t="n">
        <v>2</v>
      </c>
      <c r="AH118" t="n">
        <v>3</v>
      </c>
      <c r="AI118" t="n">
        <v>3</v>
      </c>
      <c r="AJ118" t="n">
        <v>0</v>
      </c>
      <c r="AK118" t="n">
        <v>0</v>
      </c>
      <c r="AL118" t="n">
        <v>3</v>
      </c>
      <c r="AM118" t="n">
        <v>3</v>
      </c>
      <c r="AN118" t="n">
        <v>0</v>
      </c>
      <c r="AO118" t="n">
        <v>0</v>
      </c>
      <c r="AP118" t="inlineStr">
        <is>
          <t>No</t>
        </is>
      </c>
      <c r="AQ118" t="inlineStr">
        <is>
          <t>Yes</t>
        </is>
      </c>
      <c r="AR118">
        <f>HYPERLINK("http://catalog.hathitrust.org/Record/000350299","HathiTrust Record")</f>
        <v/>
      </c>
      <c r="AS118">
        <f>HYPERLINK("https://creighton-primo.hosted.exlibrisgroup.com/primo-explore/search?tab=default_tab&amp;search_scope=EVERYTHING&amp;vid=01CRU&amp;lang=en_US&amp;offset=0&amp;query=any,contains,991000858339702656","Catalog Record")</f>
        <v/>
      </c>
      <c r="AT118">
        <f>HYPERLINK("http://www.worldcat.org/oclc/150004","WorldCat Record")</f>
        <v/>
      </c>
      <c r="AU118" t="inlineStr">
        <is>
          <t>3372287905:eng</t>
        </is>
      </c>
      <c r="AV118" t="inlineStr">
        <is>
          <t>150004</t>
        </is>
      </c>
      <c r="AW118" t="inlineStr">
        <is>
          <t>991000858339702656</t>
        </is>
      </c>
      <c r="AX118" t="inlineStr">
        <is>
          <t>991000858339702656</t>
        </is>
      </c>
      <c r="AY118" t="inlineStr">
        <is>
          <t>2270988800002656</t>
        </is>
      </c>
      <c r="AZ118" t="inlineStr">
        <is>
          <t>BOOK</t>
        </is>
      </c>
      <c r="BB118" t="inlineStr">
        <is>
          <t>9780823013456</t>
        </is>
      </c>
      <c r="BC118" t="inlineStr">
        <is>
          <t>32285001693810</t>
        </is>
      </c>
      <c r="BD118" t="inlineStr">
        <is>
          <t>893249749</t>
        </is>
      </c>
    </row>
    <row r="119">
      <c r="A119" t="inlineStr">
        <is>
          <t>No</t>
        </is>
      </c>
      <c r="B119" t="inlineStr">
        <is>
          <t>ND1500 .C574</t>
        </is>
      </c>
      <c r="C119" t="inlineStr">
        <is>
          <t>0                      ND 1500000C  574</t>
        </is>
      </c>
      <c r="D119" t="inlineStr">
        <is>
          <t>The contemporary oil painter's handbook : a complete guide to oil painting : materials, tools, techniques, and auxiliary services, for the beginning and professional artist / Clifford T. Chieffo.</t>
        </is>
      </c>
      <c r="F119" t="inlineStr">
        <is>
          <t>No</t>
        </is>
      </c>
      <c r="G119" t="inlineStr">
        <is>
          <t>1</t>
        </is>
      </c>
      <c r="H119" t="inlineStr">
        <is>
          <t>No</t>
        </is>
      </c>
      <c r="I119" t="inlineStr">
        <is>
          <t>No</t>
        </is>
      </c>
      <c r="J119" t="inlineStr">
        <is>
          <t>0</t>
        </is>
      </c>
      <c r="K119" t="inlineStr">
        <is>
          <t>Chieffo, Clifford T. (Clifford Toby), 1937-</t>
        </is>
      </c>
      <c r="L119" t="inlineStr">
        <is>
          <t>Englewood Cliffs, N.J. : Prentice-Hall, c1976.</t>
        </is>
      </c>
      <c r="M119" t="inlineStr">
        <is>
          <t>1976</t>
        </is>
      </c>
      <c r="O119" t="inlineStr">
        <is>
          <t>eng</t>
        </is>
      </c>
      <c r="P119" t="inlineStr">
        <is>
          <t>nju</t>
        </is>
      </c>
      <c r="R119" t="inlineStr">
        <is>
          <t xml:space="preserve">ND </t>
        </is>
      </c>
      <c r="S119" t="n">
        <v>1</v>
      </c>
      <c r="T119" t="n">
        <v>1</v>
      </c>
      <c r="U119" t="inlineStr">
        <is>
          <t>2006-01-16</t>
        </is>
      </c>
      <c r="V119" t="inlineStr">
        <is>
          <t>2006-01-16</t>
        </is>
      </c>
      <c r="W119" t="inlineStr">
        <is>
          <t>1993-03-25</t>
        </is>
      </c>
      <c r="X119" t="inlineStr">
        <is>
          <t>1993-03-25</t>
        </is>
      </c>
      <c r="Y119" t="n">
        <v>352</v>
      </c>
      <c r="Z119" t="n">
        <v>307</v>
      </c>
      <c r="AA119" t="n">
        <v>371</v>
      </c>
      <c r="AB119" t="n">
        <v>5</v>
      </c>
      <c r="AC119" t="n">
        <v>6</v>
      </c>
      <c r="AD119" t="n">
        <v>12</v>
      </c>
      <c r="AE119" t="n">
        <v>14</v>
      </c>
      <c r="AF119" t="n">
        <v>5</v>
      </c>
      <c r="AG119" t="n">
        <v>5</v>
      </c>
      <c r="AH119" t="n">
        <v>2</v>
      </c>
      <c r="AI119" t="n">
        <v>3</v>
      </c>
      <c r="AJ119" t="n">
        <v>6</v>
      </c>
      <c r="AK119" t="n">
        <v>7</v>
      </c>
      <c r="AL119" t="n">
        <v>3</v>
      </c>
      <c r="AM119" t="n">
        <v>4</v>
      </c>
      <c r="AN119" t="n">
        <v>0</v>
      </c>
      <c r="AO119" t="n">
        <v>0</v>
      </c>
      <c r="AP119" t="inlineStr">
        <is>
          <t>No</t>
        </is>
      </c>
      <c r="AQ119" t="inlineStr">
        <is>
          <t>Yes</t>
        </is>
      </c>
      <c r="AR119">
        <f>HYPERLINK("http://catalog.hathitrust.org/Record/000700800","HathiTrust Record")</f>
        <v/>
      </c>
      <c r="AS119">
        <f>HYPERLINK("https://creighton-primo.hosted.exlibrisgroup.com/primo-explore/search?tab=default_tab&amp;search_scope=EVERYTHING&amp;vid=01CRU&amp;lang=en_US&amp;offset=0&amp;query=any,contains,991003999929702656","Catalog Record")</f>
        <v/>
      </c>
      <c r="AT119">
        <f>HYPERLINK("http://www.worldcat.org/oclc/2072500","WorldCat Record")</f>
        <v/>
      </c>
      <c r="AU119" t="inlineStr">
        <is>
          <t>20423955:eng</t>
        </is>
      </c>
      <c r="AV119" t="inlineStr">
        <is>
          <t>2072500</t>
        </is>
      </c>
      <c r="AW119" t="inlineStr">
        <is>
          <t>991003999929702656</t>
        </is>
      </c>
      <c r="AX119" t="inlineStr">
        <is>
          <t>991003999929702656</t>
        </is>
      </c>
      <c r="AY119" t="inlineStr">
        <is>
          <t>2254999520002656</t>
        </is>
      </c>
      <c r="AZ119" t="inlineStr">
        <is>
          <t>BOOK</t>
        </is>
      </c>
      <c r="BB119" t="inlineStr">
        <is>
          <t>9780131701670</t>
        </is>
      </c>
      <c r="BC119" t="inlineStr">
        <is>
          <t>32285001591261</t>
        </is>
      </c>
      <c r="BD119" t="inlineStr">
        <is>
          <t>893788166</t>
        </is>
      </c>
    </row>
    <row r="120">
      <c r="A120" t="inlineStr">
        <is>
          <t>No</t>
        </is>
      </c>
      <c r="B120" t="inlineStr">
        <is>
          <t>ND1500 .D6213 1984</t>
        </is>
      </c>
      <c r="C120" t="inlineStr">
        <is>
          <t>0                      ND 1500000D  6213        1984</t>
        </is>
      </c>
      <c r="D120" t="inlineStr">
        <is>
          <t>The materials of the artist and their use in painting, with notes on the techniques of the old masters / by Max Doerner ; translated by Eugen Neuhaus.</t>
        </is>
      </c>
      <c r="F120" t="inlineStr">
        <is>
          <t>No</t>
        </is>
      </c>
      <c r="G120" t="inlineStr">
        <is>
          <t>1</t>
        </is>
      </c>
      <c r="H120" t="inlineStr">
        <is>
          <t>No</t>
        </is>
      </c>
      <c r="I120" t="inlineStr">
        <is>
          <t>No</t>
        </is>
      </c>
      <c r="J120" t="inlineStr">
        <is>
          <t>0</t>
        </is>
      </c>
      <c r="K120" t="inlineStr">
        <is>
          <t>Doerner, Max, 1870-1939.</t>
        </is>
      </c>
      <c r="L120" t="inlineStr">
        <is>
          <t>San Diego : Harcourt Brace Jovanovich, 1984, c1962.</t>
        </is>
      </c>
      <c r="M120" t="inlineStr">
        <is>
          <t>1984</t>
        </is>
      </c>
      <c r="N120" t="inlineStr">
        <is>
          <t>Rev. ed., 1st Harvest/HBJ ed.</t>
        </is>
      </c>
      <c r="O120" t="inlineStr">
        <is>
          <t>eng</t>
        </is>
      </c>
      <c r="P120" t="inlineStr">
        <is>
          <t>cau</t>
        </is>
      </c>
      <c r="R120" t="inlineStr">
        <is>
          <t xml:space="preserve">ND </t>
        </is>
      </c>
      <c r="S120" t="n">
        <v>3</v>
      </c>
      <c r="T120" t="n">
        <v>3</v>
      </c>
      <c r="U120" t="inlineStr">
        <is>
          <t>2009-04-01</t>
        </is>
      </c>
      <c r="V120" t="inlineStr">
        <is>
          <t>2009-04-01</t>
        </is>
      </c>
      <c r="W120" t="inlineStr">
        <is>
          <t>1992-01-29</t>
        </is>
      </c>
      <c r="X120" t="inlineStr">
        <is>
          <t>1992-01-29</t>
        </is>
      </c>
      <c r="Y120" t="n">
        <v>225</v>
      </c>
      <c r="Z120" t="n">
        <v>186</v>
      </c>
      <c r="AA120" t="n">
        <v>1015</v>
      </c>
      <c r="AB120" t="n">
        <v>4</v>
      </c>
      <c r="AC120" t="n">
        <v>9</v>
      </c>
      <c r="AD120" t="n">
        <v>7</v>
      </c>
      <c r="AE120" t="n">
        <v>32</v>
      </c>
      <c r="AF120" t="n">
        <v>1</v>
      </c>
      <c r="AG120" t="n">
        <v>12</v>
      </c>
      <c r="AH120" t="n">
        <v>1</v>
      </c>
      <c r="AI120" t="n">
        <v>6</v>
      </c>
      <c r="AJ120" t="n">
        <v>4</v>
      </c>
      <c r="AK120" t="n">
        <v>13</v>
      </c>
      <c r="AL120" t="n">
        <v>3</v>
      </c>
      <c r="AM120" t="n">
        <v>6</v>
      </c>
      <c r="AN120" t="n">
        <v>0</v>
      </c>
      <c r="AO120" t="n">
        <v>0</v>
      </c>
      <c r="AP120" t="inlineStr">
        <is>
          <t>No</t>
        </is>
      </c>
      <c r="AQ120" t="inlineStr">
        <is>
          <t>Yes</t>
        </is>
      </c>
      <c r="AR120">
        <f>HYPERLINK("http://catalog.hathitrust.org/Record/004980610","HathiTrust Record")</f>
        <v/>
      </c>
      <c r="AS120">
        <f>HYPERLINK("https://creighton-primo.hosted.exlibrisgroup.com/primo-explore/search?tab=default_tab&amp;search_scope=EVERYTHING&amp;vid=01CRU&amp;lang=en_US&amp;offset=0&amp;query=any,contains,991000440449702656","Catalog Record")</f>
        <v/>
      </c>
      <c r="AT120">
        <f>HYPERLINK("http://www.worldcat.org/oclc/10823762","WorldCat Record")</f>
        <v/>
      </c>
      <c r="AU120" t="inlineStr">
        <is>
          <t>891330:eng</t>
        </is>
      </c>
      <c r="AV120" t="inlineStr">
        <is>
          <t>10823762</t>
        </is>
      </c>
      <c r="AW120" t="inlineStr">
        <is>
          <t>991000440449702656</t>
        </is>
      </c>
      <c r="AX120" t="inlineStr">
        <is>
          <t>991000440449702656</t>
        </is>
      </c>
      <c r="AY120" t="inlineStr">
        <is>
          <t>2262618140002656</t>
        </is>
      </c>
      <c r="AZ120" t="inlineStr">
        <is>
          <t>BOOK</t>
        </is>
      </c>
      <c r="BB120" t="inlineStr">
        <is>
          <t>9780156577168</t>
        </is>
      </c>
      <c r="BC120" t="inlineStr">
        <is>
          <t>32285000931278</t>
        </is>
      </c>
      <c r="BD120" t="inlineStr">
        <is>
          <t>893614175</t>
        </is>
      </c>
    </row>
    <row r="121">
      <c r="A121" t="inlineStr">
        <is>
          <t>No</t>
        </is>
      </c>
      <c r="B121" t="inlineStr">
        <is>
          <t>ND1500 .G6155 1993</t>
        </is>
      </c>
      <c r="C121" t="inlineStr">
        <is>
          <t>0                      ND 1500000G  6155        1993</t>
        </is>
      </c>
      <c r="D121" t="inlineStr">
        <is>
          <t>The painter's handbook / Mark D. Gottsegen.</t>
        </is>
      </c>
      <c r="F121" t="inlineStr">
        <is>
          <t>No</t>
        </is>
      </c>
      <c r="G121" t="inlineStr">
        <is>
          <t>1</t>
        </is>
      </c>
      <c r="H121" t="inlineStr">
        <is>
          <t>No</t>
        </is>
      </c>
      <c r="I121" t="inlineStr">
        <is>
          <t>No</t>
        </is>
      </c>
      <c r="J121" t="inlineStr">
        <is>
          <t>0</t>
        </is>
      </c>
      <c r="K121" t="inlineStr">
        <is>
          <t>Gottsegen, Mark David.</t>
        </is>
      </c>
      <c r="L121" t="inlineStr">
        <is>
          <t>New York : Watson-Guptill Publications, 1993.</t>
        </is>
      </c>
      <c r="M121" t="inlineStr">
        <is>
          <t>1993</t>
        </is>
      </c>
      <c r="O121" t="inlineStr">
        <is>
          <t>eng</t>
        </is>
      </c>
      <c r="P121" t="inlineStr">
        <is>
          <t>nyu</t>
        </is>
      </c>
      <c r="R121" t="inlineStr">
        <is>
          <t xml:space="preserve">ND </t>
        </is>
      </c>
      <c r="S121" t="n">
        <v>3</v>
      </c>
      <c r="T121" t="n">
        <v>3</v>
      </c>
      <c r="U121" t="inlineStr">
        <is>
          <t>1997-07-27</t>
        </is>
      </c>
      <c r="V121" t="inlineStr">
        <is>
          <t>1997-07-27</t>
        </is>
      </c>
      <c r="W121" t="inlineStr">
        <is>
          <t>1994-05-11</t>
        </is>
      </c>
      <c r="X121" t="inlineStr">
        <is>
          <t>1994-05-11</t>
        </is>
      </c>
      <c r="Y121" t="n">
        <v>350</v>
      </c>
      <c r="Z121" t="n">
        <v>286</v>
      </c>
      <c r="AA121" t="n">
        <v>288</v>
      </c>
      <c r="AB121" t="n">
        <v>2</v>
      </c>
      <c r="AC121" t="n">
        <v>2</v>
      </c>
      <c r="AD121" t="n">
        <v>3</v>
      </c>
      <c r="AE121" t="n">
        <v>3</v>
      </c>
      <c r="AF121" t="n">
        <v>0</v>
      </c>
      <c r="AG121" t="n">
        <v>0</v>
      </c>
      <c r="AH121" t="n">
        <v>2</v>
      </c>
      <c r="AI121" t="n">
        <v>2</v>
      </c>
      <c r="AJ121" t="n">
        <v>0</v>
      </c>
      <c r="AK121" t="n">
        <v>0</v>
      </c>
      <c r="AL121" t="n">
        <v>1</v>
      </c>
      <c r="AM121" t="n">
        <v>1</v>
      </c>
      <c r="AN121" t="n">
        <v>0</v>
      </c>
      <c r="AO121" t="n">
        <v>0</v>
      </c>
      <c r="AP121" t="inlineStr">
        <is>
          <t>No</t>
        </is>
      </c>
      <c r="AQ121" t="inlineStr">
        <is>
          <t>Yes</t>
        </is>
      </c>
      <c r="AR121">
        <f>HYPERLINK("http://catalog.hathitrust.org/Record/002788056","HathiTrust Record")</f>
        <v/>
      </c>
      <c r="AS121">
        <f>HYPERLINK("https://creighton-primo.hosted.exlibrisgroup.com/primo-explore/search?tab=default_tab&amp;search_scope=EVERYTHING&amp;vid=01CRU&amp;lang=en_US&amp;offset=0&amp;query=any,contains,991002158839702656","Catalog Record")</f>
        <v/>
      </c>
      <c r="AT121">
        <f>HYPERLINK("http://www.worldcat.org/oclc/27811806","WorldCat Record")</f>
        <v/>
      </c>
      <c r="AU121" t="inlineStr">
        <is>
          <t>2261038341:eng</t>
        </is>
      </c>
      <c r="AV121" t="inlineStr">
        <is>
          <t>27811806</t>
        </is>
      </c>
      <c r="AW121" t="inlineStr">
        <is>
          <t>991002158839702656</t>
        </is>
      </c>
      <c r="AX121" t="inlineStr">
        <is>
          <t>991002158839702656</t>
        </is>
      </c>
      <c r="AY121" t="inlineStr">
        <is>
          <t>2258662860002656</t>
        </is>
      </c>
      <c r="AZ121" t="inlineStr">
        <is>
          <t>BOOK</t>
        </is>
      </c>
      <c r="BB121" t="inlineStr">
        <is>
          <t>9780823030033</t>
        </is>
      </c>
      <c r="BC121" t="inlineStr">
        <is>
          <t>32285001896173</t>
        </is>
      </c>
      <c r="BD121" t="inlineStr">
        <is>
          <t>893603255</t>
        </is>
      </c>
    </row>
    <row r="122">
      <c r="A122" t="inlineStr">
        <is>
          <t>No</t>
        </is>
      </c>
      <c r="B122" t="inlineStr">
        <is>
          <t>ND1500 .H33 1980</t>
        </is>
      </c>
      <c r="C122" t="inlineStr">
        <is>
          <t>0                      ND 1500000H  33          1980</t>
        </is>
      </c>
      <c r="D122" t="inlineStr">
        <is>
          <t>Oil painting workshop / Albert Handell and Leslie Trainor.</t>
        </is>
      </c>
      <c r="F122" t="inlineStr">
        <is>
          <t>No</t>
        </is>
      </c>
      <c r="G122" t="inlineStr">
        <is>
          <t>1</t>
        </is>
      </c>
      <c r="H122" t="inlineStr">
        <is>
          <t>No</t>
        </is>
      </c>
      <c r="I122" t="inlineStr">
        <is>
          <t>No</t>
        </is>
      </c>
      <c r="J122" t="inlineStr">
        <is>
          <t>0</t>
        </is>
      </c>
      <c r="K122" t="inlineStr">
        <is>
          <t>Handell, Albert, 1937-</t>
        </is>
      </c>
      <c r="L122" t="inlineStr">
        <is>
          <t>New York : Watson-Guptill Publications ; London : Pitman Pub., 1980.</t>
        </is>
      </c>
      <c r="M122" t="inlineStr">
        <is>
          <t>1980</t>
        </is>
      </c>
      <c r="O122" t="inlineStr">
        <is>
          <t>eng</t>
        </is>
      </c>
      <c r="P122" t="inlineStr">
        <is>
          <t>nyu</t>
        </is>
      </c>
      <c r="R122" t="inlineStr">
        <is>
          <t xml:space="preserve">ND </t>
        </is>
      </c>
      <c r="S122" t="n">
        <v>2</v>
      </c>
      <c r="T122" t="n">
        <v>2</v>
      </c>
      <c r="U122" t="inlineStr">
        <is>
          <t>1993-11-19</t>
        </is>
      </c>
      <c r="V122" t="inlineStr">
        <is>
          <t>1993-11-19</t>
        </is>
      </c>
      <c r="W122" t="inlineStr">
        <is>
          <t>1993-05-28</t>
        </is>
      </c>
      <c r="X122" t="inlineStr">
        <is>
          <t>1993-05-28</t>
        </is>
      </c>
      <c r="Y122" t="n">
        <v>313</v>
      </c>
      <c r="Z122" t="n">
        <v>271</v>
      </c>
      <c r="AA122" t="n">
        <v>319</v>
      </c>
      <c r="AB122" t="n">
        <v>2</v>
      </c>
      <c r="AC122" t="n">
        <v>2</v>
      </c>
      <c r="AD122" t="n">
        <v>2</v>
      </c>
      <c r="AE122" t="n">
        <v>2</v>
      </c>
      <c r="AF122" t="n">
        <v>1</v>
      </c>
      <c r="AG122" t="n">
        <v>1</v>
      </c>
      <c r="AH122" t="n">
        <v>0</v>
      </c>
      <c r="AI122" t="n">
        <v>0</v>
      </c>
      <c r="AJ122" t="n">
        <v>0</v>
      </c>
      <c r="AK122" t="n">
        <v>0</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HYPERLINK("https://creighton-primo.hosted.exlibrisgroup.com/primo-explore/search?tab=default_tab&amp;search_scope=EVERYTHING&amp;vid=01CRU&amp;lang=en_US&amp;offset=0&amp;query=any,contains,991004974139702656","Catalog Record")</f>
        <v/>
      </c>
      <c r="AT122">
        <f>HYPERLINK("http://www.worldcat.org/oclc/6378700","WorldCat Record")</f>
        <v/>
      </c>
      <c r="AU122" t="inlineStr">
        <is>
          <t>3901373553:eng</t>
        </is>
      </c>
      <c r="AV122" t="inlineStr">
        <is>
          <t>6378700</t>
        </is>
      </c>
      <c r="AW122" t="inlineStr">
        <is>
          <t>991004974139702656</t>
        </is>
      </c>
      <c r="AX122" t="inlineStr">
        <is>
          <t>991004974139702656</t>
        </is>
      </c>
      <c r="AY122" t="inlineStr">
        <is>
          <t>2270875630002656</t>
        </is>
      </c>
      <c r="AZ122" t="inlineStr">
        <is>
          <t>BOOK</t>
        </is>
      </c>
      <c r="BB122" t="inlineStr">
        <is>
          <t>9780823032921</t>
        </is>
      </c>
      <c r="BC122" t="inlineStr">
        <is>
          <t>32285001693836</t>
        </is>
      </c>
      <c r="BD122" t="inlineStr">
        <is>
          <t>893612976</t>
        </is>
      </c>
    </row>
    <row r="123">
      <c r="A123" t="inlineStr">
        <is>
          <t>No</t>
        </is>
      </c>
      <c r="B123" t="inlineStr">
        <is>
          <t>ND1500 .K29 1988</t>
        </is>
      </c>
      <c r="C123" t="inlineStr">
        <is>
          <t>0                      ND 1500000K  29          1988</t>
        </is>
      </c>
      <c r="D123" t="inlineStr">
        <is>
          <t>Planning your paintings step-by-step / Carole Katchen.</t>
        </is>
      </c>
      <c r="F123" t="inlineStr">
        <is>
          <t>No</t>
        </is>
      </c>
      <c r="G123" t="inlineStr">
        <is>
          <t>1</t>
        </is>
      </c>
      <c r="H123" t="inlineStr">
        <is>
          <t>No</t>
        </is>
      </c>
      <c r="I123" t="inlineStr">
        <is>
          <t>No</t>
        </is>
      </c>
      <c r="J123" t="inlineStr">
        <is>
          <t>0</t>
        </is>
      </c>
      <c r="K123" t="inlineStr">
        <is>
          <t>Katchen, Carole, 1944-</t>
        </is>
      </c>
      <c r="L123" t="inlineStr">
        <is>
          <t>New York : Watson-Guptill, 1988.</t>
        </is>
      </c>
      <c r="M123" t="inlineStr">
        <is>
          <t>1988</t>
        </is>
      </c>
      <c r="O123" t="inlineStr">
        <is>
          <t>eng</t>
        </is>
      </c>
      <c r="P123" t="inlineStr">
        <is>
          <t>nyu</t>
        </is>
      </c>
      <c r="R123" t="inlineStr">
        <is>
          <t xml:space="preserve">ND </t>
        </is>
      </c>
      <c r="S123" t="n">
        <v>4</v>
      </c>
      <c r="T123" t="n">
        <v>4</v>
      </c>
      <c r="U123" t="inlineStr">
        <is>
          <t>2010-02-09</t>
        </is>
      </c>
      <c r="V123" t="inlineStr">
        <is>
          <t>2010-02-09</t>
        </is>
      </c>
      <c r="W123" t="inlineStr">
        <is>
          <t>1993-05-28</t>
        </is>
      </c>
      <c r="X123" t="inlineStr">
        <is>
          <t>1993-05-28</t>
        </is>
      </c>
      <c r="Y123" t="n">
        <v>281</v>
      </c>
      <c r="Z123" t="n">
        <v>242</v>
      </c>
      <c r="AA123" t="n">
        <v>247</v>
      </c>
      <c r="AB123" t="n">
        <v>2</v>
      </c>
      <c r="AC123" t="n">
        <v>2</v>
      </c>
      <c r="AD123" t="n">
        <v>2</v>
      </c>
      <c r="AE123" t="n">
        <v>2</v>
      </c>
      <c r="AF123" t="n">
        <v>1</v>
      </c>
      <c r="AG123" t="n">
        <v>1</v>
      </c>
      <c r="AH123" t="n">
        <v>0</v>
      </c>
      <c r="AI123" t="n">
        <v>0</v>
      </c>
      <c r="AJ123" t="n">
        <v>1</v>
      </c>
      <c r="AK123" t="n">
        <v>1</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HYPERLINK("https://creighton-primo.hosted.exlibrisgroup.com/primo-explore/search?tab=default_tab&amp;search_scope=EVERYTHING&amp;vid=01CRU&amp;lang=en_US&amp;offset=0&amp;query=any,contains,991001174229702656","Catalog Record")</f>
        <v/>
      </c>
      <c r="AT123">
        <f>HYPERLINK("http://www.worldcat.org/oclc/16984867","WorldCat Record")</f>
        <v/>
      </c>
      <c r="AU123" t="inlineStr">
        <is>
          <t>13886854:eng</t>
        </is>
      </c>
      <c r="AV123" t="inlineStr">
        <is>
          <t>16984867</t>
        </is>
      </c>
      <c r="AW123" t="inlineStr">
        <is>
          <t>991001174229702656</t>
        </is>
      </c>
      <c r="AX123" t="inlineStr">
        <is>
          <t>991001174229702656</t>
        </is>
      </c>
      <c r="AY123" t="inlineStr">
        <is>
          <t>2269723150002656</t>
        </is>
      </c>
      <c r="AZ123" t="inlineStr">
        <is>
          <t>BOOK</t>
        </is>
      </c>
      <c r="BB123" t="inlineStr">
        <is>
          <t>9780823040223</t>
        </is>
      </c>
      <c r="BC123" t="inlineStr">
        <is>
          <t>32285001693851</t>
        </is>
      </c>
      <c r="BD123" t="inlineStr">
        <is>
          <t>893690402</t>
        </is>
      </c>
    </row>
    <row r="124">
      <c r="A124" t="inlineStr">
        <is>
          <t>No</t>
        </is>
      </c>
      <c r="B124" t="inlineStr">
        <is>
          <t>ND1500 .M3 1982</t>
        </is>
      </c>
      <c r="C124" t="inlineStr">
        <is>
          <t>0                      ND 1500000M  3           1982</t>
        </is>
      </c>
      <c r="D124" t="inlineStr">
        <is>
          <t>The artist's handbook of materials and techniques / by Ralph Mayer.</t>
        </is>
      </c>
      <c r="F124" t="inlineStr">
        <is>
          <t>No</t>
        </is>
      </c>
      <c r="G124" t="inlineStr">
        <is>
          <t>1</t>
        </is>
      </c>
      <c r="H124" t="inlineStr">
        <is>
          <t>No</t>
        </is>
      </c>
      <c r="I124" t="inlineStr">
        <is>
          <t>No</t>
        </is>
      </c>
      <c r="J124" t="inlineStr">
        <is>
          <t>0</t>
        </is>
      </c>
      <c r="K124" t="inlineStr">
        <is>
          <t>Mayer, Ralph, 1895-1979.</t>
        </is>
      </c>
      <c r="L124" t="inlineStr">
        <is>
          <t>New York : Viking Press, c1981, 1982.</t>
        </is>
      </c>
      <c r="M124" t="inlineStr">
        <is>
          <t>1981</t>
        </is>
      </c>
      <c r="N124" t="inlineStr">
        <is>
          <t>1982 ed., rev. and updated.</t>
        </is>
      </c>
      <c r="O124" t="inlineStr">
        <is>
          <t>eng</t>
        </is>
      </c>
      <c r="P124" t="inlineStr">
        <is>
          <t>nyu</t>
        </is>
      </c>
      <c r="R124" t="inlineStr">
        <is>
          <t xml:space="preserve">ND </t>
        </is>
      </c>
      <c r="S124" t="n">
        <v>5</v>
      </c>
      <c r="T124" t="n">
        <v>5</v>
      </c>
      <c r="U124" t="inlineStr">
        <is>
          <t>1995-01-23</t>
        </is>
      </c>
      <c r="V124" t="inlineStr">
        <is>
          <t>1995-01-23</t>
        </is>
      </c>
      <c r="W124" t="inlineStr">
        <is>
          <t>1992-02-26</t>
        </is>
      </c>
      <c r="X124" t="inlineStr">
        <is>
          <t>1992-02-26</t>
        </is>
      </c>
      <c r="Y124" t="n">
        <v>767</v>
      </c>
      <c r="Z124" t="n">
        <v>708</v>
      </c>
      <c r="AA124" t="n">
        <v>2626</v>
      </c>
      <c r="AB124" t="n">
        <v>7</v>
      </c>
      <c r="AC124" t="n">
        <v>17</v>
      </c>
      <c r="AD124" t="n">
        <v>11</v>
      </c>
      <c r="AE124" t="n">
        <v>58</v>
      </c>
      <c r="AF124" t="n">
        <v>4</v>
      </c>
      <c r="AG124" t="n">
        <v>26</v>
      </c>
      <c r="AH124" t="n">
        <v>2</v>
      </c>
      <c r="AI124" t="n">
        <v>10</v>
      </c>
      <c r="AJ124" t="n">
        <v>4</v>
      </c>
      <c r="AK124" t="n">
        <v>22</v>
      </c>
      <c r="AL124" t="n">
        <v>3</v>
      </c>
      <c r="AM124" t="n">
        <v>11</v>
      </c>
      <c r="AN124" t="n">
        <v>0</v>
      </c>
      <c r="AO124" t="n">
        <v>0</v>
      </c>
      <c r="AP124" t="inlineStr">
        <is>
          <t>No</t>
        </is>
      </c>
      <c r="AQ124" t="inlineStr">
        <is>
          <t>Yes</t>
        </is>
      </c>
      <c r="AR124">
        <f>HYPERLINK("http://catalog.hathitrust.org/Record/008544262","HathiTrust Record")</f>
        <v/>
      </c>
      <c r="AS124">
        <f>HYPERLINK("https://creighton-primo.hosted.exlibrisgroup.com/primo-explore/search?tab=default_tab&amp;search_scope=EVERYTHING&amp;vid=01CRU&amp;lang=en_US&amp;offset=0&amp;query=any,contains,991005114369702656","Catalog Record")</f>
        <v/>
      </c>
      <c r="AT124">
        <f>HYPERLINK("http://www.worldcat.org/oclc/7460782","WorldCat Record")</f>
        <v/>
      </c>
      <c r="AU124" t="inlineStr">
        <is>
          <t>137959179:eng</t>
        </is>
      </c>
      <c r="AV124" t="inlineStr">
        <is>
          <t>7460782</t>
        </is>
      </c>
      <c r="AW124" t="inlineStr">
        <is>
          <t>991005114369702656</t>
        </is>
      </c>
      <c r="AX124" t="inlineStr">
        <is>
          <t>991005114369702656</t>
        </is>
      </c>
      <c r="AY124" t="inlineStr">
        <is>
          <t>2264467170002656</t>
        </is>
      </c>
      <c r="AZ124" t="inlineStr">
        <is>
          <t>BOOK</t>
        </is>
      </c>
      <c r="BB124" t="inlineStr">
        <is>
          <t>9780670136667</t>
        </is>
      </c>
      <c r="BC124" t="inlineStr">
        <is>
          <t>32285000977149</t>
        </is>
      </c>
      <c r="BD124" t="inlineStr">
        <is>
          <t>893895902</t>
        </is>
      </c>
    </row>
    <row r="125">
      <c r="A125" t="inlineStr">
        <is>
          <t>No</t>
        </is>
      </c>
      <c r="B125" t="inlineStr">
        <is>
          <t>ND1500 .M653 2000</t>
        </is>
      </c>
      <c r="C125" t="inlineStr">
        <is>
          <t>0                      ND 1500000M  653         2000</t>
        </is>
      </c>
      <c r="D125" t="inlineStr">
        <is>
          <t>Art school : a complete painters course / Patricia Monahan, Patricia Seligman, Wendy Clouse.</t>
        </is>
      </c>
      <c r="F125" t="inlineStr">
        <is>
          <t>No</t>
        </is>
      </c>
      <c r="G125" t="inlineStr">
        <is>
          <t>1</t>
        </is>
      </c>
      <c r="H125" t="inlineStr">
        <is>
          <t>No</t>
        </is>
      </c>
      <c r="I125" t="inlineStr">
        <is>
          <t>No</t>
        </is>
      </c>
      <c r="J125" t="inlineStr">
        <is>
          <t>0</t>
        </is>
      </c>
      <c r="K125" t="inlineStr">
        <is>
          <t>Monahan, Patricia.</t>
        </is>
      </c>
      <c r="L125" t="inlineStr">
        <is>
          <t>London : Hamlyn, 2000.</t>
        </is>
      </c>
      <c r="M125" t="inlineStr">
        <is>
          <t>2000</t>
        </is>
      </c>
      <c r="O125" t="inlineStr">
        <is>
          <t>eng</t>
        </is>
      </c>
      <c r="P125" t="inlineStr">
        <is>
          <t>cau</t>
        </is>
      </c>
      <c r="R125" t="inlineStr">
        <is>
          <t xml:space="preserve">ND </t>
        </is>
      </c>
      <c r="S125" t="n">
        <v>15</v>
      </c>
      <c r="T125" t="n">
        <v>15</v>
      </c>
      <c r="U125" t="inlineStr">
        <is>
          <t>2010-02-09</t>
        </is>
      </c>
      <c r="V125" t="inlineStr">
        <is>
          <t>2010-02-09</t>
        </is>
      </c>
      <c r="W125" t="inlineStr">
        <is>
          <t>2003-04-01</t>
        </is>
      </c>
      <c r="X125" t="inlineStr">
        <is>
          <t>2003-04-01</t>
        </is>
      </c>
      <c r="Y125" t="n">
        <v>316</v>
      </c>
      <c r="Z125" t="n">
        <v>241</v>
      </c>
      <c r="AA125" t="n">
        <v>495</v>
      </c>
      <c r="AB125" t="n">
        <v>4</v>
      </c>
      <c r="AC125" t="n">
        <v>4</v>
      </c>
      <c r="AD125" t="n">
        <v>1</v>
      </c>
      <c r="AE125" t="n">
        <v>1</v>
      </c>
      <c r="AF125" t="n">
        <v>0</v>
      </c>
      <c r="AG125" t="n">
        <v>0</v>
      </c>
      <c r="AH125" t="n">
        <v>0</v>
      </c>
      <c r="AI125" t="n">
        <v>0</v>
      </c>
      <c r="AJ125" t="n">
        <v>0</v>
      </c>
      <c r="AK125" t="n">
        <v>0</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HYPERLINK("https://creighton-primo.hosted.exlibrisgroup.com/primo-explore/search?tab=default_tab&amp;search_scope=EVERYTHING&amp;vid=01CRU&amp;lang=en_US&amp;offset=0&amp;query=any,contains,991003989279702656","Catalog Record")</f>
        <v/>
      </c>
      <c r="AT125">
        <f>HYPERLINK("http://www.worldcat.org/oclc/44019152","WorldCat Record")</f>
        <v/>
      </c>
      <c r="AU125" t="inlineStr">
        <is>
          <t>3768576035:eng</t>
        </is>
      </c>
      <c r="AV125" t="inlineStr">
        <is>
          <t>44019152</t>
        </is>
      </c>
      <c r="AW125" t="inlineStr">
        <is>
          <t>991003989279702656</t>
        </is>
      </c>
      <c r="AX125" t="inlineStr">
        <is>
          <t>991003989279702656</t>
        </is>
      </c>
      <c r="AY125" t="inlineStr">
        <is>
          <t>2262424170002656</t>
        </is>
      </c>
      <c r="AZ125" t="inlineStr">
        <is>
          <t>BOOK</t>
        </is>
      </c>
      <c r="BB125" t="inlineStr">
        <is>
          <t>9780600601463</t>
        </is>
      </c>
      <c r="BC125" t="inlineStr">
        <is>
          <t>32285004688486</t>
        </is>
      </c>
      <c r="BD125" t="inlineStr">
        <is>
          <t>893599286</t>
        </is>
      </c>
    </row>
    <row r="126">
      <c r="A126" t="inlineStr">
        <is>
          <t>No</t>
        </is>
      </c>
      <c r="B126" t="inlineStr">
        <is>
          <t>ND1500 .P37 1984</t>
        </is>
      </c>
      <c r="C126" t="inlineStr">
        <is>
          <t>0                      ND 1500000P  37          1984</t>
        </is>
      </c>
      <c r="D126" t="inlineStr">
        <is>
          <t>The big book of oil painting : the history, the studio, the materials, the techniques, the subjects, the theory and the practice of oil painting / by José M. Parramón.</t>
        </is>
      </c>
      <c r="F126" t="inlineStr">
        <is>
          <t>No</t>
        </is>
      </c>
      <c r="G126" t="inlineStr">
        <is>
          <t>1</t>
        </is>
      </c>
      <c r="H126" t="inlineStr">
        <is>
          <t>No</t>
        </is>
      </c>
      <c r="I126" t="inlineStr">
        <is>
          <t>No</t>
        </is>
      </c>
      <c r="J126" t="inlineStr">
        <is>
          <t>0</t>
        </is>
      </c>
      <c r="K126" t="inlineStr">
        <is>
          <t>Parramón, José María.</t>
        </is>
      </c>
      <c r="L126" t="inlineStr">
        <is>
          <t>New York : Watson-Guptill Publications, 1984, c1983.</t>
        </is>
      </c>
      <c r="M126" t="inlineStr">
        <is>
          <t>1984</t>
        </is>
      </c>
      <c r="O126" t="inlineStr">
        <is>
          <t>eng</t>
        </is>
      </c>
      <c r="P126" t="inlineStr">
        <is>
          <t>nyu</t>
        </is>
      </c>
      <c r="R126" t="inlineStr">
        <is>
          <t xml:space="preserve">ND </t>
        </is>
      </c>
      <c r="S126" t="n">
        <v>12</v>
      </c>
      <c r="T126" t="n">
        <v>12</v>
      </c>
      <c r="U126" t="inlineStr">
        <is>
          <t>2007-08-29</t>
        </is>
      </c>
      <c r="V126" t="inlineStr">
        <is>
          <t>2007-08-29</t>
        </is>
      </c>
      <c r="W126" t="inlineStr">
        <is>
          <t>1993-05-28</t>
        </is>
      </c>
      <c r="X126" t="inlineStr">
        <is>
          <t>1993-05-28</t>
        </is>
      </c>
      <c r="Y126" t="n">
        <v>313</v>
      </c>
      <c r="Z126" t="n">
        <v>298</v>
      </c>
      <c r="AA126" t="n">
        <v>360</v>
      </c>
      <c r="AB126" t="n">
        <v>2</v>
      </c>
      <c r="AC126" t="n">
        <v>2</v>
      </c>
      <c r="AD126" t="n">
        <v>3</v>
      </c>
      <c r="AE126" t="n">
        <v>4</v>
      </c>
      <c r="AF126" t="n">
        <v>2</v>
      </c>
      <c r="AG126" t="n">
        <v>2</v>
      </c>
      <c r="AH126" t="n">
        <v>0</v>
      </c>
      <c r="AI126" t="n">
        <v>0</v>
      </c>
      <c r="AJ126" t="n">
        <v>1</v>
      </c>
      <c r="AK126" t="n">
        <v>2</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HYPERLINK("https://creighton-primo.hosted.exlibrisgroup.com/primo-explore/search?tab=default_tab&amp;search_scope=EVERYTHING&amp;vid=01CRU&amp;lang=en_US&amp;offset=0&amp;query=any,contains,991000533369702656","Catalog Record")</f>
        <v/>
      </c>
      <c r="AT126">
        <f>HYPERLINK("http://www.worldcat.org/oclc/11426094","WorldCat Record")</f>
        <v/>
      </c>
      <c r="AU126" t="inlineStr">
        <is>
          <t>2908442444:eng</t>
        </is>
      </c>
      <c r="AV126" t="inlineStr">
        <is>
          <t>11426094</t>
        </is>
      </c>
      <c r="AW126" t="inlineStr">
        <is>
          <t>991000533369702656</t>
        </is>
      </c>
      <c r="AX126" t="inlineStr">
        <is>
          <t>991000533369702656</t>
        </is>
      </c>
      <c r="AY126" t="inlineStr">
        <is>
          <t>2269740450002656</t>
        </is>
      </c>
      <c r="AZ126" t="inlineStr">
        <is>
          <t>BOOK</t>
        </is>
      </c>
      <c r="BB126" t="inlineStr">
        <is>
          <t>9780823004959</t>
        </is>
      </c>
      <c r="BC126" t="inlineStr">
        <is>
          <t>32285001693869</t>
        </is>
      </c>
      <c r="BD126" t="inlineStr">
        <is>
          <t>893249437</t>
        </is>
      </c>
    </row>
    <row r="127">
      <c r="A127" t="inlineStr">
        <is>
          <t>No</t>
        </is>
      </c>
      <c r="B127" t="inlineStr">
        <is>
          <t>ND1500 .P42 1995</t>
        </is>
      </c>
      <c r="C127" t="inlineStr">
        <is>
          <t>0                      ND 1500000P  42          1995</t>
        </is>
      </c>
      <c r="D127" t="inlineStr">
        <is>
          <t>Art as expression / Henry W. Peacock ; foreword by Frank Goodyear, Jr.</t>
        </is>
      </c>
      <c r="F127" t="inlineStr">
        <is>
          <t>No</t>
        </is>
      </c>
      <c r="G127" t="inlineStr">
        <is>
          <t>1</t>
        </is>
      </c>
      <c r="H127" t="inlineStr">
        <is>
          <t>No</t>
        </is>
      </c>
      <c r="I127" t="inlineStr">
        <is>
          <t>No</t>
        </is>
      </c>
      <c r="J127" t="inlineStr">
        <is>
          <t>0</t>
        </is>
      </c>
      <c r="K127" t="inlineStr">
        <is>
          <t>Peacock, Henry W., 1926-</t>
        </is>
      </c>
      <c r="L127" t="inlineStr">
        <is>
          <t>Washington, D.C. : Whalesback Books, c1995.</t>
        </is>
      </c>
      <c r="M127" t="inlineStr">
        <is>
          <t>1995</t>
        </is>
      </c>
      <c r="O127" t="inlineStr">
        <is>
          <t>eng</t>
        </is>
      </c>
      <c r="P127" t="inlineStr">
        <is>
          <t>dcu</t>
        </is>
      </c>
      <c r="R127" t="inlineStr">
        <is>
          <t xml:space="preserve">ND </t>
        </is>
      </c>
      <c r="S127" t="n">
        <v>2</v>
      </c>
      <c r="T127" t="n">
        <v>2</v>
      </c>
      <c r="U127" t="inlineStr">
        <is>
          <t>1999-12-14</t>
        </is>
      </c>
      <c r="V127" t="inlineStr">
        <is>
          <t>1999-12-14</t>
        </is>
      </c>
      <c r="W127" t="inlineStr">
        <is>
          <t>1998-12-07</t>
        </is>
      </c>
      <c r="X127" t="inlineStr">
        <is>
          <t>1998-12-07</t>
        </is>
      </c>
      <c r="Y127" t="n">
        <v>83</v>
      </c>
      <c r="Z127" t="n">
        <v>72</v>
      </c>
      <c r="AA127" t="n">
        <v>72</v>
      </c>
      <c r="AB127" t="n">
        <v>3</v>
      </c>
      <c r="AC127" t="n">
        <v>3</v>
      </c>
      <c r="AD127" t="n">
        <v>3</v>
      </c>
      <c r="AE127" t="n">
        <v>3</v>
      </c>
      <c r="AF127" t="n">
        <v>0</v>
      </c>
      <c r="AG127" t="n">
        <v>0</v>
      </c>
      <c r="AH127" t="n">
        <v>1</v>
      </c>
      <c r="AI127" t="n">
        <v>1</v>
      </c>
      <c r="AJ127" t="n">
        <v>0</v>
      </c>
      <c r="AK127" t="n">
        <v>0</v>
      </c>
      <c r="AL127" t="n">
        <v>2</v>
      </c>
      <c r="AM127" t="n">
        <v>2</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HYPERLINK("https://creighton-primo.hosted.exlibrisgroup.com/primo-explore/search?tab=default_tab&amp;search_scope=EVERYTHING&amp;vid=01CRU&amp;lang=en_US&amp;offset=0&amp;query=any,contains,991002400509702656","Catalog Record")</f>
        <v/>
      </c>
      <c r="AT127">
        <f>HYPERLINK("http://www.worldcat.org/oclc/31206222","WorldCat Record")</f>
        <v/>
      </c>
      <c r="AU127" t="inlineStr">
        <is>
          <t>32727102:eng</t>
        </is>
      </c>
      <c r="AV127" t="inlineStr">
        <is>
          <t>31206222</t>
        </is>
      </c>
      <c r="AW127" t="inlineStr">
        <is>
          <t>991002400509702656</t>
        </is>
      </c>
      <c r="AX127" t="inlineStr">
        <is>
          <t>991002400509702656</t>
        </is>
      </c>
      <c r="AY127" t="inlineStr">
        <is>
          <t>2258112530002656</t>
        </is>
      </c>
      <c r="AZ127" t="inlineStr">
        <is>
          <t>BOOK</t>
        </is>
      </c>
      <c r="BB127" t="inlineStr">
        <is>
          <t>9780929590141</t>
        </is>
      </c>
      <c r="BC127" t="inlineStr">
        <is>
          <t>32285003494035</t>
        </is>
      </c>
      <c r="BD127" t="inlineStr">
        <is>
          <t>893710243</t>
        </is>
      </c>
    </row>
    <row r="128">
      <c r="A128" t="inlineStr">
        <is>
          <t>No</t>
        </is>
      </c>
      <c r="B128" t="inlineStr">
        <is>
          <t>ND1500 .P68 1990</t>
        </is>
      </c>
      <c r="C128" t="inlineStr">
        <is>
          <t>0                      ND 1500000P  68          1990</t>
        </is>
      </c>
      <c r="D128" t="inlineStr">
        <is>
          <t>Oil painting materials and their uses / by William F. Powell.</t>
        </is>
      </c>
      <c r="F128" t="inlineStr">
        <is>
          <t>No</t>
        </is>
      </c>
      <c r="G128" t="inlineStr">
        <is>
          <t>1</t>
        </is>
      </c>
      <c r="H128" t="inlineStr">
        <is>
          <t>No</t>
        </is>
      </c>
      <c r="I128" t="inlineStr">
        <is>
          <t>No</t>
        </is>
      </c>
      <c r="J128" t="inlineStr">
        <is>
          <t>0</t>
        </is>
      </c>
      <c r="K128" t="inlineStr">
        <is>
          <t>Powell, William F.</t>
        </is>
      </c>
      <c r="L128" t="inlineStr">
        <is>
          <t>Tustin, CA : Walter Foster Pub., c1990.</t>
        </is>
      </c>
      <c r="M128" t="inlineStr">
        <is>
          <t>1990</t>
        </is>
      </c>
      <c r="O128" t="inlineStr">
        <is>
          <t>eng</t>
        </is>
      </c>
      <c r="P128" t="inlineStr">
        <is>
          <t>cau</t>
        </is>
      </c>
      <c r="Q128" t="inlineStr">
        <is>
          <t>Artist's library series</t>
        </is>
      </c>
      <c r="R128" t="inlineStr">
        <is>
          <t xml:space="preserve">ND </t>
        </is>
      </c>
      <c r="S128" t="n">
        <v>4</v>
      </c>
      <c r="T128" t="n">
        <v>4</v>
      </c>
      <c r="U128" t="inlineStr">
        <is>
          <t>2006-03-11</t>
        </is>
      </c>
      <c r="V128" t="inlineStr">
        <is>
          <t>2006-03-11</t>
        </is>
      </c>
      <c r="W128" t="inlineStr">
        <is>
          <t>1991-06-20</t>
        </is>
      </c>
      <c r="X128" t="inlineStr">
        <is>
          <t>1991-06-20</t>
        </is>
      </c>
      <c r="Y128" t="n">
        <v>95</v>
      </c>
      <c r="Z128" t="n">
        <v>91</v>
      </c>
      <c r="AA128" t="n">
        <v>96</v>
      </c>
      <c r="AB128" t="n">
        <v>2</v>
      </c>
      <c r="AC128" t="n">
        <v>2</v>
      </c>
      <c r="AD128" t="n">
        <v>0</v>
      </c>
      <c r="AE128" t="n">
        <v>0</v>
      </c>
      <c r="AF128" t="n">
        <v>0</v>
      </c>
      <c r="AG128" t="n">
        <v>0</v>
      </c>
      <c r="AH128" t="n">
        <v>0</v>
      </c>
      <c r="AI128" t="n">
        <v>0</v>
      </c>
      <c r="AJ128" t="n">
        <v>0</v>
      </c>
      <c r="AK128" t="n">
        <v>0</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HYPERLINK("https://creighton-primo.hosted.exlibrisgroup.com/primo-explore/search?tab=default_tab&amp;search_scope=EVERYTHING&amp;vid=01CRU&amp;lang=en_US&amp;offset=0&amp;query=any,contains,991001749079702656","Catalog Record")</f>
        <v/>
      </c>
      <c r="AT128">
        <f>HYPERLINK("http://www.worldcat.org/oclc/22157364","WorldCat Record")</f>
        <v/>
      </c>
      <c r="AU128" t="inlineStr">
        <is>
          <t>3768842548:eng</t>
        </is>
      </c>
      <c r="AV128" t="inlineStr">
        <is>
          <t>22157364</t>
        </is>
      </c>
      <c r="AW128" t="inlineStr">
        <is>
          <t>991001749079702656</t>
        </is>
      </c>
      <c r="AX128" t="inlineStr">
        <is>
          <t>991001749079702656</t>
        </is>
      </c>
      <c r="AY128" t="inlineStr">
        <is>
          <t>2265005780002656</t>
        </is>
      </c>
      <c r="AZ128" t="inlineStr">
        <is>
          <t>BOOK</t>
        </is>
      </c>
      <c r="BB128" t="inlineStr">
        <is>
          <t>9781560100560</t>
        </is>
      </c>
      <c r="BC128" t="inlineStr">
        <is>
          <t>32285000657386</t>
        </is>
      </c>
      <c r="BD128" t="inlineStr">
        <is>
          <t>893351991</t>
        </is>
      </c>
    </row>
    <row r="129">
      <c r="A129" t="inlineStr">
        <is>
          <t>No</t>
        </is>
      </c>
      <c r="B129" t="inlineStr">
        <is>
          <t>ND1500 .S336 1998</t>
        </is>
      </c>
      <c r="C129" t="inlineStr">
        <is>
          <t>0                      ND 1500000S  336         1998</t>
        </is>
      </c>
      <c r="D129" t="inlineStr">
        <is>
          <t>Alla prima : everything I know about painting / by Richard Schmid.</t>
        </is>
      </c>
      <c r="F129" t="inlineStr">
        <is>
          <t>No</t>
        </is>
      </c>
      <c r="G129" t="inlineStr">
        <is>
          <t>1</t>
        </is>
      </c>
      <c r="H129" t="inlineStr">
        <is>
          <t>No</t>
        </is>
      </c>
      <c r="I129" t="inlineStr">
        <is>
          <t>No</t>
        </is>
      </c>
      <c r="J129" t="inlineStr">
        <is>
          <t>0</t>
        </is>
      </c>
      <c r="K129" t="inlineStr">
        <is>
          <t>Schmid, Richard, 1934-</t>
        </is>
      </c>
      <c r="L129" t="inlineStr">
        <is>
          <t>[United States] : Stove Prairie Press ; Longmont, CO : Distributed by West Wind Fine Art &amp; Antiques, c1998.</t>
        </is>
      </c>
      <c r="M129" t="inlineStr">
        <is>
          <t>1998</t>
        </is>
      </c>
      <c r="O129" t="inlineStr">
        <is>
          <t>eng</t>
        </is>
      </c>
      <c r="P129" t="inlineStr">
        <is>
          <t>xxu</t>
        </is>
      </c>
      <c r="R129" t="inlineStr">
        <is>
          <t xml:space="preserve">ND </t>
        </is>
      </c>
      <c r="S129" t="n">
        <v>2</v>
      </c>
      <c r="T129" t="n">
        <v>2</v>
      </c>
      <c r="U129" t="inlineStr">
        <is>
          <t>2006-10-17</t>
        </is>
      </c>
      <c r="V129" t="inlineStr">
        <is>
          <t>2006-10-17</t>
        </is>
      </c>
      <c r="W129" t="inlineStr">
        <is>
          <t>1999-12-07</t>
        </is>
      </c>
      <c r="X129" t="inlineStr">
        <is>
          <t>1999-12-07</t>
        </is>
      </c>
      <c r="Y129" t="n">
        <v>106</v>
      </c>
      <c r="Z129" t="n">
        <v>101</v>
      </c>
      <c r="AA129" t="n">
        <v>246</v>
      </c>
      <c r="AB129" t="n">
        <v>2</v>
      </c>
      <c r="AC129" t="n">
        <v>5</v>
      </c>
      <c r="AD129" t="n">
        <v>4</v>
      </c>
      <c r="AE129" t="n">
        <v>7</v>
      </c>
      <c r="AF129" t="n">
        <v>2</v>
      </c>
      <c r="AG129" t="n">
        <v>3</v>
      </c>
      <c r="AH129" t="n">
        <v>0</v>
      </c>
      <c r="AI129" t="n">
        <v>0</v>
      </c>
      <c r="AJ129" t="n">
        <v>1</v>
      </c>
      <c r="AK129" t="n">
        <v>1</v>
      </c>
      <c r="AL129" t="n">
        <v>1</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HYPERLINK("https://creighton-primo.hosted.exlibrisgroup.com/primo-explore/search?tab=default_tab&amp;search_scope=EVERYTHING&amp;vid=01CRU&amp;lang=en_US&amp;offset=0&amp;query=any,contains,991002956339702656","Catalog Record")</f>
        <v/>
      </c>
      <c r="AT129">
        <f>HYPERLINK("http://www.worldcat.org/oclc/39464011","WorldCat Record")</f>
        <v/>
      </c>
      <c r="AU129" t="inlineStr">
        <is>
          <t>28113176:eng</t>
        </is>
      </c>
      <c r="AV129" t="inlineStr">
        <is>
          <t>39464011</t>
        </is>
      </c>
      <c r="AW129" t="inlineStr">
        <is>
          <t>991002956339702656</t>
        </is>
      </c>
      <c r="AX129" t="inlineStr">
        <is>
          <t>991002956339702656</t>
        </is>
      </c>
      <c r="AY129" t="inlineStr">
        <is>
          <t>2269399050002656</t>
        </is>
      </c>
      <c r="AZ129" t="inlineStr">
        <is>
          <t>BOOK</t>
        </is>
      </c>
      <c r="BB129" t="inlineStr">
        <is>
          <t>9780966211702</t>
        </is>
      </c>
      <c r="BC129" t="inlineStr">
        <is>
          <t>32285003628939</t>
        </is>
      </c>
      <c r="BD129" t="inlineStr">
        <is>
          <t>893409755</t>
        </is>
      </c>
    </row>
    <row r="130">
      <c r="A130" t="inlineStr">
        <is>
          <t>No</t>
        </is>
      </c>
      <c r="B130" t="inlineStr">
        <is>
          <t>ND1500 .S48 1979</t>
        </is>
      </c>
      <c r="C130" t="inlineStr">
        <is>
          <t>0                      ND 1500000S  48          1979</t>
        </is>
      </c>
      <c r="D130" t="inlineStr">
        <is>
          <t>Learning from the old masters / by Joseph Sheppard.</t>
        </is>
      </c>
      <c r="F130" t="inlineStr">
        <is>
          <t>No</t>
        </is>
      </c>
      <c r="G130" t="inlineStr">
        <is>
          <t>1</t>
        </is>
      </c>
      <c r="H130" t="inlineStr">
        <is>
          <t>No</t>
        </is>
      </c>
      <c r="I130" t="inlineStr">
        <is>
          <t>No</t>
        </is>
      </c>
      <c r="J130" t="inlineStr">
        <is>
          <t>0</t>
        </is>
      </c>
      <c r="K130" t="inlineStr">
        <is>
          <t>Sheppard, Joseph, 1930-</t>
        </is>
      </c>
      <c r="L130" t="inlineStr">
        <is>
          <t>New York : Watson-Guptill Publications, 1979.</t>
        </is>
      </c>
      <c r="M130" t="inlineStr">
        <is>
          <t>1979</t>
        </is>
      </c>
      <c r="O130" t="inlineStr">
        <is>
          <t>eng</t>
        </is>
      </c>
      <c r="P130" t="inlineStr">
        <is>
          <t>nyu</t>
        </is>
      </c>
      <c r="R130" t="inlineStr">
        <is>
          <t xml:space="preserve">ND </t>
        </is>
      </c>
      <c r="S130" t="n">
        <v>3</v>
      </c>
      <c r="T130" t="n">
        <v>3</v>
      </c>
      <c r="U130" t="inlineStr">
        <is>
          <t>1997-07-27</t>
        </is>
      </c>
      <c r="V130" t="inlineStr">
        <is>
          <t>1997-07-27</t>
        </is>
      </c>
      <c r="W130" t="inlineStr">
        <is>
          <t>1993-05-28</t>
        </is>
      </c>
      <c r="X130" t="inlineStr">
        <is>
          <t>1993-05-28</t>
        </is>
      </c>
      <c r="Y130" t="n">
        <v>351</v>
      </c>
      <c r="Z130" t="n">
        <v>319</v>
      </c>
      <c r="AA130" t="n">
        <v>323</v>
      </c>
      <c r="AB130" t="n">
        <v>2</v>
      </c>
      <c r="AC130" t="n">
        <v>2</v>
      </c>
      <c r="AD130" t="n">
        <v>6</v>
      </c>
      <c r="AE130" t="n">
        <v>7</v>
      </c>
      <c r="AF130" t="n">
        <v>4</v>
      </c>
      <c r="AG130" t="n">
        <v>4</v>
      </c>
      <c r="AH130" t="n">
        <v>0</v>
      </c>
      <c r="AI130" t="n">
        <v>1</v>
      </c>
      <c r="AJ130" t="n">
        <v>2</v>
      </c>
      <c r="AK130" t="n">
        <v>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HYPERLINK("https://creighton-primo.hosted.exlibrisgroup.com/primo-explore/search?tab=default_tab&amp;search_scope=EVERYTHING&amp;vid=01CRU&amp;lang=en_US&amp;offset=0&amp;query=any,contains,991004721419702656","Catalog Record")</f>
        <v/>
      </c>
      <c r="AT130">
        <f>HYPERLINK("http://www.worldcat.org/oclc/4804618","WorldCat Record")</f>
        <v/>
      </c>
      <c r="AU130" t="inlineStr">
        <is>
          <t>2564807932:eng</t>
        </is>
      </c>
      <c r="AV130" t="inlineStr">
        <is>
          <t>4804618</t>
        </is>
      </c>
      <c r="AW130" t="inlineStr">
        <is>
          <t>991004721419702656</t>
        </is>
      </c>
      <c r="AX130" t="inlineStr">
        <is>
          <t>991004721419702656</t>
        </is>
      </c>
      <c r="AY130" t="inlineStr">
        <is>
          <t>2270224230002656</t>
        </is>
      </c>
      <c r="AZ130" t="inlineStr">
        <is>
          <t>BOOK</t>
        </is>
      </c>
      <c r="BB130" t="inlineStr">
        <is>
          <t>9780823026722</t>
        </is>
      </c>
      <c r="BC130" t="inlineStr">
        <is>
          <t>32285001693877</t>
        </is>
      </c>
      <c r="BD130" t="inlineStr">
        <is>
          <t>893331963</t>
        </is>
      </c>
    </row>
    <row r="131">
      <c r="A131" t="inlineStr">
        <is>
          <t>No</t>
        </is>
      </c>
      <c r="B131" t="inlineStr">
        <is>
          <t>ND1500 .S84 1989</t>
        </is>
      </c>
      <c r="C131" t="inlineStr">
        <is>
          <t>0                      ND 1500000S  84          1989</t>
        </is>
      </c>
      <c r="D131" t="inlineStr">
        <is>
          <t>The materials and techniques of painting / Jonathan Stephenson.</t>
        </is>
      </c>
      <c r="F131" t="inlineStr">
        <is>
          <t>No</t>
        </is>
      </c>
      <c r="G131" t="inlineStr">
        <is>
          <t>1</t>
        </is>
      </c>
      <c r="H131" t="inlineStr">
        <is>
          <t>No</t>
        </is>
      </c>
      <c r="I131" t="inlineStr">
        <is>
          <t>No</t>
        </is>
      </c>
      <c r="J131" t="inlineStr">
        <is>
          <t>0</t>
        </is>
      </c>
      <c r="K131" t="inlineStr">
        <is>
          <t>Stephenson, Jonathan.</t>
        </is>
      </c>
      <c r="L131" t="inlineStr">
        <is>
          <t>New York : Watson-Guptill Publications, 1989.</t>
        </is>
      </c>
      <c r="M131" t="inlineStr">
        <is>
          <t>1989</t>
        </is>
      </c>
      <c r="O131" t="inlineStr">
        <is>
          <t>eng</t>
        </is>
      </c>
      <c r="P131" t="inlineStr">
        <is>
          <t>nyu</t>
        </is>
      </c>
      <c r="R131" t="inlineStr">
        <is>
          <t xml:space="preserve">ND </t>
        </is>
      </c>
      <c r="S131" t="n">
        <v>9</v>
      </c>
      <c r="T131" t="n">
        <v>9</v>
      </c>
      <c r="U131" t="inlineStr">
        <is>
          <t>2010-04-11</t>
        </is>
      </c>
      <c r="V131" t="inlineStr">
        <is>
          <t>2010-04-11</t>
        </is>
      </c>
      <c r="W131" t="inlineStr">
        <is>
          <t>1991-10-24</t>
        </is>
      </c>
      <c r="X131" t="inlineStr">
        <is>
          <t>1991-10-24</t>
        </is>
      </c>
      <c r="Y131" t="n">
        <v>288</v>
      </c>
      <c r="Z131" t="n">
        <v>266</v>
      </c>
      <c r="AA131" t="n">
        <v>351</v>
      </c>
      <c r="AB131" t="n">
        <v>2</v>
      </c>
      <c r="AC131" t="n">
        <v>3</v>
      </c>
      <c r="AD131" t="n">
        <v>2</v>
      </c>
      <c r="AE131" t="n">
        <v>4</v>
      </c>
      <c r="AF131" t="n">
        <v>0</v>
      </c>
      <c r="AG131" t="n">
        <v>1</v>
      </c>
      <c r="AH131" t="n">
        <v>1</v>
      </c>
      <c r="AI131" t="n">
        <v>1</v>
      </c>
      <c r="AJ131" t="n">
        <v>0</v>
      </c>
      <c r="AK131" t="n">
        <v>0</v>
      </c>
      <c r="AL131" t="n">
        <v>1</v>
      </c>
      <c r="AM131" t="n">
        <v>2</v>
      </c>
      <c r="AN131" t="n">
        <v>0</v>
      </c>
      <c r="AO131" t="n">
        <v>0</v>
      </c>
      <c r="AP131" t="inlineStr">
        <is>
          <t>No</t>
        </is>
      </c>
      <c r="AQ131" t="inlineStr">
        <is>
          <t>Yes</t>
        </is>
      </c>
      <c r="AR131">
        <f>HYPERLINK("http://catalog.hathitrust.org/Record/008232135","HathiTrust Record")</f>
        <v/>
      </c>
      <c r="AS131">
        <f>HYPERLINK("https://creighton-primo.hosted.exlibrisgroup.com/primo-explore/search?tab=default_tab&amp;search_scope=EVERYTHING&amp;vid=01CRU&amp;lang=en_US&amp;offset=0&amp;query=any,contains,991001318359702656","Catalog Record")</f>
        <v/>
      </c>
      <c r="AT131">
        <f>HYPERLINK("http://www.worldcat.org/oclc/18192076","WorldCat Record")</f>
        <v/>
      </c>
      <c r="AU131" t="inlineStr">
        <is>
          <t>3943599050:eng</t>
        </is>
      </c>
      <c r="AV131" t="inlineStr">
        <is>
          <t>18192076</t>
        </is>
      </c>
      <c r="AW131" t="inlineStr">
        <is>
          <t>991001318359702656</t>
        </is>
      </c>
      <c r="AX131" t="inlineStr">
        <is>
          <t>991001318359702656</t>
        </is>
      </c>
      <c r="AY131" t="inlineStr">
        <is>
          <t>2269450710002656</t>
        </is>
      </c>
      <c r="AZ131" t="inlineStr">
        <is>
          <t>BOOK</t>
        </is>
      </c>
      <c r="BB131" t="inlineStr">
        <is>
          <t>9780823030262</t>
        </is>
      </c>
      <c r="BC131" t="inlineStr">
        <is>
          <t>32285000728302</t>
        </is>
      </c>
      <c r="BD131" t="inlineStr">
        <is>
          <t>893238032</t>
        </is>
      </c>
    </row>
    <row r="132">
      <c r="A132" t="inlineStr">
        <is>
          <t>No</t>
        </is>
      </c>
      <c r="B132" t="inlineStr">
        <is>
          <t>ND1500 .W41 1982</t>
        </is>
      </c>
      <c r="C132" t="inlineStr">
        <is>
          <t>0                      ND 1500000W  41          1982</t>
        </is>
      </c>
      <c r="D132" t="inlineStr">
        <is>
          <t>The materials and techniques of painting / Kurt Wehlte ; translated by Ursus Dix.</t>
        </is>
      </c>
      <c r="F132" t="inlineStr">
        <is>
          <t>No</t>
        </is>
      </c>
      <c r="G132" t="inlineStr">
        <is>
          <t>1</t>
        </is>
      </c>
      <c r="H132" t="inlineStr">
        <is>
          <t>No</t>
        </is>
      </c>
      <c r="I132" t="inlineStr">
        <is>
          <t>No</t>
        </is>
      </c>
      <c r="J132" t="inlineStr">
        <is>
          <t>0</t>
        </is>
      </c>
      <c r="K132" t="inlineStr">
        <is>
          <t>Wehlte, Kurt.</t>
        </is>
      </c>
      <c r="L132" t="inlineStr">
        <is>
          <t>New York : Van Nostrand Reinhold, c1982.</t>
        </is>
      </c>
      <c r="M132" t="inlineStr">
        <is>
          <t>1982</t>
        </is>
      </c>
      <c r="N132" t="inlineStr">
        <is>
          <t>1st pbk. ed.</t>
        </is>
      </c>
      <c r="O132" t="inlineStr">
        <is>
          <t>eng</t>
        </is>
      </c>
      <c r="P132" t="inlineStr">
        <is>
          <t>nyu</t>
        </is>
      </c>
      <c r="R132" t="inlineStr">
        <is>
          <t xml:space="preserve">ND </t>
        </is>
      </c>
      <c r="S132" t="n">
        <v>1</v>
      </c>
      <c r="T132" t="n">
        <v>1</v>
      </c>
      <c r="U132" t="inlineStr">
        <is>
          <t>1996-03-10</t>
        </is>
      </c>
      <c r="V132" t="inlineStr">
        <is>
          <t>1996-03-10</t>
        </is>
      </c>
      <c r="W132" t="inlineStr">
        <is>
          <t>1993-09-30</t>
        </is>
      </c>
      <c r="X132" t="inlineStr">
        <is>
          <t>1993-09-30</t>
        </is>
      </c>
      <c r="Y132" t="n">
        <v>96</v>
      </c>
      <c r="Z132" t="n">
        <v>75</v>
      </c>
      <c r="AA132" t="n">
        <v>634</v>
      </c>
      <c r="AB132" t="n">
        <v>3</v>
      </c>
      <c r="AC132" t="n">
        <v>8</v>
      </c>
      <c r="AD132" t="n">
        <v>4</v>
      </c>
      <c r="AE132" t="n">
        <v>17</v>
      </c>
      <c r="AF132" t="n">
        <v>0</v>
      </c>
      <c r="AG132" t="n">
        <v>3</v>
      </c>
      <c r="AH132" t="n">
        <v>1</v>
      </c>
      <c r="AI132" t="n">
        <v>3</v>
      </c>
      <c r="AJ132" t="n">
        <v>1</v>
      </c>
      <c r="AK132" t="n">
        <v>4</v>
      </c>
      <c r="AL132" t="n">
        <v>2</v>
      </c>
      <c r="AM132" t="n">
        <v>7</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HYPERLINK("https://creighton-primo.hosted.exlibrisgroup.com/primo-explore/search?tab=default_tab&amp;search_scope=EVERYTHING&amp;vid=01CRU&amp;lang=en_US&amp;offset=0&amp;query=any,contains,991000058469702656","Catalog Record")</f>
        <v/>
      </c>
      <c r="AT132">
        <f>HYPERLINK("http://www.worldcat.org/oclc/8718630","WorldCat Record")</f>
        <v/>
      </c>
      <c r="AU132" t="inlineStr">
        <is>
          <t>2037866:eng</t>
        </is>
      </c>
      <c r="AV132" t="inlineStr">
        <is>
          <t>8718630</t>
        </is>
      </c>
      <c r="AW132" t="inlineStr">
        <is>
          <t>991000058469702656</t>
        </is>
      </c>
      <c r="AX132" t="inlineStr">
        <is>
          <t>991000058469702656</t>
        </is>
      </c>
      <c r="AY132" t="inlineStr">
        <is>
          <t>2254926620002656</t>
        </is>
      </c>
      <c r="AZ132" t="inlineStr">
        <is>
          <t>BOOK</t>
        </is>
      </c>
      <c r="BB132" t="inlineStr">
        <is>
          <t>9780442291624</t>
        </is>
      </c>
      <c r="BC132" t="inlineStr">
        <is>
          <t>32285001772127</t>
        </is>
      </c>
      <c r="BD132" t="inlineStr">
        <is>
          <t>893527754</t>
        </is>
      </c>
    </row>
    <row r="133">
      <c r="A133" t="inlineStr">
        <is>
          <t>No</t>
        </is>
      </c>
      <c r="B133" t="inlineStr">
        <is>
          <t>ND1535 .R68 1986</t>
        </is>
      </c>
      <c r="C133" t="inlineStr">
        <is>
          <t>0                      ND 1535000R  68          1986</t>
        </is>
      </c>
      <c r="D133" t="inlineStr">
        <is>
          <t>Acrylics bold and new / by Nicholas Roukes.</t>
        </is>
      </c>
      <c r="F133" t="inlineStr">
        <is>
          <t>No</t>
        </is>
      </c>
      <c r="G133" t="inlineStr">
        <is>
          <t>1</t>
        </is>
      </c>
      <c r="H133" t="inlineStr">
        <is>
          <t>No</t>
        </is>
      </c>
      <c r="I133" t="inlineStr">
        <is>
          <t>No</t>
        </is>
      </c>
      <c r="J133" t="inlineStr">
        <is>
          <t>0</t>
        </is>
      </c>
      <c r="K133" t="inlineStr">
        <is>
          <t>Roukes, Nicholas.</t>
        </is>
      </c>
      <c r="L133" t="inlineStr">
        <is>
          <t>New York : Watson-Guptill Publications, 1986.</t>
        </is>
      </c>
      <c r="M133" t="inlineStr">
        <is>
          <t>1986</t>
        </is>
      </c>
      <c r="O133" t="inlineStr">
        <is>
          <t>eng</t>
        </is>
      </c>
      <c r="P133" t="inlineStr">
        <is>
          <t>nyu</t>
        </is>
      </c>
      <c r="R133" t="inlineStr">
        <is>
          <t xml:space="preserve">ND </t>
        </is>
      </c>
      <c r="S133" t="n">
        <v>3</v>
      </c>
      <c r="T133" t="n">
        <v>3</v>
      </c>
      <c r="U133" t="inlineStr">
        <is>
          <t>1995-02-14</t>
        </is>
      </c>
      <c r="V133" t="inlineStr">
        <is>
          <t>1995-02-14</t>
        </is>
      </c>
      <c r="W133" t="inlineStr">
        <is>
          <t>1993-05-28</t>
        </is>
      </c>
      <c r="X133" t="inlineStr">
        <is>
          <t>1993-05-28</t>
        </is>
      </c>
      <c r="Y133" t="n">
        <v>385</v>
      </c>
      <c r="Z133" t="n">
        <v>326</v>
      </c>
      <c r="AA133" t="n">
        <v>389</v>
      </c>
      <c r="AB133" t="n">
        <v>4</v>
      </c>
      <c r="AC133" t="n">
        <v>4</v>
      </c>
      <c r="AD133" t="n">
        <v>5</v>
      </c>
      <c r="AE133" t="n">
        <v>6</v>
      </c>
      <c r="AF133" t="n">
        <v>3</v>
      </c>
      <c r="AG133" t="n">
        <v>4</v>
      </c>
      <c r="AH133" t="n">
        <v>0</v>
      </c>
      <c r="AI133" t="n">
        <v>0</v>
      </c>
      <c r="AJ133" t="n">
        <v>1</v>
      </c>
      <c r="AK133" t="n">
        <v>1</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HYPERLINK("https://creighton-primo.hosted.exlibrisgroup.com/primo-explore/search?tab=default_tab&amp;search_scope=EVERYTHING&amp;vid=01CRU&amp;lang=en_US&amp;offset=0&amp;query=any,contains,991000745559702656","Catalog Record")</f>
        <v/>
      </c>
      <c r="AT133">
        <f>HYPERLINK("http://www.worldcat.org/oclc/12839370","WorldCat Record")</f>
        <v/>
      </c>
      <c r="AU133" t="inlineStr">
        <is>
          <t>5765535:eng</t>
        </is>
      </c>
      <c r="AV133" t="inlineStr">
        <is>
          <t>12839370</t>
        </is>
      </c>
      <c r="AW133" t="inlineStr">
        <is>
          <t>991000745559702656</t>
        </is>
      </c>
      <c r="AX133" t="inlineStr">
        <is>
          <t>991000745559702656</t>
        </is>
      </c>
      <c r="AY133" t="inlineStr">
        <is>
          <t>2269346660002656</t>
        </is>
      </c>
      <c r="AZ133" t="inlineStr">
        <is>
          <t>BOOK</t>
        </is>
      </c>
      <c r="BB133" t="inlineStr">
        <is>
          <t>9780823000586</t>
        </is>
      </c>
      <c r="BC133" t="inlineStr">
        <is>
          <t>32285001693919</t>
        </is>
      </c>
      <c r="BD133" t="inlineStr">
        <is>
          <t>893413640</t>
        </is>
      </c>
    </row>
    <row r="134">
      <c r="A134" t="inlineStr">
        <is>
          <t>No</t>
        </is>
      </c>
      <c r="B134" t="inlineStr">
        <is>
          <t>ND1535 .T38</t>
        </is>
      </c>
      <c r="C134" t="inlineStr">
        <is>
          <t>0                      ND 1535000T  38</t>
        </is>
      </c>
      <c r="D134" t="inlineStr">
        <is>
          <t>Acrylic painting for the beginner.</t>
        </is>
      </c>
      <c r="F134" t="inlineStr">
        <is>
          <t>No</t>
        </is>
      </c>
      <c r="G134" t="inlineStr">
        <is>
          <t>1</t>
        </is>
      </c>
      <c r="H134" t="inlineStr">
        <is>
          <t>No</t>
        </is>
      </c>
      <c r="I134" t="inlineStr">
        <is>
          <t>No</t>
        </is>
      </c>
      <c r="J134" t="inlineStr">
        <is>
          <t>0</t>
        </is>
      </c>
      <c r="K134" t="inlineStr">
        <is>
          <t>Taubes, Frederic, 1900-1981.</t>
        </is>
      </c>
      <c r="L134" t="inlineStr">
        <is>
          <t>New York, Watson-Guptill Publications [1971]</t>
        </is>
      </c>
      <c r="M134" t="inlineStr">
        <is>
          <t>1971</t>
        </is>
      </c>
      <c r="O134" t="inlineStr">
        <is>
          <t>eng</t>
        </is>
      </c>
      <c r="P134" t="inlineStr">
        <is>
          <t>nyu</t>
        </is>
      </c>
      <c r="R134" t="inlineStr">
        <is>
          <t xml:space="preserve">ND </t>
        </is>
      </c>
      <c r="S134" t="n">
        <v>5</v>
      </c>
      <c r="T134" t="n">
        <v>5</v>
      </c>
      <c r="U134" t="inlineStr">
        <is>
          <t>2008-02-07</t>
        </is>
      </c>
      <c r="V134" t="inlineStr">
        <is>
          <t>2008-02-07</t>
        </is>
      </c>
      <c r="W134" t="inlineStr">
        <is>
          <t>1997-08-06</t>
        </is>
      </c>
      <c r="X134" t="inlineStr">
        <is>
          <t>1997-08-06</t>
        </is>
      </c>
      <c r="Y134" t="n">
        <v>711</v>
      </c>
      <c r="Z134" t="n">
        <v>650</v>
      </c>
      <c r="AA134" t="n">
        <v>759</v>
      </c>
      <c r="AB134" t="n">
        <v>7</v>
      </c>
      <c r="AC134" t="n">
        <v>7</v>
      </c>
      <c r="AD134" t="n">
        <v>7</v>
      </c>
      <c r="AE134" t="n">
        <v>8</v>
      </c>
      <c r="AF134" t="n">
        <v>2</v>
      </c>
      <c r="AG134" t="n">
        <v>3</v>
      </c>
      <c r="AH134" t="n">
        <v>0</v>
      </c>
      <c r="AI134" t="n">
        <v>0</v>
      </c>
      <c r="AJ134" t="n">
        <v>3</v>
      </c>
      <c r="AK134" t="n">
        <v>3</v>
      </c>
      <c r="AL134" t="n">
        <v>4</v>
      </c>
      <c r="AM134" t="n">
        <v>4</v>
      </c>
      <c r="AN134" t="n">
        <v>0</v>
      </c>
      <c r="AO134" t="n">
        <v>0</v>
      </c>
      <c r="AP134" t="inlineStr">
        <is>
          <t>No</t>
        </is>
      </c>
      <c r="AQ134" t="inlineStr">
        <is>
          <t>Yes</t>
        </is>
      </c>
      <c r="AR134">
        <f>HYPERLINK("http://catalog.hathitrust.org/Record/000377431","HathiTrust Record")</f>
        <v/>
      </c>
      <c r="AS134">
        <f>HYPERLINK("https://creighton-primo.hosted.exlibrisgroup.com/primo-explore/search?tab=default_tab&amp;search_scope=EVERYTHING&amp;vid=01CRU&amp;lang=en_US&amp;offset=0&amp;query=any,contains,991000862319702656","Catalog Record")</f>
        <v/>
      </c>
      <c r="AT134">
        <f>HYPERLINK("http://www.worldcat.org/oclc/150610","WorldCat Record")</f>
        <v/>
      </c>
      <c r="AU134" t="inlineStr">
        <is>
          <t>3855538516:eng</t>
        </is>
      </c>
      <c r="AV134" t="inlineStr">
        <is>
          <t>150610</t>
        </is>
      </c>
      <c r="AW134" t="inlineStr">
        <is>
          <t>991000862319702656</t>
        </is>
      </c>
      <c r="AX134" t="inlineStr">
        <is>
          <t>991000862319702656</t>
        </is>
      </c>
      <c r="AY134" t="inlineStr">
        <is>
          <t>2270921550002656</t>
        </is>
      </c>
      <c r="AZ134" t="inlineStr">
        <is>
          <t>BOOK</t>
        </is>
      </c>
      <c r="BB134" t="inlineStr">
        <is>
          <t>9780823000609</t>
        </is>
      </c>
      <c r="BC134" t="inlineStr">
        <is>
          <t>32285003045639</t>
        </is>
      </c>
      <c r="BD134" t="inlineStr">
        <is>
          <t>893515679</t>
        </is>
      </c>
    </row>
    <row r="135">
      <c r="A135" t="inlineStr">
        <is>
          <t>No</t>
        </is>
      </c>
      <c r="B135" t="inlineStr">
        <is>
          <t>ND1540 .M3</t>
        </is>
      </c>
      <c r="C135" t="inlineStr">
        <is>
          <t>0                      ND 1540000M  3</t>
        </is>
      </c>
      <c r="D135" t="inlineStr">
        <is>
          <t>Formulas for painters.</t>
        </is>
      </c>
      <c r="F135" t="inlineStr">
        <is>
          <t>No</t>
        </is>
      </c>
      <c r="G135" t="inlineStr">
        <is>
          <t>1</t>
        </is>
      </c>
      <c r="H135" t="inlineStr">
        <is>
          <t>No</t>
        </is>
      </c>
      <c r="I135" t="inlineStr">
        <is>
          <t>No</t>
        </is>
      </c>
      <c r="J135" t="inlineStr">
        <is>
          <t>0</t>
        </is>
      </c>
      <c r="K135" t="inlineStr">
        <is>
          <t>Massey, Robert, 1921-</t>
        </is>
      </c>
      <c r="L135" t="inlineStr">
        <is>
          <t>New York : Watson-Guptill Publications, [1967]</t>
        </is>
      </c>
      <c r="M135" t="inlineStr">
        <is>
          <t>1967</t>
        </is>
      </c>
      <c r="O135" t="inlineStr">
        <is>
          <t>eng</t>
        </is>
      </c>
      <c r="P135" t="inlineStr">
        <is>
          <t>nyu</t>
        </is>
      </c>
      <c r="R135" t="inlineStr">
        <is>
          <t xml:space="preserve">ND </t>
        </is>
      </c>
      <c r="S135" t="n">
        <v>3</v>
      </c>
      <c r="T135" t="n">
        <v>3</v>
      </c>
      <c r="U135" t="inlineStr">
        <is>
          <t>2000-05-01</t>
        </is>
      </c>
      <c r="V135" t="inlineStr">
        <is>
          <t>2000-05-01</t>
        </is>
      </c>
      <c r="W135" t="inlineStr">
        <is>
          <t>1997-08-06</t>
        </is>
      </c>
      <c r="X135" t="inlineStr">
        <is>
          <t>1997-08-06</t>
        </is>
      </c>
      <c r="Y135" t="n">
        <v>872</v>
      </c>
      <c r="Z135" t="n">
        <v>783</v>
      </c>
      <c r="AA135" t="n">
        <v>843</v>
      </c>
      <c r="AB135" t="n">
        <v>6</v>
      </c>
      <c r="AC135" t="n">
        <v>6</v>
      </c>
      <c r="AD135" t="n">
        <v>19</v>
      </c>
      <c r="AE135" t="n">
        <v>19</v>
      </c>
      <c r="AF135" t="n">
        <v>6</v>
      </c>
      <c r="AG135" t="n">
        <v>6</v>
      </c>
      <c r="AH135" t="n">
        <v>2</v>
      </c>
      <c r="AI135" t="n">
        <v>2</v>
      </c>
      <c r="AJ135" t="n">
        <v>10</v>
      </c>
      <c r="AK135" t="n">
        <v>10</v>
      </c>
      <c r="AL135" t="n">
        <v>4</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HYPERLINK("https://creighton-primo.hosted.exlibrisgroup.com/primo-explore/search?tab=default_tab&amp;search_scope=EVERYTHING&amp;vid=01CRU&amp;lang=en_US&amp;offset=0&amp;query=any,contains,991003092679702656","Catalog Record")</f>
        <v/>
      </c>
      <c r="AT135">
        <f>HYPERLINK("http://www.worldcat.org/oclc/642807","WorldCat Record")</f>
        <v/>
      </c>
      <c r="AU135" t="inlineStr">
        <is>
          <t>488292:eng</t>
        </is>
      </c>
      <c r="AV135" t="inlineStr">
        <is>
          <t>642807</t>
        </is>
      </c>
      <c r="AW135" t="inlineStr">
        <is>
          <t>991003092679702656</t>
        </is>
      </c>
      <c r="AX135" t="inlineStr">
        <is>
          <t>991003092679702656</t>
        </is>
      </c>
      <c r="AY135" t="inlineStr">
        <is>
          <t>2262025580002656</t>
        </is>
      </c>
      <c r="AZ135" t="inlineStr">
        <is>
          <t>BOOK</t>
        </is>
      </c>
      <c r="BC135" t="inlineStr">
        <is>
          <t>32285003045647</t>
        </is>
      </c>
      <c r="BD135" t="inlineStr">
        <is>
          <t>893498935</t>
        </is>
      </c>
    </row>
    <row r="136">
      <c r="A136" t="inlineStr">
        <is>
          <t>No</t>
        </is>
      </c>
      <c r="B136" t="inlineStr">
        <is>
          <t>ND160 .L4 1962</t>
        </is>
      </c>
      <c r="C136" t="inlineStr">
        <is>
          <t>0                      ND 0160000L  4           1962</t>
        </is>
      </c>
      <c r="D136" t="inlineStr">
        <is>
          <t>A concise history of painting, from Giotto to Cézanne.</t>
        </is>
      </c>
      <c r="F136" t="inlineStr">
        <is>
          <t>No</t>
        </is>
      </c>
      <c r="G136" t="inlineStr">
        <is>
          <t>1</t>
        </is>
      </c>
      <c r="H136" t="inlineStr">
        <is>
          <t>No</t>
        </is>
      </c>
      <c r="I136" t="inlineStr">
        <is>
          <t>No</t>
        </is>
      </c>
      <c r="J136" t="inlineStr">
        <is>
          <t>0</t>
        </is>
      </c>
      <c r="K136" t="inlineStr">
        <is>
          <t>Levey, Michael.</t>
        </is>
      </c>
      <c r="L136" t="inlineStr">
        <is>
          <t>New York, Praeger [1962]</t>
        </is>
      </c>
      <c r="M136" t="inlineStr">
        <is>
          <t>1962</t>
        </is>
      </c>
      <c r="O136" t="inlineStr">
        <is>
          <t>eng</t>
        </is>
      </c>
      <c r="P136" t="inlineStr">
        <is>
          <t>nyu</t>
        </is>
      </c>
      <c r="Q136" t="inlineStr">
        <is>
          <t>Books that matter</t>
        </is>
      </c>
      <c r="R136" t="inlineStr">
        <is>
          <t xml:space="preserve">ND </t>
        </is>
      </c>
      <c r="S136" t="n">
        <v>4</v>
      </c>
      <c r="T136" t="n">
        <v>4</v>
      </c>
      <c r="U136" t="inlineStr">
        <is>
          <t>2005-07-06</t>
        </is>
      </c>
      <c r="V136" t="inlineStr">
        <is>
          <t>2005-07-06</t>
        </is>
      </c>
      <c r="W136" t="inlineStr">
        <is>
          <t>1997-07-21</t>
        </is>
      </c>
      <c r="X136" t="inlineStr">
        <is>
          <t>1997-07-21</t>
        </is>
      </c>
      <c r="Y136" t="n">
        <v>974</v>
      </c>
      <c r="Z136" t="n">
        <v>923</v>
      </c>
      <c r="AA136" t="n">
        <v>1244</v>
      </c>
      <c r="AB136" t="n">
        <v>8</v>
      </c>
      <c r="AC136" t="n">
        <v>12</v>
      </c>
      <c r="AD136" t="n">
        <v>26</v>
      </c>
      <c r="AE136" t="n">
        <v>40</v>
      </c>
      <c r="AF136" t="n">
        <v>9</v>
      </c>
      <c r="AG136" t="n">
        <v>15</v>
      </c>
      <c r="AH136" t="n">
        <v>5</v>
      </c>
      <c r="AI136" t="n">
        <v>6</v>
      </c>
      <c r="AJ136" t="n">
        <v>11</v>
      </c>
      <c r="AK136" t="n">
        <v>16</v>
      </c>
      <c r="AL136" t="n">
        <v>7</v>
      </c>
      <c r="AM136" t="n">
        <v>10</v>
      </c>
      <c r="AN136" t="n">
        <v>0</v>
      </c>
      <c r="AO136" t="n">
        <v>0</v>
      </c>
      <c r="AP136" t="inlineStr">
        <is>
          <t>No</t>
        </is>
      </c>
      <c r="AQ136" t="inlineStr">
        <is>
          <t>No</t>
        </is>
      </c>
      <c r="AR136">
        <f>HYPERLINK("http://catalog.hathitrust.org/Record/000346357","HathiTrust Record")</f>
        <v/>
      </c>
      <c r="AS136">
        <f>HYPERLINK("https://creighton-primo.hosted.exlibrisgroup.com/primo-explore/search?tab=default_tab&amp;search_scope=EVERYTHING&amp;vid=01CRU&amp;lang=en_US&amp;offset=0&amp;query=any,contains,991003428319702656","Catalog Record")</f>
        <v/>
      </c>
      <c r="AT136">
        <f>HYPERLINK("http://www.worldcat.org/oclc/965022","WorldCat Record")</f>
        <v/>
      </c>
      <c r="AU136" t="inlineStr">
        <is>
          <t>571163:eng</t>
        </is>
      </c>
      <c r="AV136" t="inlineStr">
        <is>
          <t>965022</t>
        </is>
      </c>
      <c r="AW136" t="inlineStr">
        <is>
          <t>991003428319702656</t>
        </is>
      </c>
      <c r="AX136" t="inlineStr">
        <is>
          <t>991003428319702656</t>
        </is>
      </c>
      <c r="AY136" t="inlineStr">
        <is>
          <t>2258367050002656</t>
        </is>
      </c>
      <c r="AZ136" t="inlineStr">
        <is>
          <t>BOOK</t>
        </is>
      </c>
      <c r="BC136" t="inlineStr">
        <is>
          <t>32285002966017</t>
        </is>
      </c>
      <c r="BD136" t="inlineStr">
        <is>
          <t>893887449</t>
        </is>
      </c>
    </row>
    <row r="137">
      <c r="A137" t="inlineStr">
        <is>
          <t>No</t>
        </is>
      </c>
      <c r="B137" t="inlineStr">
        <is>
          <t>ND1635 .A77 1982</t>
        </is>
      </c>
      <c r="C137" t="inlineStr">
        <is>
          <t>0                      ND 1635000A  77          1982</t>
        </is>
      </c>
      <c r="D137" t="inlineStr">
        <is>
          <t>Art and autoradiography : insights into the genesis of paintings by Rembrandt, Van Dyck, and Vermeer.</t>
        </is>
      </c>
      <c r="F137" t="inlineStr">
        <is>
          <t>No</t>
        </is>
      </c>
      <c r="G137" t="inlineStr">
        <is>
          <t>1</t>
        </is>
      </c>
      <c r="H137" t="inlineStr">
        <is>
          <t>No</t>
        </is>
      </c>
      <c r="I137" t="inlineStr">
        <is>
          <t>No</t>
        </is>
      </c>
      <c r="J137" t="inlineStr">
        <is>
          <t>0</t>
        </is>
      </c>
      <c r="L137" t="inlineStr">
        <is>
          <t>New York : Metropolitan Museum of Art, c1982, 1987 printing.</t>
        </is>
      </c>
      <c r="M137" t="inlineStr">
        <is>
          <t>1982</t>
        </is>
      </c>
      <c r="O137" t="inlineStr">
        <is>
          <t>eng</t>
        </is>
      </c>
      <c r="P137" t="inlineStr">
        <is>
          <t>nyu</t>
        </is>
      </c>
      <c r="R137" t="inlineStr">
        <is>
          <t xml:space="preserve">ND </t>
        </is>
      </c>
      <c r="S137" t="n">
        <v>2</v>
      </c>
      <c r="T137" t="n">
        <v>2</v>
      </c>
      <c r="U137" t="inlineStr">
        <is>
          <t>1996-02-19</t>
        </is>
      </c>
      <c r="V137" t="inlineStr">
        <is>
          <t>1996-02-19</t>
        </is>
      </c>
      <c r="W137" t="inlineStr">
        <is>
          <t>1993-05-28</t>
        </is>
      </c>
      <c r="X137" t="inlineStr">
        <is>
          <t>1993-05-28</t>
        </is>
      </c>
      <c r="Y137" t="n">
        <v>249</v>
      </c>
      <c r="Z137" t="n">
        <v>198</v>
      </c>
      <c r="AA137" t="n">
        <v>256</v>
      </c>
      <c r="AB137" t="n">
        <v>2</v>
      </c>
      <c r="AC137" t="n">
        <v>3</v>
      </c>
      <c r="AD137" t="n">
        <v>7</v>
      </c>
      <c r="AE137" t="n">
        <v>9</v>
      </c>
      <c r="AF137" t="n">
        <v>1</v>
      </c>
      <c r="AG137" t="n">
        <v>1</v>
      </c>
      <c r="AH137" t="n">
        <v>2</v>
      </c>
      <c r="AI137" t="n">
        <v>2</v>
      </c>
      <c r="AJ137" t="n">
        <v>4</v>
      </c>
      <c r="AK137" t="n">
        <v>5</v>
      </c>
      <c r="AL137" t="n">
        <v>1</v>
      </c>
      <c r="AM137" t="n">
        <v>2</v>
      </c>
      <c r="AN137" t="n">
        <v>0</v>
      </c>
      <c r="AO137" t="n">
        <v>0</v>
      </c>
      <c r="AP137" t="inlineStr">
        <is>
          <t>No</t>
        </is>
      </c>
      <c r="AQ137" t="inlineStr">
        <is>
          <t>Yes</t>
        </is>
      </c>
      <c r="AR137">
        <f>HYPERLINK("http://catalog.hathitrust.org/Record/000310370","HathiTrust Record")</f>
        <v/>
      </c>
      <c r="AS137">
        <f>HYPERLINK("https://creighton-primo.hosted.exlibrisgroup.com/primo-explore/search?tab=default_tab&amp;search_scope=EVERYTHING&amp;vid=01CRU&amp;lang=en_US&amp;offset=0&amp;query=any,contains,991005190389702656","Catalog Record")</f>
        <v/>
      </c>
      <c r="AT137">
        <f>HYPERLINK("http://www.worldcat.org/oclc/7998392","WorldCat Record")</f>
        <v/>
      </c>
      <c r="AU137" t="inlineStr">
        <is>
          <t>505551870:eng</t>
        </is>
      </c>
      <c r="AV137" t="inlineStr">
        <is>
          <t>7998392</t>
        </is>
      </c>
      <c r="AW137" t="inlineStr">
        <is>
          <t>991005190389702656</t>
        </is>
      </c>
      <c r="AX137" t="inlineStr">
        <is>
          <t>991005190389702656</t>
        </is>
      </c>
      <c r="AY137" t="inlineStr">
        <is>
          <t>2258731920002656</t>
        </is>
      </c>
      <c r="AZ137" t="inlineStr">
        <is>
          <t>BOOK</t>
        </is>
      </c>
      <c r="BB137" t="inlineStr">
        <is>
          <t>9780870992858</t>
        </is>
      </c>
      <c r="BC137" t="inlineStr">
        <is>
          <t>32285001693927</t>
        </is>
      </c>
      <c r="BD137" t="inlineStr">
        <is>
          <t>893514207</t>
        </is>
      </c>
    </row>
    <row r="138">
      <c r="A138" t="inlineStr">
        <is>
          <t>No</t>
        </is>
      </c>
      <c r="B138" t="inlineStr">
        <is>
          <t>ND170 .H3 1992</t>
        </is>
      </c>
      <c r="C138" t="inlineStr">
        <is>
          <t>0                      ND 0170000H  3           1992</t>
        </is>
      </c>
      <c r="D138" t="inlineStr">
        <is>
          <t>Color and meaning : practice and theory in Renaissance painting / Marcia B. Hall.</t>
        </is>
      </c>
      <c r="F138" t="inlineStr">
        <is>
          <t>No</t>
        </is>
      </c>
      <c r="G138" t="inlineStr">
        <is>
          <t>1</t>
        </is>
      </c>
      <c r="H138" t="inlineStr">
        <is>
          <t>No</t>
        </is>
      </c>
      <c r="I138" t="inlineStr">
        <is>
          <t>No</t>
        </is>
      </c>
      <c r="J138" t="inlineStr">
        <is>
          <t>0</t>
        </is>
      </c>
      <c r="K138" t="inlineStr">
        <is>
          <t>Hall, Marcia B.</t>
        </is>
      </c>
      <c r="L138" t="inlineStr">
        <is>
          <t>Cambridge ; New York : Cambridge University Press, 1992.</t>
        </is>
      </c>
      <c r="M138" t="inlineStr">
        <is>
          <t>1992</t>
        </is>
      </c>
      <c r="O138" t="inlineStr">
        <is>
          <t>eng</t>
        </is>
      </c>
      <c r="P138" t="inlineStr">
        <is>
          <t>enk</t>
        </is>
      </c>
      <c r="R138" t="inlineStr">
        <is>
          <t xml:space="preserve">ND </t>
        </is>
      </c>
      <c r="S138" t="n">
        <v>17</v>
      </c>
      <c r="T138" t="n">
        <v>17</v>
      </c>
      <c r="U138" t="inlineStr">
        <is>
          <t>2002-04-05</t>
        </is>
      </c>
      <c r="V138" t="inlineStr">
        <is>
          <t>2002-04-05</t>
        </is>
      </c>
      <c r="W138" t="inlineStr">
        <is>
          <t>1995-03-21</t>
        </is>
      </c>
      <c r="X138" t="inlineStr">
        <is>
          <t>1995-03-21</t>
        </is>
      </c>
      <c r="Y138" t="n">
        <v>800</v>
      </c>
      <c r="Z138" t="n">
        <v>642</v>
      </c>
      <c r="AA138" t="n">
        <v>658</v>
      </c>
      <c r="AB138" t="n">
        <v>5</v>
      </c>
      <c r="AC138" t="n">
        <v>6</v>
      </c>
      <c r="AD138" t="n">
        <v>34</v>
      </c>
      <c r="AE138" t="n">
        <v>36</v>
      </c>
      <c r="AF138" t="n">
        <v>15</v>
      </c>
      <c r="AG138" t="n">
        <v>16</v>
      </c>
      <c r="AH138" t="n">
        <v>8</v>
      </c>
      <c r="AI138" t="n">
        <v>8</v>
      </c>
      <c r="AJ138" t="n">
        <v>16</v>
      </c>
      <c r="AK138" t="n">
        <v>16</v>
      </c>
      <c r="AL138" t="n">
        <v>4</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HYPERLINK("https://creighton-primo.hosted.exlibrisgroup.com/primo-explore/search?tab=default_tab&amp;search_scope=EVERYTHING&amp;vid=01CRU&amp;lang=en_US&amp;offset=0&amp;query=any,contains,991001883789702656","Catalog Record")</f>
        <v/>
      </c>
      <c r="AT138">
        <f>HYPERLINK("http://www.worldcat.org/oclc/23766002","WorldCat Record")</f>
        <v/>
      </c>
      <c r="AU138" t="inlineStr">
        <is>
          <t>25028066:eng</t>
        </is>
      </c>
      <c r="AV138" t="inlineStr">
        <is>
          <t>23766002</t>
        </is>
      </c>
      <c r="AW138" t="inlineStr">
        <is>
          <t>991001883789702656</t>
        </is>
      </c>
      <c r="AX138" t="inlineStr">
        <is>
          <t>991001883789702656</t>
        </is>
      </c>
      <c r="AY138" t="inlineStr">
        <is>
          <t>2270632530002656</t>
        </is>
      </c>
      <c r="AZ138" t="inlineStr">
        <is>
          <t>BOOK</t>
        </is>
      </c>
      <c r="BB138" t="inlineStr">
        <is>
          <t>9780521392228</t>
        </is>
      </c>
      <c r="BC138" t="inlineStr">
        <is>
          <t>32285002003910</t>
        </is>
      </c>
      <c r="BD138" t="inlineStr">
        <is>
          <t>893516639</t>
        </is>
      </c>
    </row>
    <row r="139">
      <c r="A139" t="inlineStr">
        <is>
          <t>No</t>
        </is>
      </c>
      <c r="B139" t="inlineStr">
        <is>
          <t>ND170 .M3 1966</t>
        </is>
      </c>
      <c r="C139" t="inlineStr">
        <is>
          <t>0                      ND 0170000M  3           1966</t>
        </is>
      </c>
      <c r="D139" t="inlineStr">
        <is>
          <t>Western European painting of the Renaissance.</t>
        </is>
      </c>
      <c r="F139" t="inlineStr">
        <is>
          <t>No</t>
        </is>
      </c>
      <c r="G139" t="inlineStr">
        <is>
          <t>1</t>
        </is>
      </c>
      <c r="H139" t="inlineStr">
        <is>
          <t>No</t>
        </is>
      </c>
      <c r="I139" t="inlineStr">
        <is>
          <t>No</t>
        </is>
      </c>
      <c r="J139" t="inlineStr">
        <is>
          <t>0</t>
        </is>
      </c>
      <c r="K139" t="inlineStr">
        <is>
          <t>Mather, Frank Jewett, 1868-1953.</t>
        </is>
      </c>
      <c r="L139" t="inlineStr">
        <is>
          <t>New York : Cooper Square Publishers, 1966 [c1939]</t>
        </is>
      </c>
      <c r="M139" t="inlineStr">
        <is>
          <t>1966</t>
        </is>
      </c>
      <c r="O139" t="inlineStr">
        <is>
          <t>eng</t>
        </is>
      </c>
      <c r="P139" t="inlineStr">
        <is>
          <t>nyu</t>
        </is>
      </c>
      <c r="R139" t="inlineStr">
        <is>
          <t xml:space="preserve">ND </t>
        </is>
      </c>
      <c r="S139" t="n">
        <v>13</v>
      </c>
      <c r="T139" t="n">
        <v>13</v>
      </c>
      <c r="U139" t="inlineStr">
        <is>
          <t>2008-09-18</t>
        </is>
      </c>
      <c r="V139" t="inlineStr">
        <is>
          <t>2008-09-18</t>
        </is>
      </c>
      <c r="W139" t="inlineStr">
        <is>
          <t>1995-03-23</t>
        </is>
      </c>
      <c r="X139" t="inlineStr">
        <is>
          <t>1995-03-23</t>
        </is>
      </c>
      <c r="Y139" t="n">
        <v>484</v>
      </c>
      <c r="Z139" t="n">
        <v>437</v>
      </c>
      <c r="AA139" t="n">
        <v>823</v>
      </c>
      <c r="AB139" t="n">
        <v>8</v>
      </c>
      <c r="AC139" t="n">
        <v>9</v>
      </c>
      <c r="AD139" t="n">
        <v>23</v>
      </c>
      <c r="AE139" t="n">
        <v>33</v>
      </c>
      <c r="AF139" t="n">
        <v>6</v>
      </c>
      <c r="AG139" t="n">
        <v>12</v>
      </c>
      <c r="AH139" t="n">
        <v>5</v>
      </c>
      <c r="AI139" t="n">
        <v>7</v>
      </c>
      <c r="AJ139" t="n">
        <v>9</v>
      </c>
      <c r="AK139" t="n">
        <v>13</v>
      </c>
      <c r="AL139" t="n">
        <v>7</v>
      </c>
      <c r="AM139" t="n">
        <v>7</v>
      </c>
      <c r="AN139" t="n">
        <v>0</v>
      </c>
      <c r="AO139" t="n">
        <v>0</v>
      </c>
      <c r="AP139" t="inlineStr">
        <is>
          <t>No</t>
        </is>
      </c>
      <c r="AQ139" t="inlineStr">
        <is>
          <t>Yes</t>
        </is>
      </c>
      <c r="AR139">
        <f>HYPERLINK("http://catalog.hathitrust.org/Record/000346553","HathiTrust Record")</f>
        <v/>
      </c>
      <c r="AS139">
        <f>HYPERLINK("https://creighton-primo.hosted.exlibrisgroup.com/primo-explore/search?tab=default_tab&amp;search_scope=EVERYTHING&amp;vid=01CRU&amp;lang=en_US&amp;offset=0&amp;query=any,contains,991002998949702656","Catalog Record")</f>
        <v/>
      </c>
      <c r="AT139">
        <f>HYPERLINK("http://www.worldcat.org/oclc/567224","WorldCat Record")</f>
        <v/>
      </c>
      <c r="AU139" t="inlineStr">
        <is>
          <t>1350890:eng</t>
        </is>
      </c>
      <c r="AV139" t="inlineStr">
        <is>
          <t>567224</t>
        </is>
      </c>
      <c r="AW139" t="inlineStr">
        <is>
          <t>991002998949702656</t>
        </is>
      </c>
      <c r="AX139" t="inlineStr">
        <is>
          <t>991002998949702656</t>
        </is>
      </c>
      <c r="AY139" t="inlineStr">
        <is>
          <t>2258128330002656</t>
        </is>
      </c>
      <c r="AZ139" t="inlineStr">
        <is>
          <t>BOOK</t>
        </is>
      </c>
      <c r="BC139" t="inlineStr">
        <is>
          <t>32285002013299</t>
        </is>
      </c>
      <c r="BD139" t="inlineStr">
        <is>
          <t>893348216</t>
        </is>
      </c>
    </row>
    <row r="140">
      <c r="A140" t="inlineStr">
        <is>
          <t>No</t>
        </is>
      </c>
      <c r="B140" t="inlineStr">
        <is>
          <t>ND180 .T713</t>
        </is>
      </c>
      <c r="C140" t="inlineStr">
        <is>
          <t>0                      ND 0180000T  713</t>
        </is>
      </c>
      <c r="D140" t="inlineStr">
        <is>
          <t>The eighteenth century, Watteau to Tiepolo / text by François Fosca [pseud.] Translated by Stuart Gilbert.</t>
        </is>
      </c>
      <c r="F140" t="inlineStr">
        <is>
          <t>No</t>
        </is>
      </c>
      <c r="G140" t="inlineStr">
        <is>
          <t>1</t>
        </is>
      </c>
      <c r="H140" t="inlineStr">
        <is>
          <t>No</t>
        </is>
      </c>
      <c r="I140" t="inlineStr">
        <is>
          <t>No</t>
        </is>
      </c>
      <c r="J140" t="inlineStr">
        <is>
          <t>0</t>
        </is>
      </c>
      <c r="K140" t="inlineStr">
        <is>
          <t>Fosca, François, 1881-1980.</t>
        </is>
      </c>
      <c r="L140" t="inlineStr">
        <is>
          <t>[n.p.] : Skira, [1952]</t>
        </is>
      </c>
      <c r="M140" t="inlineStr">
        <is>
          <t>1952</t>
        </is>
      </c>
      <c r="O140" t="inlineStr">
        <is>
          <t>eng</t>
        </is>
      </c>
      <c r="P140" t="inlineStr">
        <is>
          <t xml:space="preserve">xx </t>
        </is>
      </c>
      <c r="Q140" t="inlineStr">
        <is>
          <t>The Great centuries of painting</t>
        </is>
      </c>
      <c r="R140" t="inlineStr">
        <is>
          <t xml:space="preserve">ND </t>
        </is>
      </c>
      <c r="S140" t="n">
        <v>5</v>
      </c>
      <c r="T140" t="n">
        <v>5</v>
      </c>
      <c r="U140" t="inlineStr">
        <is>
          <t>1999-04-08</t>
        </is>
      </c>
      <c r="V140" t="inlineStr">
        <is>
          <t>1999-04-08</t>
        </is>
      </c>
      <c r="W140" t="inlineStr">
        <is>
          <t>1996-06-07</t>
        </is>
      </c>
      <c r="X140" t="inlineStr">
        <is>
          <t>1996-06-07</t>
        </is>
      </c>
      <c r="Y140" t="n">
        <v>1211</v>
      </c>
      <c r="Z140" t="n">
        <v>1057</v>
      </c>
      <c r="AA140" t="n">
        <v>1075</v>
      </c>
      <c r="AB140" t="n">
        <v>9</v>
      </c>
      <c r="AC140" t="n">
        <v>9</v>
      </c>
      <c r="AD140" t="n">
        <v>38</v>
      </c>
      <c r="AE140" t="n">
        <v>38</v>
      </c>
      <c r="AF140" t="n">
        <v>15</v>
      </c>
      <c r="AG140" t="n">
        <v>15</v>
      </c>
      <c r="AH140" t="n">
        <v>9</v>
      </c>
      <c r="AI140" t="n">
        <v>9</v>
      </c>
      <c r="AJ140" t="n">
        <v>16</v>
      </c>
      <c r="AK140" t="n">
        <v>16</v>
      </c>
      <c r="AL140" t="n">
        <v>7</v>
      </c>
      <c r="AM140" t="n">
        <v>7</v>
      </c>
      <c r="AN140" t="n">
        <v>0</v>
      </c>
      <c r="AO140" t="n">
        <v>0</v>
      </c>
      <c r="AP140" t="inlineStr">
        <is>
          <t>No</t>
        </is>
      </c>
      <c r="AQ140" t="inlineStr">
        <is>
          <t>Yes</t>
        </is>
      </c>
      <c r="AR140">
        <f>HYPERLINK("http://catalog.hathitrust.org/Record/000346585","HathiTrust Record")</f>
        <v/>
      </c>
      <c r="AS140">
        <f>HYPERLINK("https://creighton-primo.hosted.exlibrisgroup.com/primo-explore/search?tab=default_tab&amp;search_scope=EVERYTHING&amp;vid=01CRU&amp;lang=en_US&amp;offset=0&amp;query=any,contains,991000108379702656","Catalog Record")</f>
        <v/>
      </c>
      <c r="AT140">
        <f>HYPERLINK("http://www.worldcat.org/oclc/8990162","WorldCat Record")</f>
        <v/>
      </c>
      <c r="AU140" t="inlineStr">
        <is>
          <t>4020140166:eng</t>
        </is>
      </c>
      <c r="AV140" t="inlineStr">
        <is>
          <t>8990162</t>
        </is>
      </c>
      <c r="AW140" t="inlineStr">
        <is>
          <t>991000108379702656</t>
        </is>
      </c>
      <c r="AX140" t="inlineStr">
        <is>
          <t>991000108379702656</t>
        </is>
      </c>
      <c r="AY140" t="inlineStr">
        <is>
          <t>2265183650002656</t>
        </is>
      </c>
      <c r="AZ140" t="inlineStr">
        <is>
          <t>BOOK</t>
        </is>
      </c>
      <c r="BC140" t="inlineStr">
        <is>
          <t>32285002190196</t>
        </is>
      </c>
      <c r="BD140" t="inlineStr">
        <is>
          <t>893783970</t>
        </is>
      </c>
    </row>
    <row r="141">
      <c r="A141" t="inlineStr">
        <is>
          <t>No</t>
        </is>
      </c>
      <c r="B141" t="inlineStr">
        <is>
          <t>ND1805 .C37 1985</t>
        </is>
      </c>
      <c r="C141" t="inlineStr">
        <is>
          <t>0                      ND 1805000C  37          1985</t>
        </is>
      </c>
      <c r="D141" t="inlineStr">
        <is>
          <t>American drawings and watercolors in the Museum of Art, Carnegie Institute / introduction by Henry Adams ; contributions by Henry Adams ... [et al.].</t>
        </is>
      </c>
      <c r="F141" t="inlineStr">
        <is>
          <t>No</t>
        </is>
      </c>
      <c r="G141" t="inlineStr">
        <is>
          <t>1</t>
        </is>
      </c>
      <c r="H141" t="inlineStr">
        <is>
          <t>No</t>
        </is>
      </c>
      <c r="I141" t="inlineStr">
        <is>
          <t>No</t>
        </is>
      </c>
      <c r="J141" t="inlineStr">
        <is>
          <t>0</t>
        </is>
      </c>
      <c r="K141" t="inlineStr">
        <is>
          <t>Carnegie Institute. Museum of Art.</t>
        </is>
      </c>
      <c r="L141" t="inlineStr">
        <is>
          <t>Pittsburgh, Pa. : The Museum : Distributed by the University of Pittsburgh Press, 1985.</t>
        </is>
      </c>
      <c r="M141" t="inlineStr">
        <is>
          <t>1985</t>
        </is>
      </c>
      <c r="O141" t="inlineStr">
        <is>
          <t>eng</t>
        </is>
      </c>
      <c r="P141" t="inlineStr">
        <is>
          <t>pau</t>
        </is>
      </c>
      <c r="R141" t="inlineStr">
        <is>
          <t xml:space="preserve">ND </t>
        </is>
      </c>
      <c r="S141" t="n">
        <v>1</v>
      </c>
      <c r="T141" t="n">
        <v>1</v>
      </c>
      <c r="U141" t="inlineStr">
        <is>
          <t>2006-03-29</t>
        </is>
      </c>
      <c r="V141" t="inlineStr">
        <is>
          <t>2006-03-29</t>
        </is>
      </c>
      <c r="W141" t="inlineStr">
        <is>
          <t>1993-05-28</t>
        </is>
      </c>
      <c r="X141" t="inlineStr">
        <is>
          <t>1993-05-28</t>
        </is>
      </c>
      <c r="Y141" t="n">
        <v>330</v>
      </c>
      <c r="Z141" t="n">
        <v>289</v>
      </c>
      <c r="AA141" t="n">
        <v>294</v>
      </c>
      <c r="AB141" t="n">
        <v>2</v>
      </c>
      <c r="AC141" t="n">
        <v>2</v>
      </c>
      <c r="AD141" t="n">
        <v>4</v>
      </c>
      <c r="AE141" t="n">
        <v>4</v>
      </c>
      <c r="AF141" t="n">
        <v>0</v>
      </c>
      <c r="AG141" t="n">
        <v>0</v>
      </c>
      <c r="AH141" t="n">
        <v>0</v>
      </c>
      <c r="AI141" t="n">
        <v>0</v>
      </c>
      <c r="AJ141" t="n">
        <v>3</v>
      </c>
      <c r="AK141" t="n">
        <v>3</v>
      </c>
      <c r="AL141" t="n">
        <v>1</v>
      </c>
      <c r="AM141" t="n">
        <v>1</v>
      </c>
      <c r="AN141" t="n">
        <v>0</v>
      </c>
      <c r="AO141" t="n">
        <v>0</v>
      </c>
      <c r="AP141" t="inlineStr">
        <is>
          <t>No</t>
        </is>
      </c>
      <c r="AQ141" t="inlineStr">
        <is>
          <t>Yes</t>
        </is>
      </c>
      <c r="AR141">
        <f>HYPERLINK("http://catalog.hathitrust.org/Record/000427570","HathiTrust Record")</f>
        <v/>
      </c>
      <c r="AS141">
        <f>HYPERLINK("https://creighton-primo.hosted.exlibrisgroup.com/primo-explore/search?tab=default_tab&amp;search_scope=EVERYTHING&amp;vid=01CRU&amp;lang=en_US&amp;offset=0&amp;query=any,contains,991000579349702656","Catalog Record")</f>
        <v/>
      </c>
      <c r="AT141">
        <f>HYPERLINK("http://www.worldcat.org/oclc/11726919","WorldCat Record")</f>
        <v/>
      </c>
      <c r="AU141" t="inlineStr">
        <is>
          <t>4517894:eng</t>
        </is>
      </c>
      <c r="AV141" t="inlineStr">
        <is>
          <t>11726919</t>
        </is>
      </c>
      <c r="AW141" t="inlineStr">
        <is>
          <t>991000579349702656</t>
        </is>
      </c>
      <c r="AX141" t="inlineStr">
        <is>
          <t>991000579349702656</t>
        </is>
      </c>
      <c r="AY141" t="inlineStr">
        <is>
          <t>2254721300002656</t>
        </is>
      </c>
      <c r="AZ141" t="inlineStr">
        <is>
          <t>BOOK</t>
        </is>
      </c>
      <c r="BB141" t="inlineStr">
        <is>
          <t>9780880390095</t>
        </is>
      </c>
      <c r="BC141" t="inlineStr">
        <is>
          <t>32285001693935</t>
        </is>
      </c>
      <c r="BD141" t="inlineStr">
        <is>
          <t>893702247</t>
        </is>
      </c>
    </row>
    <row r="142">
      <c r="A142" t="inlineStr">
        <is>
          <t>No</t>
        </is>
      </c>
      <c r="B142" t="inlineStr">
        <is>
          <t>ND1805 .F56 1986</t>
        </is>
      </c>
      <c r="C142" t="inlineStr">
        <is>
          <t>0                      ND 1805000F  56          1986</t>
        </is>
      </c>
      <c r="D142" t="inlineStr">
        <is>
          <t>American watercolors / Christopher Finch.</t>
        </is>
      </c>
      <c r="F142" t="inlineStr">
        <is>
          <t>No</t>
        </is>
      </c>
      <c r="G142" t="inlineStr">
        <is>
          <t>1</t>
        </is>
      </c>
      <c r="H142" t="inlineStr">
        <is>
          <t>No</t>
        </is>
      </c>
      <c r="I142" t="inlineStr">
        <is>
          <t>No</t>
        </is>
      </c>
      <c r="J142" t="inlineStr">
        <is>
          <t>0</t>
        </is>
      </c>
      <c r="K142" t="inlineStr">
        <is>
          <t>Finch, Christopher.</t>
        </is>
      </c>
      <c r="L142" t="inlineStr">
        <is>
          <t>New York : Abbeville Press, 1986.</t>
        </is>
      </c>
      <c r="M142" t="inlineStr">
        <is>
          <t>1986</t>
        </is>
      </c>
      <c r="N142" t="inlineStr">
        <is>
          <t>1st ed.</t>
        </is>
      </c>
      <c r="O142" t="inlineStr">
        <is>
          <t>eng</t>
        </is>
      </c>
      <c r="P142" t="inlineStr">
        <is>
          <t>nyu</t>
        </is>
      </c>
      <c r="R142" t="inlineStr">
        <is>
          <t xml:space="preserve">ND </t>
        </is>
      </c>
      <c r="S142" t="n">
        <v>7</v>
      </c>
      <c r="T142" t="n">
        <v>7</v>
      </c>
      <c r="U142" t="inlineStr">
        <is>
          <t>2003-04-30</t>
        </is>
      </c>
      <c r="V142" t="inlineStr">
        <is>
          <t>2003-04-30</t>
        </is>
      </c>
      <c r="W142" t="inlineStr">
        <is>
          <t>1993-05-28</t>
        </is>
      </c>
      <c r="X142" t="inlineStr">
        <is>
          <t>1993-05-28</t>
        </is>
      </c>
      <c r="Y142" t="n">
        <v>1429</v>
      </c>
      <c r="Z142" t="n">
        <v>1336</v>
      </c>
      <c r="AA142" t="n">
        <v>1342</v>
      </c>
      <c r="AB142" t="n">
        <v>9</v>
      </c>
      <c r="AC142" t="n">
        <v>9</v>
      </c>
      <c r="AD142" t="n">
        <v>33</v>
      </c>
      <c r="AE142" t="n">
        <v>33</v>
      </c>
      <c r="AF142" t="n">
        <v>15</v>
      </c>
      <c r="AG142" t="n">
        <v>15</v>
      </c>
      <c r="AH142" t="n">
        <v>6</v>
      </c>
      <c r="AI142" t="n">
        <v>6</v>
      </c>
      <c r="AJ142" t="n">
        <v>13</v>
      </c>
      <c r="AK142" t="n">
        <v>13</v>
      </c>
      <c r="AL142" t="n">
        <v>6</v>
      </c>
      <c r="AM142" t="n">
        <v>6</v>
      </c>
      <c r="AN142" t="n">
        <v>0</v>
      </c>
      <c r="AO142" t="n">
        <v>0</v>
      </c>
      <c r="AP142" t="inlineStr">
        <is>
          <t>No</t>
        </is>
      </c>
      <c r="AQ142" t="inlineStr">
        <is>
          <t>Yes</t>
        </is>
      </c>
      <c r="AR142">
        <f>HYPERLINK("http://catalog.hathitrust.org/Record/004505322","HathiTrust Record")</f>
        <v/>
      </c>
      <c r="AS142">
        <f>HYPERLINK("https://creighton-primo.hosted.exlibrisgroup.com/primo-explore/search?tab=default_tab&amp;search_scope=EVERYTHING&amp;vid=01CRU&amp;lang=en_US&amp;offset=0&amp;query=any,contains,991000780289702656","Catalog Record")</f>
        <v/>
      </c>
      <c r="AT142">
        <f>HYPERLINK("http://www.worldcat.org/oclc/13095219","WorldCat Record")</f>
        <v/>
      </c>
      <c r="AU142" t="inlineStr">
        <is>
          <t>5853321:eng</t>
        </is>
      </c>
      <c r="AV142" t="inlineStr">
        <is>
          <t>13095219</t>
        </is>
      </c>
      <c r="AW142" t="inlineStr">
        <is>
          <t>991000780289702656</t>
        </is>
      </c>
      <c r="AX142" t="inlineStr">
        <is>
          <t>991000780289702656</t>
        </is>
      </c>
      <c r="AY142" t="inlineStr">
        <is>
          <t>2255666190002656</t>
        </is>
      </c>
      <c r="AZ142" t="inlineStr">
        <is>
          <t>BOOK</t>
        </is>
      </c>
      <c r="BB142" t="inlineStr">
        <is>
          <t>9780896596542</t>
        </is>
      </c>
      <c r="BC142" t="inlineStr">
        <is>
          <t>32285001693943</t>
        </is>
      </c>
      <c r="BD142" t="inlineStr">
        <is>
          <t>893683741</t>
        </is>
      </c>
    </row>
    <row r="143">
      <c r="A143" t="inlineStr">
        <is>
          <t>No</t>
        </is>
      </c>
      <c r="B143" t="inlineStr">
        <is>
          <t>ND1805 .R44 1993</t>
        </is>
      </c>
      <c r="C143" t="inlineStr">
        <is>
          <t>0                      ND 1805000R  44          1993</t>
        </is>
      </c>
      <c r="D143" t="inlineStr">
        <is>
          <t>Awash in color : Homer, Sargent, and the great American watercolor / by Sue Welsh Reed and Carol Troyen ; with contributions by Roy Perkinson and Annette Manick.</t>
        </is>
      </c>
      <c r="F143" t="inlineStr">
        <is>
          <t>No</t>
        </is>
      </c>
      <c r="G143" t="inlineStr">
        <is>
          <t>1</t>
        </is>
      </c>
      <c r="H143" t="inlineStr">
        <is>
          <t>No</t>
        </is>
      </c>
      <c r="I143" t="inlineStr">
        <is>
          <t>No</t>
        </is>
      </c>
      <c r="J143" t="inlineStr">
        <is>
          <t>0</t>
        </is>
      </c>
      <c r="K143" t="inlineStr">
        <is>
          <t>Reed, Sue Welsh.</t>
        </is>
      </c>
      <c r="L143" t="inlineStr">
        <is>
          <t>Boston : Museum of Fine Arts in association with Bulfinch Press, Little, Brown and Co., c1993.</t>
        </is>
      </c>
      <c r="M143" t="inlineStr">
        <is>
          <t>1993</t>
        </is>
      </c>
      <c r="N143" t="inlineStr">
        <is>
          <t>1st ed.</t>
        </is>
      </c>
      <c r="O143" t="inlineStr">
        <is>
          <t>eng</t>
        </is>
      </c>
      <c r="P143" t="inlineStr">
        <is>
          <t>mau</t>
        </is>
      </c>
      <c r="R143" t="inlineStr">
        <is>
          <t xml:space="preserve">ND </t>
        </is>
      </c>
      <c r="S143" t="n">
        <v>6</v>
      </c>
      <c r="T143" t="n">
        <v>6</v>
      </c>
      <c r="U143" t="inlineStr">
        <is>
          <t>1993-10-06</t>
        </is>
      </c>
      <c r="V143" t="inlineStr">
        <is>
          <t>1993-10-06</t>
        </is>
      </c>
      <c r="W143" t="inlineStr">
        <is>
          <t>1993-08-03</t>
        </is>
      </c>
      <c r="X143" t="inlineStr">
        <is>
          <t>1993-08-03</t>
        </is>
      </c>
      <c r="Y143" t="n">
        <v>633</v>
      </c>
      <c r="Z143" t="n">
        <v>571</v>
      </c>
      <c r="AA143" t="n">
        <v>577</v>
      </c>
      <c r="AB143" t="n">
        <v>4</v>
      </c>
      <c r="AC143" t="n">
        <v>4</v>
      </c>
      <c r="AD143" t="n">
        <v>12</v>
      </c>
      <c r="AE143" t="n">
        <v>12</v>
      </c>
      <c r="AF143" t="n">
        <v>4</v>
      </c>
      <c r="AG143" t="n">
        <v>4</v>
      </c>
      <c r="AH143" t="n">
        <v>3</v>
      </c>
      <c r="AI143" t="n">
        <v>3</v>
      </c>
      <c r="AJ143" t="n">
        <v>6</v>
      </c>
      <c r="AK143" t="n">
        <v>6</v>
      </c>
      <c r="AL143" t="n">
        <v>2</v>
      </c>
      <c r="AM143" t="n">
        <v>2</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HYPERLINK("https://creighton-primo.hosted.exlibrisgroup.com/primo-explore/search?tab=default_tab&amp;search_scope=EVERYTHING&amp;vid=01CRU&amp;lang=en_US&amp;offset=0&amp;query=any,contains,991002182059702656","Catalog Record")</f>
        <v/>
      </c>
      <c r="AT143">
        <f>HYPERLINK("http://www.worldcat.org/oclc/28102042","WorldCat Record")</f>
        <v/>
      </c>
      <c r="AU143" t="inlineStr">
        <is>
          <t>355705:eng</t>
        </is>
      </c>
      <c r="AV143" t="inlineStr">
        <is>
          <t>28102042</t>
        </is>
      </c>
      <c r="AW143" t="inlineStr">
        <is>
          <t>991002182059702656</t>
        </is>
      </c>
      <c r="AX143" t="inlineStr">
        <is>
          <t>991002182059702656</t>
        </is>
      </c>
      <c r="AY143" t="inlineStr">
        <is>
          <t>2262409660002656</t>
        </is>
      </c>
      <c r="AZ143" t="inlineStr">
        <is>
          <t>BOOK</t>
        </is>
      </c>
      <c r="BB143" t="inlineStr">
        <is>
          <t>9780821220207</t>
        </is>
      </c>
      <c r="BC143" t="inlineStr">
        <is>
          <t>32285001704690</t>
        </is>
      </c>
      <c r="BD143" t="inlineStr">
        <is>
          <t>893439851</t>
        </is>
      </c>
    </row>
    <row r="144">
      <c r="A144" t="inlineStr">
        <is>
          <t>No</t>
        </is>
      </c>
      <c r="B144" t="inlineStr">
        <is>
          <t>ND1807 .A43 1991</t>
        </is>
      </c>
      <c r="C144" t="inlineStr">
        <is>
          <t>0                      ND 1807000A  43          1991</t>
        </is>
      </c>
      <c r="D144" t="inlineStr">
        <is>
          <t>American watercolors from the Metropolitan Museum of Art / foreword by John K. Howat ; introduction by Victor Koshkin-Youritzin ; commentaries on the plates by Stephen Rubin.</t>
        </is>
      </c>
      <c r="F144" t="inlineStr">
        <is>
          <t>No</t>
        </is>
      </c>
      <c r="G144" t="inlineStr">
        <is>
          <t>1</t>
        </is>
      </c>
      <c r="H144" t="inlineStr">
        <is>
          <t>No</t>
        </is>
      </c>
      <c r="I144" t="inlineStr">
        <is>
          <t>No</t>
        </is>
      </c>
      <c r="J144" t="inlineStr">
        <is>
          <t>0</t>
        </is>
      </c>
      <c r="L144" t="inlineStr">
        <is>
          <t>New York : American Federation of Arts in association with Harry N. Abrams Inc., 1991.</t>
        </is>
      </c>
      <c r="M144" t="inlineStr">
        <is>
          <t>1991</t>
        </is>
      </c>
      <c r="O144" t="inlineStr">
        <is>
          <t>eng</t>
        </is>
      </c>
      <c r="P144" t="inlineStr">
        <is>
          <t>nyu</t>
        </is>
      </c>
      <c r="R144" t="inlineStr">
        <is>
          <t xml:space="preserve">ND </t>
        </is>
      </c>
      <c r="S144" t="n">
        <v>4</v>
      </c>
      <c r="T144" t="n">
        <v>4</v>
      </c>
      <c r="U144" t="inlineStr">
        <is>
          <t>2003-04-09</t>
        </is>
      </c>
      <c r="V144" t="inlineStr">
        <is>
          <t>2003-04-09</t>
        </is>
      </c>
      <c r="W144" t="inlineStr">
        <is>
          <t>1991-11-07</t>
        </is>
      </c>
      <c r="X144" t="inlineStr">
        <is>
          <t>1991-11-07</t>
        </is>
      </c>
      <c r="Y144" t="n">
        <v>676</v>
      </c>
      <c r="Z144" t="n">
        <v>625</v>
      </c>
      <c r="AA144" t="n">
        <v>631</v>
      </c>
      <c r="AB144" t="n">
        <v>7</v>
      </c>
      <c r="AC144" t="n">
        <v>7</v>
      </c>
      <c r="AD144" t="n">
        <v>17</v>
      </c>
      <c r="AE144" t="n">
        <v>17</v>
      </c>
      <c r="AF144" t="n">
        <v>3</v>
      </c>
      <c r="AG144" t="n">
        <v>3</v>
      </c>
      <c r="AH144" t="n">
        <v>6</v>
      </c>
      <c r="AI144" t="n">
        <v>6</v>
      </c>
      <c r="AJ144" t="n">
        <v>9</v>
      </c>
      <c r="AK144" t="n">
        <v>9</v>
      </c>
      <c r="AL144" t="n">
        <v>4</v>
      </c>
      <c r="AM144" t="n">
        <v>4</v>
      </c>
      <c r="AN144" t="n">
        <v>0</v>
      </c>
      <c r="AO144" t="n">
        <v>0</v>
      </c>
      <c r="AP144" t="inlineStr">
        <is>
          <t>No</t>
        </is>
      </c>
      <c r="AQ144" t="inlineStr">
        <is>
          <t>Yes</t>
        </is>
      </c>
      <c r="AR144">
        <f>HYPERLINK("http://catalog.hathitrust.org/Record/002446479","HathiTrust Record")</f>
        <v/>
      </c>
      <c r="AS144">
        <f>HYPERLINK("https://creighton-primo.hosted.exlibrisgroup.com/primo-explore/search?tab=default_tab&amp;search_scope=EVERYTHING&amp;vid=01CRU&amp;lang=en_US&amp;offset=0&amp;query=any,contains,991001746749702656","Catalog Record")</f>
        <v/>
      </c>
      <c r="AT144">
        <f>HYPERLINK("http://www.worldcat.org/oclc/22114620","WorldCat Record")</f>
        <v/>
      </c>
      <c r="AU144" t="inlineStr">
        <is>
          <t>365908947:eng</t>
        </is>
      </c>
      <c r="AV144" t="inlineStr">
        <is>
          <t>22114620</t>
        </is>
      </c>
      <c r="AW144" t="inlineStr">
        <is>
          <t>991001746749702656</t>
        </is>
      </c>
      <c r="AX144" t="inlineStr">
        <is>
          <t>991001746749702656</t>
        </is>
      </c>
      <c r="AY144" t="inlineStr">
        <is>
          <t>2268613390002656</t>
        </is>
      </c>
      <c r="AZ144" t="inlineStr">
        <is>
          <t>BOOK</t>
        </is>
      </c>
      <c r="BB144" t="inlineStr">
        <is>
          <t>9780917418921</t>
        </is>
      </c>
      <c r="BC144" t="inlineStr">
        <is>
          <t>32285000729961</t>
        </is>
      </c>
      <c r="BD144" t="inlineStr">
        <is>
          <t>893684595</t>
        </is>
      </c>
    </row>
    <row r="145">
      <c r="A145" t="inlineStr">
        <is>
          <t>No</t>
        </is>
      </c>
      <c r="B145" t="inlineStr">
        <is>
          <t>ND1839.H6 H6</t>
        </is>
      </c>
      <c r="C145" t="inlineStr">
        <is>
          <t>0                      ND 1839000H  6                  H  6</t>
        </is>
      </c>
      <c r="D145" t="inlineStr">
        <is>
          <t>Winslow Homer watercolors, by Donelson F. Hoopes, in cooperation with the Brooklyn Museum, New York [and] the Metropolitan Museum of Art, New York.</t>
        </is>
      </c>
      <c r="F145" t="inlineStr">
        <is>
          <t>No</t>
        </is>
      </c>
      <c r="G145" t="inlineStr">
        <is>
          <t>1</t>
        </is>
      </c>
      <c r="H145" t="inlineStr">
        <is>
          <t>No</t>
        </is>
      </c>
      <c r="I145" t="inlineStr">
        <is>
          <t>No</t>
        </is>
      </c>
      <c r="J145" t="inlineStr">
        <is>
          <t>0</t>
        </is>
      </c>
      <c r="K145" t="inlineStr">
        <is>
          <t>Hoopes, Donelson F.</t>
        </is>
      </c>
      <c r="L145" t="inlineStr">
        <is>
          <t>New York, Watson-Guptill Publications [1969]</t>
        </is>
      </c>
      <c r="M145" t="inlineStr">
        <is>
          <t>1969</t>
        </is>
      </c>
      <c r="O145" t="inlineStr">
        <is>
          <t>eng</t>
        </is>
      </c>
      <c r="P145" t="inlineStr">
        <is>
          <t>nyu</t>
        </is>
      </c>
      <c r="R145" t="inlineStr">
        <is>
          <t xml:space="preserve">ND </t>
        </is>
      </c>
      <c r="S145" t="n">
        <v>1</v>
      </c>
      <c r="T145" t="n">
        <v>1</v>
      </c>
      <c r="U145" t="inlineStr">
        <is>
          <t>2003-10-14</t>
        </is>
      </c>
      <c r="V145" t="inlineStr">
        <is>
          <t>2003-10-14</t>
        </is>
      </c>
      <c r="W145" t="inlineStr">
        <is>
          <t>1997-08-06</t>
        </is>
      </c>
      <c r="X145" t="inlineStr">
        <is>
          <t>1997-08-06</t>
        </is>
      </c>
      <c r="Y145" t="n">
        <v>1286</v>
      </c>
      <c r="Z145" t="n">
        <v>1211</v>
      </c>
      <c r="AA145" t="n">
        <v>1224</v>
      </c>
      <c r="AB145" t="n">
        <v>11</v>
      </c>
      <c r="AC145" t="n">
        <v>11</v>
      </c>
      <c r="AD145" t="n">
        <v>33</v>
      </c>
      <c r="AE145" t="n">
        <v>33</v>
      </c>
      <c r="AF145" t="n">
        <v>13</v>
      </c>
      <c r="AG145" t="n">
        <v>13</v>
      </c>
      <c r="AH145" t="n">
        <v>5</v>
      </c>
      <c r="AI145" t="n">
        <v>5</v>
      </c>
      <c r="AJ145" t="n">
        <v>11</v>
      </c>
      <c r="AK145" t="n">
        <v>11</v>
      </c>
      <c r="AL145" t="n">
        <v>8</v>
      </c>
      <c r="AM145" t="n">
        <v>8</v>
      </c>
      <c r="AN145" t="n">
        <v>0</v>
      </c>
      <c r="AO145" t="n">
        <v>0</v>
      </c>
      <c r="AP145" t="inlineStr">
        <is>
          <t>No</t>
        </is>
      </c>
      <c r="AQ145" t="inlineStr">
        <is>
          <t>Yes</t>
        </is>
      </c>
      <c r="AR145">
        <f>HYPERLINK("http://catalog.hathitrust.org/Record/000369201","HathiTrust Record")</f>
        <v/>
      </c>
      <c r="AS145">
        <f>HYPERLINK("https://creighton-primo.hosted.exlibrisgroup.com/primo-explore/search?tab=default_tab&amp;search_scope=EVERYTHING&amp;vid=01CRU&amp;lang=en_US&amp;offset=0&amp;query=any,contains,991000060129702656","Catalog Record")</f>
        <v/>
      </c>
      <c r="AT145">
        <f>HYPERLINK("http://www.worldcat.org/oclc/24405","WorldCat Record")</f>
        <v/>
      </c>
      <c r="AU145" t="inlineStr">
        <is>
          <t>10182134854:eng</t>
        </is>
      </c>
      <c r="AV145" t="inlineStr">
        <is>
          <t>24405</t>
        </is>
      </c>
      <c r="AW145" t="inlineStr">
        <is>
          <t>991000060129702656</t>
        </is>
      </c>
      <c r="AX145" t="inlineStr">
        <is>
          <t>991000060129702656</t>
        </is>
      </c>
      <c r="AY145" t="inlineStr">
        <is>
          <t>2266701150002656</t>
        </is>
      </c>
      <c r="AZ145" t="inlineStr">
        <is>
          <t>BOOK</t>
        </is>
      </c>
      <c r="BC145" t="inlineStr">
        <is>
          <t>32285003045704</t>
        </is>
      </c>
      <c r="BD145" t="inlineStr">
        <is>
          <t>893406890</t>
        </is>
      </c>
    </row>
    <row r="146">
      <c r="A146" t="inlineStr">
        <is>
          <t>No</t>
        </is>
      </c>
      <c r="B146" t="inlineStr">
        <is>
          <t>ND1839.H6 U54 2001</t>
        </is>
      </c>
      <c r="C146" t="inlineStr">
        <is>
          <t>0                      ND 1839000H  6                  U  54          2001</t>
        </is>
      </c>
      <c r="D146" t="inlineStr">
        <is>
          <t>The watercolors of Winslow Homer / by Miles Unger ; picture editor &amp; designer, Arnold Skolnick.</t>
        </is>
      </c>
      <c r="F146" t="inlineStr">
        <is>
          <t>No</t>
        </is>
      </c>
      <c r="G146" t="inlineStr">
        <is>
          <t>1</t>
        </is>
      </c>
      <c r="H146" t="inlineStr">
        <is>
          <t>No</t>
        </is>
      </c>
      <c r="I146" t="inlineStr">
        <is>
          <t>No</t>
        </is>
      </c>
      <c r="J146" t="inlineStr">
        <is>
          <t>0</t>
        </is>
      </c>
      <c r="K146" t="inlineStr">
        <is>
          <t>Unger, Miles.</t>
        </is>
      </c>
      <c r="L146" t="inlineStr">
        <is>
          <t>New York : W.W. Norton, c2001.</t>
        </is>
      </c>
      <c r="M146" t="inlineStr">
        <is>
          <t>2001</t>
        </is>
      </c>
      <c r="O146" t="inlineStr">
        <is>
          <t>eng</t>
        </is>
      </c>
      <c r="P146" t="inlineStr">
        <is>
          <t>nyu</t>
        </is>
      </c>
      <c r="R146" t="inlineStr">
        <is>
          <t xml:space="preserve">ND </t>
        </is>
      </c>
      <c r="S146" t="n">
        <v>1</v>
      </c>
      <c r="T146" t="n">
        <v>1</v>
      </c>
      <c r="U146" t="inlineStr">
        <is>
          <t>2002-02-12</t>
        </is>
      </c>
      <c r="V146" t="inlineStr">
        <is>
          <t>2002-02-12</t>
        </is>
      </c>
      <c r="W146" t="inlineStr">
        <is>
          <t>2002-02-12</t>
        </is>
      </c>
      <c r="X146" t="inlineStr">
        <is>
          <t>2002-02-12</t>
        </is>
      </c>
      <c r="Y146" t="n">
        <v>734</v>
      </c>
      <c r="Z146" t="n">
        <v>682</v>
      </c>
      <c r="AA146" t="n">
        <v>687</v>
      </c>
      <c r="AB146" t="n">
        <v>3</v>
      </c>
      <c r="AC146" t="n">
        <v>3</v>
      </c>
      <c r="AD146" t="n">
        <v>14</v>
      </c>
      <c r="AE146" t="n">
        <v>14</v>
      </c>
      <c r="AF146" t="n">
        <v>4</v>
      </c>
      <c r="AG146" t="n">
        <v>4</v>
      </c>
      <c r="AH146" t="n">
        <v>3</v>
      </c>
      <c r="AI146" t="n">
        <v>3</v>
      </c>
      <c r="AJ146" t="n">
        <v>8</v>
      </c>
      <c r="AK146" t="n">
        <v>8</v>
      </c>
      <c r="AL146" t="n">
        <v>2</v>
      </c>
      <c r="AM146" t="n">
        <v>2</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HYPERLINK("https://creighton-primo.hosted.exlibrisgroup.com/primo-explore/search?tab=default_tab&amp;search_scope=EVERYTHING&amp;vid=01CRU&amp;lang=en_US&amp;offset=0&amp;query=any,contains,991003719789702656","Catalog Record")</f>
        <v/>
      </c>
      <c r="AT146">
        <f>HYPERLINK("http://www.worldcat.org/oclc/46678381","WorldCat Record")</f>
        <v/>
      </c>
      <c r="AU146" t="inlineStr">
        <is>
          <t>5944538:eng</t>
        </is>
      </c>
      <c r="AV146" t="inlineStr">
        <is>
          <t>46678381</t>
        </is>
      </c>
      <c r="AW146" t="inlineStr">
        <is>
          <t>991003719789702656</t>
        </is>
      </c>
      <c r="AX146" t="inlineStr">
        <is>
          <t>991003719789702656</t>
        </is>
      </c>
      <c r="AY146" t="inlineStr">
        <is>
          <t>2267563360002656</t>
        </is>
      </c>
      <c r="AZ146" t="inlineStr">
        <is>
          <t>BOOK</t>
        </is>
      </c>
      <c r="BB146" t="inlineStr">
        <is>
          <t>9780393020472</t>
        </is>
      </c>
      <c r="BC146" t="inlineStr">
        <is>
          <t>32285004454061</t>
        </is>
      </c>
      <c r="BD146" t="inlineStr">
        <is>
          <t>893686861</t>
        </is>
      </c>
    </row>
    <row r="147">
      <c r="A147" t="inlineStr">
        <is>
          <t>No</t>
        </is>
      </c>
      <c r="B147" t="inlineStr">
        <is>
          <t>ND1839.O5 A4 1995</t>
        </is>
      </c>
      <c r="C147" t="inlineStr">
        <is>
          <t>0                      ND 1839000O  5                  A  4           1995</t>
        </is>
      </c>
      <c r="D147" t="inlineStr">
        <is>
          <t>Georgia O'Keeffe : Canyon suite / introduction by Barbara J. Bloemink.</t>
        </is>
      </c>
      <c r="F147" t="inlineStr">
        <is>
          <t>No</t>
        </is>
      </c>
      <c r="G147" t="inlineStr">
        <is>
          <t>1</t>
        </is>
      </c>
      <c r="H147" t="inlineStr">
        <is>
          <t>No</t>
        </is>
      </c>
      <c r="I147" t="inlineStr">
        <is>
          <t>No</t>
        </is>
      </c>
      <c r="J147" t="inlineStr">
        <is>
          <t>0</t>
        </is>
      </c>
      <c r="K147" t="inlineStr">
        <is>
          <t>O'Keeffe, Georgia, 1887-1986.</t>
        </is>
      </c>
      <c r="L147" t="inlineStr">
        <is>
          <t>New York, NY : George Braziller in association with Kemper Museum of Contemporary Art and Design of Kansas City Art Institute, c1995.</t>
        </is>
      </c>
      <c r="M147" t="inlineStr">
        <is>
          <t>1995</t>
        </is>
      </c>
      <c r="O147" t="inlineStr">
        <is>
          <t>eng</t>
        </is>
      </c>
      <c r="P147" t="inlineStr">
        <is>
          <t>nyu</t>
        </is>
      </c>
      <c r="R147" t="inlineStr">
        <is>
          <t xml:space="preserve">ND </t>
        </is>
      </c>
      <c r="S147" t="n">
        <v>3</v>
      </c>
      <c r="T147" t="n">
        <v>3</v>
      </c>
      <c r="U147" t="inlineStr">
        <is>
          <t>1998-03-01</t>
        </is>
      </c>
      <c r="V147" t="inlineStr">
        <is>
          <t>1998-03-01</t>
        </is>
      </c>
      <c r="W147" t="inlineStr">
        <is>
          <t>1996-07-01</t>
        </is>
      </c>
      <c r="X147" t="inlineStr">
        <is>
          <t>1996-07-01</t>
        </is>
      </c>
      <c r="Y147" t="n">
        <v>590</v>
      </c>
      <c r="Z147" t="n">
        <v>532</v>
      </c>
      <c r="AA147" t="n">
        <v>534</v>
      </c>
      <c r="AB147" t="n">
        <v>8</v>
      </c>
      <c r="AC147" t="n">
        <v>8</v>
      </c>
      <c r="AD147" t="n">
        <v>10</v>
      </c>
      <c r="AE147" t="n">
        <v>10</v>
      </c>
      <c r="AF147" t="n">
        <v>4</v>
      </c>
      <c r="AG147" t="n">
        <v>4</v>
      </c>
      <c r="AH147" t="n">
        <v>3</v>
      </c>
      <c r="AI147" t="n">
        <v>3</v>
      </c>
      <c r="AJ147" t="n">
        <v>4</v>
      </c>
      <c r="AK147" t="n">
        <v>4</v>
      </c>
      <c r="AL147" t="n">
        <v>3</v>
      </c>
      <c r="AM147" t="n">
        <v>3</v>
      </c>
      <c r="AN147" t="n">
        <v>0</v>
      </c>
      <c r="AO147" t="n">
        <v>0</v>
      </c>
      <c r="AP147" t="inlineStr">
        <is>
          <t>No</t>
        </is>
      </c>
      <c r="AQ147" t="inlineStr">
        <is>
          <t>Yes</t>
        </is>
      </c>
      <c r="AR147">
        <f>HYPERLINK("http://catalog.hathitrust.org/Record/002989488","HathiTrust Record")</f>
        <v/>
      </c>
      <c r="AS147">
        <f>HYPERLINK("https://creighton-primo.hosted.exlibrisgroup.com/primo-explore/search?tab=default_tab&amp;search_scope=EVERYTHING&amp;vid=01CRU&amp;lang=en_US&amp;offset=0&amp;query=any,contains,991002487399702656","Catalog Record")</f>
        <v/>
      </c>
      <c r="AT147">
        <f>HYPERLINK("http://www.worldcat.org/oclc/32370227","WorldCat Record")</f>
        <v/>
      </c>
      <c r="AU147" t="inlineStr">
        <is>
          <t>9430255196:eng</t>
        </is>
      </c>
      <c r="AV147" t="inlineStr">
        <is>
          <t>32370227</t>
        </is>
      </c>
      <c r="AW147" t="inlineStr">
        <is>
          <t>991002487399702656</t>
        </is>
      </c>
      <c r="AX147" t="inlineStr">
        <is>
          <t>991002487399702656</t>
        </is>
      </c>
      <c r="AY147" t="inlineStr">
        <is>
          <t>2255587730002656</t>
        </is>
      </c>
      <c r="AZ147" t="inlineStr">
        <is>
          <t>BOOK</t>
        </is>
      </c>
      <c r="BB147" t="inlineStr">
        <is>
          <t>9780807613757</t>
        </is>
      </c>
      <c r="BC147" t="inlineStr">
        <is>
          <t>32285002205515</t>
        </is>
      </c>
      <c r="BD147" t="inlineStr">
        <is>
          <t>893433943</t>
        </is>
      </c>
    </row>
    <row r="148">
      <c r="A148" t="inlineStr">
        <is>
          <t>No</t>
        </is>
      </c>
      <c r="B148" t="inlineStr">
        <is>
          <t>ND1839.S33 A4 2001</t>
        </is>
      </c>
      <c r="C148" t="inlineStr">
        <is>
          <t>0                      ND 1839000S  33                 A  4           2001</t>
        </is>
      </c>
      <c r="D148" t="inlineStr">
        <is>
          <t>Alice Schille / William H. Gerdts.</t>
        </is>
      </c>
      <c r="F148" t="inlineStr">
        <is>
          <t>No</t>
        </is>
      </c>
      <c r="G148" t="inlineStr">
        <is>
          <t>1</t>
        </is>
      </c>
      <c r="H148" t="inlineStr">
        <is>
          <t>No</t>
        </is>
      </c>
      <c r="I148" t="inlineStr">
        <is>
          <t>No</t>
        </is>
      </c>
      <c r="J148" t="inlineStr">
        <is>
          <t>0</t>
        </is>
      </c>
      <c r="K148" t="inlineStr">
        <is>
          <t>Gerdts, William H.</t>
        </is>
      </c>
      <c r="L148" t="inlineStr">
        <is>
          <t>New York : Hudson Hills Press ; Lanham, MD : Distributed to the trade by National Book Network, c2001.</t>
        </is>
      </c>
      <c r="M148" t="inlineStr">
        <is>
          <t>2001</t>
        </is>
      </c>
      <c r="N148" t="inlineStr">
        <is>
          <t>1st ed.</t>
        </is>
      </c>
      <c r="O148" t="inlineStr">
        <is>
          <t>eng</t>
        </is>
      </c>
      <c r="P148" t="inlineStr">
        <is>
          <t>nyu</t>
        </is>
      </c>
      <c r="R148" t="inlineStr">
        <is>
          <t xml:space="preserve">ND </t>
        </is>
      </c>
      <c r="S148" t="n">
        <v>1</v>
      </c>
      <c r="T148" t="n">
        <v>1</v>
      </c>
      <c r="U148" t="inlineStr">
        <is>
          <t>2002-05-06</t>
        </is>
      </c>
      <c r="V148" t="inlineStr">
        <is>
          <t>2002-05-06</t>
        </is>
      </c>
      <c r="W148" t="inlineStr">
        <is>
          <t>2002-04-24</t>
        </is>
      </c>
      <c r="X148" t="inlineStr">
        <is>
          <t>2002-04-24</t>
        </is>
      </c>
      <c r="Y148" t="n">
        <v>592</v>
      </c>
      <c r="Z148" t="n">
        <v>561</v>
      </c>
      <c r="AA148" t="n">
        <v>563</v>
      </c>
      <c r="AB148" t="n">
        <v>3</v>
      </c>
      <c r="AC148" t="n">
        <v>3</v>
      </c>
      <c r="AD148" t="n">
        <v>15</v>
      </c>
      <c r="AE148" t="n">
        <v>15</v>
      </c>
      <c r="AF148" t="n">
        <v>6</v>
      </c>
      <c r="AG148" t="n">
        <v>6</v>
      </c>
      <c r="AH148" t="n">
        <v>3</v>
      </c>
      <c r="AI148" t="n">
        <v>3</v>
      </c>
      <c r="AJ148" t="n">
        <v>7</v>
      </c>
      <c r="AK148" t="n">
        <v>7</v>
      </c>
      <c r="AL148" t="n">
        <v>2</v>
      </c>
      <c r="AM148" t="n">
        <v>2</v>
      </c>
      <c r="AN148" t="n">
        <v>0</v>
      </c>
      <c r="AO148" t="n">
        <v>0</v>
      </c>
      <c r="AP148" t="inlineStr">
        <is>
          <t>No</t>
        </is>
      </c>
      <c r="AQ148" t="inlineStr">
        <is>
          <t>Yes</t>
        </is>
      </c>
      <c r="AR148">
        <f>HYPERLINK("http://catalog.hathitrust.org/Record/004199634","HathiTrust Record")</f>
        <v/>
      </c>
      <c r="AS148">
        <f>HYPERLINK("https://creighton-primo.hosted.exlibrisgroup.com/primo-explore/search?tab=default_tab&amp;search_scope=EVERYTHING&amp;vid=01CRU&amp;lang=en_US&amp;offset=0&amp;query=any,contains,991003782089702656","Catalog Record")</f>
        <v/>
      </c>
      <c r="AT148">
        <f>HYPERLINK("http://www.worldcat.org/oclc/45446382","WorldCat Record")</f>
        <v/>
      </c>
      <c r="AU148" t="inlineStr">
        <is>
          <t>34881112:eng</t>
        </is>
      </c>
      <c r="AV148" t="inlineStr">
        <is>
          <t>45446382</t>
        </is>
      </c>
      <c r="AW148" t="inlineStr">
        <is>
          <t>991003782089702656</t>
        </is>
      </c>
      <c r="AX148" t="inlineStr">
        <is>
          <t>991003782089702656</t>
        </is>
      </c>
      <c r="AY148" t="inlineStr">
        <is>
          <t>2262294910002656</t>
        </is>
      </c>
      <c r="AZ148" t="inlineStr">
        <is>
          <t>BOOK</t>
        </is>
      </c>
      <c r="BB148" t="inlineStr">
        <is>
          <t>9781555951818</t>
        </is>
      </c>
      <c r="BC148" t="inlineStr">
        <is>
          <t>32285004483052</t>
        </is>
      </c>
      <c r="BD148" t="inlineStr">
        <is>
          <t>893422966</t>
        </is>
      </c>
    </row>
    <row r="149">
      <c r="A149" t="inlineStr">
        <is>
          <t>No</t>
        </is>
      </c>
      <c r="B149" t="inlineStr">
        <is>
          <t>ND1839.W9 A64 1982</t>
        </is>
      </c>
      <c r="C149" t="inlineStr">
        <is>
          <t>0                      ND 1839000W  9                  A  64          1982</t>
        </is>
      </c>
      <c r="D149" t="inlineStr">
        <is>
          <t>Christina's world : paintings and pre-studies of Andrew Wyeth / with text by Betsy James Wyeth.</t>
        </is>
      </c>
      <c r="F149" t="inlineStr">
        <is>
          <t>No</t>
        </is>
      </c>
      <c r="G149" t="inlineStr">
        <is>
          <t>1</t>
        </is>
      </c>
      <c r="H149" t="inlineStr">
        <is>
          <t>No</t>
        </is>
      </c>
      <c r="I149" t="inlineStr">
        <is>
          <t>No</t>
        </is>
      </c>
      <c r="J149" t="inlineStr">
        <is>
          <t>0</t>
        </is>
      </c>
      <c r="K149" t="inlineStr">
        <is>
          <t>Wyeth, Andrew, 1917-2009.</t>
        </is>
      </c>
      <c r="L149" t="inlineStr">
        <is>
          <t>Boston, Mass. : Houghton Mifflin, 1982.</t>
        </is>
      </c>
      <c r="M149" t="inlineStr">
        <is>
          <t>1982</t>
        </is>
      </c>
      <c r="O149" t="inlineStr">
        <is>
          <t>eng</t>
        </is>
      </c>
      <c r="P149" t="inlineStr">
        <is>
          <t>mau</t>
        </is>
      </c>
      <c r="R149" t="inlineStr">
        <is>
          <t xml:space="preserve">ND </t>
        </is>
      </c>
      <c r="S149" t="n">
        <v>3</v>
      </c>
      <c r="T149" t="n">
        <v>3</v>
      </c>
      <c r="U149" t="inlineStr">
        <is>
          <t>2007-11-14</t>
        </is>
      </c>
      <c r="V149" t="inlineStr">
        <is>
          <t>2007-11-14</t>
        </is>
      </c>
      <c r="W149" t="inlineStr">
        <is>
          <t>1993-05-28</t>
        </is>
      </c>
      <c r="X149" t="inlineStr">
        <is>
          <t>1993-05-28</t>
        </is>
      </c>
      <c r="Y149" t="n">
        <v>723</v>
      </c>
      <c r="Z149" t="n">
        <v>660</v>
      </c>
      <c r="AA149" t="n">
        <v>669</v>
      </c>
      <c r="AB149" t="n">
        <v>5</v>
      </c>
      <c r="AC149" t="n">
        <v>5</v>
      </c>
      <c r="AD149" t="n">
        <v>12</v>
      </c>
      <c r="AE149" t="n">
        <v>12</v>
      </c>
      <c r="AF149" t="n">
        <v>4</v>
      </c>
      <c r="AG149" t="n">
        <v>4</v>
      </c>
      <c r="AH149" t="n">
        <v>1</v>
      </c>
      <c r="AI149" t="n">
        <v>1</v>
      </c>
      <c r="AJ149" t="n">
        <v>5</v>
      </c>
      <c r="AK149" t="n">
        <v>5</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HYPERLINK("https://creighton-primo.hosted.exlibrisgroup.com/primo-explore/search?tab=default_tab&amp;search_scope=EVERYTHING&amp;vid=01CRU&amp;lang=en_US&amp;offset=0&amp;query=any,contains,991005211869702656","Catalog Record")</f>
        <v/>
      </c>
      <c r="AT149">
        <f>HYPERLINK("http://www.worldcat.org/oclc/8169895","WorldCat Record")</f>
        <v/>
      </c>
      <c r="AU149" t="inlineStr">
        <is>
          <t>141268813:eng</t>
        </is>
      </c>
      <c r="AV149" t="inlineStr">
        <is>
          <t>8169895</t>
        </is>
      </c>
      <c r="AW149" t="inlineStr">
        <is>
          <t>991005211869702656</t>
        </is>
      </c>
      <c r="AX149" t="inlineStr">
        <is>
          <t>991005211869702656</t>
        </is>
      </c>
      <c r="AY149" t="inlineStr">
        <is>
          <t>2269767310002656</t>
        </is>
      </c>
      <c r="AZ149" t="inlineStr">
        <is>
          <t>BOOK</t>
        </is>
      </c>
      <c r="BB149" t="inlineStr">
        <is>
          <t>9780395322215</t>
        </is>
      </c>
      <c r="BC149" t="inlineStr">
        <is>
          <t>32285001694008</t>
        </is>
      </c>
      <c r="BD149" t="inlineStr">
        <is>
          <t>893242383</t>
        </is>
      </c>
    </row>
    <row r="150">
      <c r="A150" t="inlineStr">
        <is>
          <t>No</t>
        </is>
      </c>
      <c r="B150" t="inlineStr">
        <is>
          <t>ND192.I4 D86 1976</t>
        </is>
      </c>
      <c r="C150" t="inlineStr">
        <is>
          <t>0                      ND 0192000I  4                  D  86          1976</t>
        </is>
      </c>
      <c r="D150" t="inlineStr">
        <is>
          <t>Painting methods of the Impressionists / by Bernard Dunstan.</t>
        </is>
      </c>
      <c r="F150" t="inlineStr">
        <is>
          <t>No</t>
        </is>
      </c>
      <c r="G150" t="inlineStr">
        <is>
          <t>1</t>
        </is>
      </c>
      <c r="H150" t="inlineStr">
        <is>
          <t>No</t>
        </is>
      </c>
      <c r="I150" t="inlineStr">
        <is>
          <t>No</t>
        </is>
      </c>
      <c r="J150" t="inlineStr">
        <is>
          <t>0</t>
        </is>
      </c>
      <c r="K150" t="inlineStr">
        <is>
          <t>Dunstan, Bernard, 1920-</t>
        </is>
      </c>
      <c r="L150" t="inlineStr">
        <is>
          <t>New York : Watson-Guptill Publications, c1976.</t>
        </is>
      </c>
      <c r="M150" t="inlineStr">
        <is>
          <t>1976</t>
        </is>
      </c>
      <c r="O150" t="inlineStr">
        <is>
          <t>eng</t>
        </is>
      </c>
      <c r="P150" t="inlineStr">
        <is>
          <t>nyu</t>
        </is>
      </c>
      <c r="R150" t="inlineStr">
        <is>
          <t xml:space="preserve">ND </t>
        </is>
      </c>
      <c r="S150" t="n">
        <v>2</v>
      </c>
      <c r="T150" t="n">
        <v>2</v>
      </c>
      <c r="U150" t="inlineStr">
        <is>
          <t>1998-10-15</t>
        </is>
      </c>
      <c r="V150" t="inlineStr">
        <is>
          <t>1998-10-15</t>
        </is>
      </c>
      <c r="W150" t="inlineStr">
        <is>
          <t>1997-07-21</t>
        </is>
      </c>
      <c r="X150" t="inlineStr">
        <is>
          <t>1997-07-21</t>
        </is>
      </c>
      <c r="Y150" t="n">
        <v>819</v>
      </c>
      <c r="Z150" t="n">
        <v>698</v>
      </c>
      <c r="AA150" t="n">
        <v>1205</v>
      </c>
      <c r="AB150" t="n">
        <v>7</v>
      </c>
      <c r="AC150" t="n">
        <v>11</v>
      </c>
      <c r="AD150" t="n">
        <v>20</v>
      </c>
      <c r="AE150" t="n">
        <v>29</v>
      </c>
      <c r="AF150" t="n">
        <v>5</v>
      </c>
      <c r="AG150" t="n">
        <v>10</v>
      </c>
      <c r="AH150" t="n">
        <v>3</v>
      </c>
      <c r="AI150" t="n">
        <v>5</v>
      </c>
      <c r="AJ150" t="n">
        <v>11</v>
      </c>
      <c r="AK150" t="n">
        <v>15</v>
      </c>
      <c r="AL150" t="n">
        <v>4</v>
      </c>
      <c r="AM150" t="n">
        <v>6</v>
      </c>
      <c r="AN150" t="n">
        <v>0</v>
      </c>
      <c r="AO150" t="n">
        <v>0</v>
      </c>
      <c r="AP150" t="inlineStr">
        <is>
          <t>No</t>
        </is>
      </c>
      <c r="AQ150" t="inlineStr">
        <is>
          <t>Yes</t>
        </is>
      </c>
      <c r="AR150">
        <f>HYPERLINK("http://catalog.hathitrust.org/Record/000727217","HathiTrust Record")</f>
        <v/>
      </c>
      <c r="AS150">
        <f>HYPERLINK("https://creighton-primo.hosted.exlibrisgroup.com/primo-explore/search?tab=default_tab&amp;search_scope=EVERYTHING&amp;vid=01CRU&amp;lang=en_US&amp;offset=0&amp;query=any,contains,991004092809702656","Catalog Record")</f>
        <v/>
      </c>
      <c r="AT150">
        <f>HYPERLINK("http://www.worldcat.org/oclc/2346905","WorldCat Record")</f>
        <v/>
      </c>
      <c r="AU150" t="inlineStr">
        <is>
          <t>5029486:eng</t>
        </is>
      </c>
      <c r="AV150" t="inlineStr">
        <is>
          <t>2346905</t>
        </is>
      </c>
      <c r="AW150" t="inlineStr">
        <is>
          <t>991004092809702656</t>
        </is>
      </c>
      <c r="AX150" t="inlineStr">
        <is>
          <t>991004092809702656</t>
        </is>
      </c>
      <c r="AY150" t="inlineStr">
        <is>
          <t>2260681360002656</t>
        </is>
      </c>
      <c r="AZ150" t="inlineStr">
        <is>
          <t>BOOK</t>
        </is>
      </c>
      <c r="BB150" t="inlineStr">
        <is>
          <t>9780823037100</t>
        </is>
      </c>
      <c r="BC150" t="inlineStr">
        <is>
          <t>32285002966108</t>
        </is>
      </c>
      <c r="BD150" t="inlineStr">
        <is>
          <t>893343452</t>
        </is>
      </c>
    </row>
    <row r="151">
      <c r="A151" t="inlineStr">
        <is>
          <t>No</t>
        </is>
      </c>
      <c r="B151" t="inlineStr">
        <is>
          <t>ND192.I4 G38</t>
        </is>
      </c>
      <c r="C151" t="inlineStr">
        <is>
          <t>0                      ND 0192000I  4                  G  38</t>
        </is>
      </c>
      <c r="D151" t="inlineStr">
        <is>
          <t>Impressionism: a visual history.</t>
        </is>
      </c>
      <c r="F151" t="inlineStr">
        <is>
          <t>No</t>
        </is>
      </c>
      <c r="G151" t="inlineStr">
        <is>
          <t>1</t>
        </is>
      </c>
      <c r="H151" t="inlineStr">
        <is>
          <t>No</t>
        </is>
      </c>
      <c r="I151" t="inlineStr">
        <is>
          <t>No</t>
        </is>
      </c>
      <c r="J151" t="inlineStr">
        <is>
          <t>0</t>
        </is>
      </c>
      <c r="K151" t="inlineStr">
        <is>
          <t>Gaunt, William, 1900-1980.</t>
        </is>
      </c>
      <c r="L151" t="inlineStr">
        <is>
          <t>New York, Praeger [1970]</t>
        </is>
      </c>
      <c r="M151" t="inlineStr">
        <is>
          <t>1970</t>
        </is>
      </c>
      <c r="O151" t="inlineStr">
        <is>
          <t>eng</t>
        </is>
      </c>
      <c r="P151" t="inlineStr">
        <is>
          <t>nyu</t>
        </is>
      </c>
      <c r="R151" t="inlineStr">
        <is>
          <t xml:space="preserve">ND </t>
        </is>
      </c>
      <c r="S151" t="n">
        <v>6</v>
      </c>
      <c r="T151" t="n">
        <v>6</v>
      </c>
      <c r="U151" t="inlineStr">
        <is>
          <t>2007-10-04</t>
        </is>
      </c>
      <c r="V151" t="inlineStr">
        <is>
          <t>2007-10-04</t>
        </is>
      </c>
      <c r="W151" t="inlineStr">
        <is>
          <t>1997-07-21</t>
        </is>
      </c>
      <c r="X151" t="inlineStr">
        <is>
          <t>1997-07-21</t>
        </is>
      </c>
      <c r="Y151" t="n">
        <v>480</v>
      </c>
      <c r="Z151" t="n">
        <v>460</v>
      </c>
      <c r="AA151" t="n">
        <v>466</v>
      </c>
      <c r="AB151" t="n">
        <v>4</v>
      </c>
      <c r="AC151" t="n">
        <v>4</v>
      </c>
      <c r="AD151" t="n">
        <v>15</v>
      </c>
      <c r="AE151" t="n">
        <v>15</v>
      </c>
      <c r="AF151" t="n">
        <v>4</v>
      </c>
      <c r="AG151" t="n">
        <v>4</v>
      </c>
      <c r="AH151" t="n">
        <v>2</v>
      </c>
      <c r="AI151" t="n">
        <v>2</v>
      </c>
      <c r="AJ151" t="n">
        <v>9</v>
      </c>
      <c r="AK151" t="n">
        <v>9</v>
      </c>
      <c r="AL151" t="n">
        <v>3</v>
      </c>
      <c r="AM151" t="n">
        <v>3</v>
      </c>
      <c r="AN151" t="n">
        <v>0</v>
      </c>
      <c r="AO151" t="n">
        <v>0</v>
      </c>
      <c r="AP151" t="inlineStr">
        <is>
          <t>No</t>
        </is>
      </c>
      <c r="AQ151" t="inlineStr">
        <is>
          <t>Yes</t>
        </is>
      </c>
      <c r="AR151">
        <f>HYPERLINK("http://catalog.hathitrust.org/Record/000368411","HathiTrust Record")</f>
        <v/>
      </c>
      <c r="AS151">
        <f>HYPERLINK("https://creighton-primo.hosted.exlibrisgroup.com/primo-explore/search?tab=default_tab&amp;search_scope=EVERYTHING&amp;vid=01CRU&amp;lang=en_US&amp;offset=0&amp;query=any,contains,991000591699702656","Catalog Record")</f>
        <v/>
      </c>
      <c r="AT151">
        <f>HYPERLINK("http://www.worldcat.org/oclc/96819","WorldCat Record")</f>
        <v/>
      </c>
      <c r="AU151" t="inlineStr">
        <is>
          <t>3761563418:eng</t>
        </is>
      </c>
      <c r="AV151" t="inlineStr">
        <is>
          <t>96819</t>
        </is>
      </c>
      <c r="AW151" t="inlineStr">
        <is>
          <t>991000591699702656</t>
        </is>
      </c>
      <c r="AX151" t="inlineStr">
        <is>
          <t>991000591699702656</t>
        </is>
      </c>
      <c r="AY151" t="inlineStr">
        <is>
          <t>2271052460002656</t>
        </is>
      </c>
      <c r="AZ151" t="inlineStr">
        <is>
          <t>BOOK</t>
        </is>
      </c>
      <c r="BC151" t="inlineStr">
        <is>
          <t>32285002966116</t>
        </is>
      </c>
      <c r="BD151" t="inlineStr">
        <is>
          <t>893871804</t>
        </is>
      </c>
    </row>
    <row r="152">
      <c r="A152" t="inlineStr">
        <is>
          <t>No</t>
        </is>
      </c>
      <c r="B152" t="inlineStr">
        <is>
          <t>ND192.I4 I5</t>
        </is>
      </c>
      <c r="C152" t="inlineStr">
        <is>
          <t>0                      ND 0192000I  4                  I  5</t>
        </is>
      </c>
      <c r="D152" t="inlineStr">
        <is>
          <t>The Impressionists and their world / with an introd. by Basil Taylor.</t>
        </is>
      </c>
      <c r="F152" t="inlineStr">
        <is>
          <t>No</t>
        </is>
      </c>
      <c r="G152" t="inlineStr">
        <is>
          <t>1</t>
        </is>
      </c>
      <c r="H152" t="inlineStr">
        <is>
          <t>No</t>
        </is>
      </c>
      <c r="I152" t="inlineStr">
        <is>
          <t>No</t>
        </is>
      </c>
      <c r="J152" t="inlineStr">
        <is>
          <t>0</t>
        </is>
      </c>
      <c r="L152" t="inlineStr">
        <is>
          <t>New York : Pitman Publishing Company, [1957?]</t>
        </is>
      </c>
      <c r="M152" t="inlineStr">
        <is>
          <t>1957</t>
        </is>
      </c>
      <c r="N152" t="inlineStr">
        <is>
          <t>Rev. ed.</t>
        </is>
      </c>
      <c r="O152" t="inlineStr">
        <is>
          <t>eng</t>
        </is>
      </c>
      <c r="P152" t="inlineStr">
        <is>
          <t>nyu</t>
        </is>
      </c>
      <c r="R152" t="inlineStr">
        <is>
          <t xml:space="preserve">ND </t>
        </is>
      </c>
      <c r="S152" t="n">
        <v>3</v>
      </c>
      <c r="T152" t="n">
        <v>3</v>
      </c>
      <c r="U152" t="inlineStr">
        <is>
          <t>2010-03-16</t>
        </is>
      </c>
      <c r="V152" t="inlineStr">
        <is>
          <t>2010-03-16</t>
        </is>
      </c>
      <c r="W152" t="inlineStr">
        <is>
          <t>1997-07-21</t>
        </is>
      </c>
      <c r="X152" t="inlineStr">
        <is>
          <t>1997-07-21</t>
        </is>
      </c>
      <c r="Y152" t="n">
        <v>67</v>
      </c>
      <c r="Z152" t="n">
        <v>67</v>
      </c>
      <c r="AA152" t="n">
        <v>267</v>
      </c>
      <c r="AB152" t="n">
        <v>1</v>
      </c>
      <c r="AC152" t="n">
        <v>3</v>
      </c>
      <c r="AD152" t="n">
        <v>4</v>
      </c>
      <c r="AE152" t="n">
        <v>10</v>
      </c>
      <c r="AF152" t="n">
        <v>3</v>
      </c>
      <c r="AG152" t="n">
        <v>5</v>
      </c>
      <c r="AH152" t="n">
        <v>1</v>
      </c>
      <c r="AI152" t="n">
        <v>2</v>
      </c>
      <c r="AJ152" t="n">
        <v>2</v>
      </c>
      <c r="AK152" t="n">
        <v>4</v>
      </c>
      <c r="AL152" t="n">
        <v>0</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HYPERLINK("https://creighton-primo.hosted.exlibrisgroup.com/primo-explore/search?tab=default_tab&amp;search_scope=EVERYTHING&amp;vid=01CRU&amp;lang=en_US&amp;offset=0&amp;query=any,contains,991004311279702656","Catalog Record")</f>
        <v/>
      </c>
      <c r="AT152">
        <f>HYPERLINK("http://www.worldcat.org/oclc/2995064","WorldCat Record")</f>
        <v/>
      </c>
      <c r="AU152" t="inlineStr">
        <is>
          <t>47343541:eng</t>
        </is>
      </c>
      <c r="AV152" t="inlineStr">
        <is>
          <t>2995064</t>
        </is>
      </c>
      <c r="AW152" t="inlineStr">
        <is>
          <t>991004311279702656</t>
        </is>
      </c>
      <c r="AX152" t="inlineStr">
        <is>
          <t>991004311279702656</t>
        </is>
      </c>
      <c r="AY152" t="inlineStr">
        <is>
          <t>2261406520002656</t>
        </is>
      </c>
      <c r="AZ152" t="inlineStr">
        <is>
          <t>BOOK</t>
        </is>
      </c>
      <c r="BC152" t="inlineStr">
        <is>
          <t>32285002966124</t>
        </is>
      </c>
      <c r="BD152" t="inlineStr">
        <is>
          <t>893423647</t>
        </is>
      </c>
    </row>
    <row r="153">
      <c r="A153" t="inlineStr">
        <is>
          <t>No</t>
        </is>
      </c>
      <c r="B153" t="inlineStr">
        <is>
          <t>ND192.P6 T48 1983</t>
        </is>
      </c>
      <c r="C153" t="inlineStr">
        <is>
          <t>0                      ND 0192000P  6                  T  48          1983</t>
        </is>
      </c>
      <c r="D153" t="inlineStr">
        <is>
          <t>The post-impressionists / Belinda Thomson.</t>
        </is>
      </c>
      <c r="F153" t="inlineStr">
        <is>
          <t>No</t>
        </is>
      </c>
      <c r="G153" t="inlineStr">
        <is>
          <t>1</t>
        </is>
      </c>
      <c r="H153" t="inlineStr">
        <is>
          <t>No</t>
        </is>
      </c>
      <c r="I153" t="inlineStr">
        <is>
          <t>No</t>
        </is>
      </c>
      <c r="J153" t="inlineStr">
        <is>
          <t>0</t>
        </is>
      </c>
      <c r="K153" t="inlineStr">
        <is>
          <t>Thomson, Belinda.</t>
        </is>
      </c>
      <c r="L153" t="inlineStr">
        <is>
          <t>Secaucaus, N.J. : Chartwell Books, c1983.</t>
        </is>
      </c>
      <c r="M153" t="inlineStr">
        <is>
          <t>1983</t>
        </is>
      </c>
      <c r="O153" t="inlineStr">
        <is>
          <t>eng</t>
        </is>
      </c>
      <c r="P153" t="inlineStr">
        <is>
          <t>nju</t>
        </is>
      </c>
      <c r="R153" t="inlineStr">
        <is>
          <t xml:space="preserve">ND </t>
        </is>
      </c>
      <c r="S153" t="n">
        <v>2</v>
      </c>
      <c r="T153" t="n">
        <v>2</v>
      </c>
      <c r="U153" t="inlineStr">
        <is>
          <t>2004-02-03</t>
        </is>
      </c>
      <c r="V153" t="inlineStr">
        <is>
          <t>2004-02-03</t>
        </is>
      </c>
      <c r="W153" t="inlineStr">
        <is>
          <t>2004-02-03</t>
        </is>
      </c>
      <c r="X153" t="inlineStr">
        <is>
          <t>2004-02-03</t>
        </is>
      </c>
      <c r="Y153" t="n">
        <v>218</v>
      </c>
      <c r="Z153" t="n">
        <v>197</v>
      </c>
      <c r="AA153" t="n">
        <v>759</v>
      </c>
      <c r="AB153" t="n">
        <v>3</v>
      </c>
      <c r="AC153" t="n">
        <v>9</v>
      </c>
      <c r="AD153" t="n">
        <v>3</v>
      </c>
      <c r="AE153" t="n">
        <v>25</v>
      </c>
      <c r="AF153" t="n">
        <v>1</v>
      </c>
      <c r="AG153" t="n">
        <v>8</v>
      </c>
      <c r="AH153" t="n">
        <v>0</v>
      </c>
      <c r="AI153" t="n">
        <v>3</v>
      </c>
      <c r="AJ153" t="n">
        <v>0</v>
      </c>
      <c r="AK153" t="n">
        <v>11</v>
      </c>
      <c r="AL153" t="n">
        <v>2</v>
      </c>
      <c r="AM153" t="n">
        <v>7</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HYPERLINK("https://creighton-primo.hosted.exlibrisgroup.com/primo-explore/search?tab=default_tab&amp;search_scope=EVERYTHING&amp;vid=01CRU&amp;lang=en_US&amp;offset=0&amp;query=any,contains,991004220479702656","Catalog Record")</f>
        <v/>
      </c>
      <c r="AT153">
        <f>HYPERLINK("http://www.worldcat.org/oclc/10335287","WorldCat Record")</f>
        <v/>
      </c>
      <c r="AU153" t="inlineStr">
        <is>
          <t>3881217312:eng</t>
        </is>
      </c>
      <c r="AV153" t="inlineStr">
        <is>
          <t>10335287</t>
        </is>
      </c>
      <c r="AW153" t="inlineStr">
        <is>
          <t>991004220479702656</t>
        </is>
      </c>
      <c r="AX153" t="inlineStr">
        <is>
          <t>991004220479702656</t>
        </is>
      </c>
      <c r="AY153" t="inlineStr">
        <is>
          <t>2261548890002656</t>
        </is>
      </c>
      <c r="AZ153" t="inlineStr">
        <is>
          <t>BOOK</t>
        </is>
      </c>
      <c r="BB153" t="inlineStr">
        <is>
          <t>9780890096208</t>
        </is>
      </c>
      <c r="BC153" t="inlineStr">
        <is>
          <t>32285004637087</t>
        </is>
      </c>
      <c r="BD153" t="inlineStr">
        <is>
          <t>893263155</t>
        </is>
      </c>
    </row>
    <row r="154">
      <c r="A154" t="inlineStr">
        <is>
          <t>No</t>
        </is>
      </c>
      <c r="B154" t="inlineStr">
        <is>
          <t>ND1942.B55 D86</t>
        </is>
      </c>
      <c r="C154" t="inlineStr">
        <is>
          <t>0                      ND 1942000B  55                 D  86</t>
        </is>
      </c>
      <c r="D154" t="inlineStr">
        <is>
          <t>William Blake's illustrations to the poetry of Milton / Pamela Dunbar.</t>
        </is>
      </c>
      <c r="F154" t="inlineStr">
        <is>
          <t>No</t>
        </is>
      </c>
      <c r="G154" t="inlineStr">
        <is>
          <t>1</t>
        </is>
      </c>
      <c r="H154" t="inlineStr">
        <is>
          <t>No</t>
        </is>
      </c>
      <c r="I154" t="inlineStr">
        <is>
          <t>No</t>
        </is>
      </c>
      <c r="J154" t="inlineStr">
        <is>
          <t>0</t>
        </is>
      </c>
      <c r="K154" t="inlineStr">
        <is>
          <t>Dunbar, Pamela.</t>
        </is>
      </c>
      <c r="L154" t="inlineStr">
        <is>
          <t>Oxford [Eng.] : Clarendon Press ; New York : Oxford University Press, 1980.</t>
        </is>
      </c>
      <c r="M154" t="inlineStr">
        <is>
          <t>1980</t>
        </is>
      </c>
      <c r="O154" t="inlineStr">
        <is>
          <t>eng</t>
        </is>
      </c>
      <c r="P154" t="inlineStr">
        <is>
          <t>enk</t>
        </is>
      </c>
      <c r="R154" t="inlineStr">
        <is>
          <t xml:space="preserve">ND </t>
        </is>
      </c>
      <c r="S154" t="n">
        <v>3</v>
      </c>
      <c r="T154" t="n">
        <v>3</v>
      </c>
      <c r="U154" t="inlineStr">
        <is>
          <t>2008-12-12</t>
        </is>
      </c>
      <c r="V154" t="inlineStr">
        <is>
          <t>2008-12-12</t>
        </is>
      </c>
      <c r="W154" t="inlineStr">
        <is>
          <t>1993-05-28</t>
        </is>
      </c>
      <c r="X154" t="inlineStr">
        <is>
          <t>1993-05-28</t>
        </is>
      </c>
      <c r="Y154" t="n">
        <v>616</v>
      </c>
      <c r="Z154" t="n">
        <v>492</v>
      </c>
      <c r="AA154" t="n">
        <v>498</v>
      </c>
      <c r="AB154" t="n">
        <v>4</v>
      </c>
      <c r="AC154" t="n">
        <v>4</v>
      </c>
      <c r="AD154" t="n">
        <v>26</v>
      </c>
      <c r="AE154" t="n">
        <v>26</v>
      </c>
      <c r="AF154" t="n">
        <v>9</v>
      </c>
      <c r="AG154" t="n">
        <v>9</v>
      </c>
      <c r="AH154" t="n">
        <v>7</v>
      </c>
      <c r="AI154" t="n">
        <v>7</v>
      </c>
      <c r="AJ154" t="n">
        <v>15</v>
      </c>
      <c r="AK154" t="n">
        <v>15</v>
      </c>
      <c r="AL154" t="n">
        <v>3</v>
      </c>
      <c r="AM154" t="n">
        <v>3</v>
      </c>
      <c r="AN154" t="n">
        <v>0</v>
      </c>
      <c r="AO154" t="n">
        <v>0</v>
      </c>
      <c r="AP154" t="inlineStr">
        <is>
          <t>No</t>
        </is>
      </c>
      <c r="AQ154" t="inlineStr">
        <is>
          <t>Yes</t>
        </is>
      </c>
      <c r="AR154">
        <f>HYPERLINK("http://catalog.hathitrust.org/Record/000732283","HathiTrust Record")</f>
        <v/>
      </c>
      <c r="AS154">
        <f>HYPERLINK("https://creighton-primo.hosted.exlibrisgroup.com/primo-explore/search?tab=default_tab&amp;search_scope=EVERYTHING&amp;vid=01CRU&amp;lang=en_US&amp;offset=0&amp;query=any,contains,991004885899702656","Catalog Record")</f>
        <v/>
      </c>
      <c r="AT154">
        <f>HYPERLINK("http://www.worldcat.org/oclc/5831900","WorldCat Record")</f>
        <v/>
      </c>
      <c r="AU154" t="inlineStr">
        <is>
          <t>415903:eng</t>
        </is>
      </c>
      <c r="AV154" t="inlineStr">
        <is>
          <t>5831900</t>
        </is>
      </c>
      <c r="AW154" t="inlineStr">
        <is>
          <t>991004885899702656</t>
        </is>
      </c>
      <c r="AX154" t="inlineStr">
        <is>
          <t>991004885899702656</t>
        </is>
      </c>
      <c r="AY154" t="inlineStr">
        <is>
          <t>2256093600002656</t>
        </is>
      </c>
      <c r="AZ154" t="inlineStr">
        <is>
          <t>BOOK</t>
        </is>
      </c>
      <c r="BB154" t="inlineStr">
        <is>
          <t>9780198173458</t>
        </is>
      </c>
      <c r="BC154" t="inlineStr">
        <is>
          <t>32285001694016</t>
        </is>
      </c>
      <c r="BD154" t="inlineStr">
        <is>
          <t>893606564</t>
        </is>
      </c>
    </row>
    <row r="155">
      <c r="A155" t="inlineStr">
        <is>
          <t>No</t>
        </is>
      </c>
      <c r="B155" t="inlineStr">
        <is>
          <t>ND1942.T8 A4 1990</t>
        </is>
      </c>
      <c r="C155" t="inlineStr">
        <is>
          <t>0                      ND 1942000T  8                  A  4           1990</t>
        </is>
      </c>
      <c r="D155" t="inlineStr">
        <is>
          <t>The third decade : Turner watercolours 1810-1820 / Diane Perkins.</t>
        </is>
      </c>
      <c r="F155" t="inlineStr">
        <is>
          <t>No</t>
        </is>
      </c>
      <c r="G155" t="inlineStr">
        <is>
          <t>1</t>
        </is>
      </c>
      <c r="H155" t="inlineStr">
        <is>
          <t>No</t>
        </is>
      </c>
      <c r="I155" t="inlineStr">
        <is>
          <t>No</t>
        </is>
      </c>
      <c r="J155" t="inlineStr">
        <is>
          <t>0</t>
        </is>
      </c>
      <c r="K155" t="inlineStr">
        <is>
          <t>Perkins, Diane.</t>
        </is>
      </c>
      <c r="L155" t="inlineStr">
        <is>
          <t>London : Tate Gallery Publications, 1990, c1989.</t>
        </is>
      </c>
      <c r="M155" t="inlineStr">
        <is>
          <t>1990</t>
        </is>
      </c>
      <c r="O155" t="inlineStr">
        <is>
          <t>eng</t>
        </is>
      </c>
      <c r="P155" t="inlineStr">
        <is>
          <t>enk</t>
        </is>
      </c>
      <c r="R155" t="inlineStr">
        <is>
          <t xml:space="preserve">ND </t>
        </is>
      </c>
      <c r="S155" t="n">
        <v>8</v>
      </c>
      <c r="T155" t="n">
        <v>8</v>
      </c>
      <c r="U155" t="inlineStr">
        <is>
          <t>1997-07-09</t>
        </is>
      </c>
      <c r="V155" t="inlineStr">
        <is>
          <t>1997-07-09</t>
        </is>
      </c>
      <c r="W155" t="inlineStr">
        <is>
          <t>1991-06-06</t>
        </is>
      </c>
      <c r="X155" t="inlineStr">
        <is>
          <t>1991-06-06</t>
        </is>
      </c>
      <c r="Y155" t="n">
        <v>215</v>
      </c>
      <c r="Z155" t="n">
        <v>149</v>
      </c>
      <c r="AA155" t="n">
        <v>151</v>
      </c>
      <c r="AB155" t="n">
        <v>3</v>
      </c>
      <c r="AC155" t="n">
        <v>3</v>
      </c>
      <c r="AD155" t="n">
        <v>7</v>
      </c>
      <c r="AE155" t="n">
        <v>7</v>
      </c>
      <c r="AF155" t="n">
        <v>0</v>
      </c>
      <c r="AG155" t="n">
        <v>0</v>
      </c>
      <c r="AH155" t="n">
        <v>2</v>
      </c>
      <c r="AI155" t="n">
        <v>2</v>
      </c>
      <c r="AJ155" t="n">
        <v>5</v>
      </c>
      <c r="AK155" t="n">
        <v>5</v>
      </c>
      <c r="AL155" t="n">
        <v>1</v>
      </c>
      <c r="AM155" t="n">
        <v>1</v>
      </c>
      <c r="AN155" t="n">
        <v>0</v>
      </c>
      <c r="AO155" t="n">
        <v>0</v>
      </c>
      <c r="AP155" t="inlineStr">
        <is>
          <t>No</t>
        </is>
      </c>
      <c r="AQ155" t="inlineStr">
        <is>
          <t>Yes</t>
        </is>
      </c>
      <c r="AR155">
        <f>HYPERLINK("http://catalog.hathitrust.org/Record/002448132","HathiTrust Record")</f>
        <v/>
      </c>
      <c r="AS155">
        <f>HYPERLINK("https://creighton-primo.hosted.exlibrisgroup.com/primo-explore/search?tab=default_tab&amp;search_scope=EVERYTHING&amp;vid=01CRU&amp;lang=en_US&amp;offset=0&amp;query=any,contains,991001748139702656","Catalog Record")</f>
        <v/>
      </c>
      <c r="AT155">
        <f>HYPERLINK("http://www.worldcat.org/oclc/59903882","WorldCat Record")</f>
        <v/>
      </c>
      <c r="AU155" t="inlineStr">
        <is>
          <t>197717693:eng</t>
        </is>
      </c>
      <c r="AV155" t="inlineStr">
        <is>
          <t>59903882</t>
        </is>
      </c>
      <c r="AW155" t="inlineStr">
        <is>
          <t>991001748139702656</t>
        </is>
      </c>
      <c r="AX155" t="inlineStr">
        <is>
          <t>991001748139702656</t>
        </is>
      </c>
      <c r="AY155" t="inlineStr">
        <is>
          <t>2270926620002656</t>
        </is>
      </c>
      <c r="AZ155" t="inlineStr">
        <is>
          <t>BOOK</t>
        </is>
      </c>
      <c r="BB155" t="inlineStr">
        <is>
          <t>9781854370327</t>
        </is>
      </c>
      <c r="BC155" t="inlineStr">
        <is>
          <t>32285000593706</t>
        </is>
      </c>
      <c r="BD155" t="inlineStr">
        <is>
          <t>893426817</t>
        </is>
      </c>
    </row>
    <row r="156">
      <c r="A156" t="inlineStr">
        <is>
          <t>No</t>
        </is>
      </c>
      <c r="B156" t="inlineStr">
        <is>
          <t>ND1942.T8 A4 1992</t>
        </is>
      </c>
      <c r="C156" t="inlineStr">
        <is>
          <t>0                      ND 1942000T  8                  A  4           1992</t>
        </is>
      </c>
      <c r="D156" t="inlineStr">
        <is>
          <t>Turner: the fifth decade : watercolours 1830-1840 / Anne Lyles.</t>
        </is>
      </c>
      <c r="F156" t="inlineStr">
        <is>
          <t>No</t>
        </is>
      </c>
      <c r="G156" t="inlineStr">
        <is>
          <t>1</t>
        </is>
      </c>
      <c r="H156" t="inlineStr">
        <is>
          <t>No</t>
        </is>
      </c>
      <c r="I156" t="inlineStr">
        <is>
          <t>No</t>
        </is>
      </c>
      <c r="J156" t="inlineStr">
        <is>
          <t>0</t>
        </is>
      </c>
      <c r="K156" t="inlineStr">
        <is>
          <t>Lyles, Anne.</t>
        </is>
      </c>
      <c r="L156" t="inlineStr">
        <is>
          <t>London : Tate Gallery, 1992.</t>
        </is>
      </c>
      <c r="M156" t="inlineStr">
        <is>
          <t>1992</t>
        </is>
      </c>
      <c r="O156" t="inlineStr">
        <is>
          <t>eng</t>
        </is>
      </c>
      <c r="P156" t="inlineStr">
        <is>
          <t>enk</t>
        </is>
      </c>
      <c r="R156" t="inlineStr">
        <is>
          <t xml:space="preserve">ND </t>
        </is>
      </c>
      <c r="S156" t="n">
        <v>8</v>
      </c>
      <c r="T156" t="n">
        <v>8</v>
      </c>
      <c r="U156" t="inlineStr">
        <is>
          <t>1997-07-09</t>
        </is>
      </c>
      <c r="V156" t="inlineStr">
        <is>
          <t>1997-07-09</t>
        </is>
      </c>
      <c r="W156" t="inlineStr">
        <is>
          <t>1993-05-24</t>
        </is>
      </c>
      <c r="X156" t="inlineStr">
        <is>
          <t>1993-05-24</t>
        </is>
      </c>
      <c r="Y156" t="n">
        <v>255</v>
      </c>
      <c r="Z156" t="n">
        <v>183</v>
      </c>
      <c r="AA156" t="n">
        <v>185</v>
      </c>
      <c r="AB156" t="n">
        <v>3</v>
      </c>
      <c r="AC156" t="n">
        <v>3</v>
      </c>
      <c r="AD156" t="n">
        <v>8</v>
      </c>
      <c r="AE156" t="n">
        <v>8</v>
      </c>
      <c r="AF156" t="n">
        <v>2</v>
      </c>
      <c r="AG156" t="n">
        <v>2</v>
      </c>
      <c r="AH156" t="n">
        <v>2</v>
      </c>
      <c r="AI156" t="n">
        <v>2</v>
      </c>
      <c r="AJ156" t="n">
        <v>5</v>
      </c>
      <c r="AK156" t="n">
        <v>5</v>
      </c>
      <c r="AL156" t="n">
        <v>1</v>
      </c>
      <c r="AM156" t="n">
        <v>1</v>
      </c>
      <c r="AN156" t="n">
        <v>0</v>
      </c>
      <c r="AO156" t="n">
        <v>0</v>
      </c>
      <c r="AP156" t="inlineStr">
        <is>
          <t>No</t>
        </is>
      </c>
      <c r="AQ156" t="inlineStr">
        <is>
          <t>Yes</t>
        </is>
      </c>
      <c r="AR156">
        <f>HYPERLINK("http://catalog.hathitrust.org/Record/002606217","HathiTrust Record")</f>
        <v/>
      </c>
      <c r="AS156">
        <f>HYPERLINK("https://creighton-primo.hosted.exlibrisgroup.com/primo-explore/search?tab=default_tab&amp;search_scope=EVERYTHING&amp;vid=01CRU&amp;lang=en_US&amp;offset=0&amp;query=any,contains,991002060179702656","Catalog Record")</f>
        <v/>
      </c>
      <c r="AT156">
        <f>HYPERLINK("http://www.worldcat.org/oclc/29032756","WorldCat Record")</f>
        <v/>
      </c>
      <c r="AU156" t="inlineStr">
        <is>
          <t>3857393546:eng</t>
        </is>
      </c>
      <c r="AV156" t="inlineStr">
        <is>
          <t>29032756</t>
        </is>
      </c>
      <c r="AW156" t="inlineStr">
        <is>
          <t>991002060179702656</t>
        </is>
      </c>
      <c r="AX156" t="inlineStr">
        <is>
          <t>991002060179702656</t>
        </is>
      </c>
      <c r="AY156" t="inlineStr">
        <is>
          <t>2260762380002656</t>
        </is>
      </c>
      <c r="AZ156" t="inlineStr">
        <is>
          <t>BOOK</t>
        </is>
      </c>
      <c r="BB156" t="inlineStr">
        <is>
          <t>9781854370891</t>
        </is>
      </c>
      <c r="BC156" t="inlineStr">
        <is>
          <t>32285001582732</t>
        </is>
      </c>
      <c r="BD156" t="inlineStr">
        <is>
          <t>893684908</t>
        </is>
      </c>
    </row>
    <row r="157">
      <c r="A157" t="inlineStr">
        <is>
          <t>No</t>
        </is>
      </c>
      <c r="B157" t="inlineStr">
        <is>
          <t>ND1942.T8 A4 1993</t>
        </is>
      </c>
      <c r="C157" t="inlineStr">
        <is>
          <t>0                      ND 1942000T  8                  A  4           1993</t>
        </is>
      </c>
      <c r="D157" t="inlineStr">
        <is>
          <t>Turner, the final years : watercolours 1840-1851 / Robert Upstone.</t>
        </is>
      </c>
      <c r="F157" t="inlineStr">
        <is>
          <t>No</t>
        </is>
      </c>
      <c r="G157" t="inlineStr">
        <is>
          <t>1</t>
        </is>
      </c>
      <c r="H157" t="inlineStr">
        <is>
          <t>No</t>
        </is>
      </c>
      <c r="I157" t="inlineStr">
        <is>
          <t>No</t>
        </is>
      </c>
      <c r="J157" t="inlineStr">
        <is>
          <t>0</t>
        </is>
      </c>
      <c r="K157" t="inlineStr">
        <is>
          <t>Upstone, Robert.</t>
        </is>
      </c>
      <c r="L157" t="inlineStr">
        <is>
          <t>London : Tate Gallery, 1993.</t>
        </is>
      </c>
      <c r="M157" t="inlineStr">
        <is>
          <t>1993</t>
        </is>
      </c>
      <c r="O157" t="inlineStr">
        <is>
          <t>eng</t>
        </is>
      </c>
      <c r="P157" t="inlineStr">
        <is>
          <t>enk</t>
        </is>
      </c>
      <c r="R157" t="inlineStr">
        <is>
          <t xml:space="preserve">ND </t>
        </is>
      </c>
      <c r="S157" t="n">
        <v>8</v>
      </c>
      <c r="T157" t="n">
        <v>8</v>
      </c>
      <c r="U157" t="inlineStr">
        <is>
          <t>1997-07-09</t>
        </is>
      </c>
      <c r="V157" t="inlineStr">
        <is>
          <t>1997-07-09</t>
        </is>
      </c>
      <c r="W157" t="inlineStr">
        <is>
          <t>1994-06-20</t>
        </is>
      </c>
      <c r="X157" t="inlineStr">
        <is>
          <t>1994-06-20</t>
        </is>
      </c>
      <c r="Y157" t="n">
        <v>249</v>
      </c>
      <c r="Z157" t="n">
        <v>168</v>
      </c>
      <c r="AA157" t="n">
        <v>168</v>
      </c>
      <c r="AB157" t="n">
        <v>4</v>
      </c>
      <c r="AC157" t="n">
        <v>4</v>
      </c>
      <c r="AD157" t="n">
        <v>7</v>
      </c>
      <c r="AE157" t="n">
        <v>7</v>
      </c>
      <c r="AF157" t="n">
        <v>2</v>
      </c>
      <c r="AG157" t="n">
        <v>2</v>
      </c>
      <c r="AH157" t="n">
        <v>1</v>
      </c>
      <c r="AI157" t="n">
        <v>1</v>
      </c>
      <c r="AJ157" t="n">
        <v>4</v>
      </c>
      <c r="AK157" t="n">
        <v>4</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HYPERLINK("https://creighton-primo.hosted.exlibrisgroup.com/primo-explore/search?tab=default_tab&amp;search_scope=EVERYTHING&amp;vid=01CRU&amp;lang=en_US&amp;offset=0&amp;query=any,contains,991002202099702656","Catalog Record")</f>
        <v/>
      </c>
      <c r="AT157">
        <f>HYPERLINK("http://www.worldcat.org/oclc/28332851","WorldCat Record")</f>
        <v/>
      </c>
      <c r="AU157" t="inlineStr">
        <is>
          <t>3857413370:eng</t>
        </is>
      </c>
      <c r="AV157" t="inlineStr">
        <is>
          <t>28332851</t>
        </is>
      </c>
      <c r="AW157" t="inlineStr">
        <is>
          <t>991002202099702656</t>
        </is>
      </c>
      <c r="AX157" t="inlineStr">
        <is>
          <t>991002202099702656</t>
        </is>
      </c>
      <c r="AY157" t="inlineStr">
        <is>
          <t>2263087320002656</t>
        </is>
      </c>
      <c r="AZ157" t="inlineStr">
        <is>
          <t>BOOK</t>
        </is>
      </c>
      <c r="BB157" t="inlineStr">
        <is>
          <t>9781854371102</t>
        </is>
      </c>
      <c r="BC157" t="inlineStr">
        <is>
          <t>32285001923399</t>
        </is>
      </c>
      <c r="BD157" t="inlineStr">
        <is>
          <t>893421044</t>
        </is>
      </c>
    </row>
    <row r="158">
      <c r="A158" t="inlineStr">
        <is>
          <t>No</t>
        </is>
      </c>
      <c r="B158" t="inlineStr">
        <is>
          <t>ND195 .P63 1960</t>
        </is>
      </c>
      <c r="C158" t="inlineStr">
        <is>
          <t>0                      ND 0195000P  63          1960</t>
        </is>
      </c>
      <c r="D158" t="inlineStr">
        <is>
          <t>Modern painting, contemporary trends / [translated from the Italian by James Emmons.</t>
        </is>
      </c>
      <c r="F158" t="inlineStr">
        <is>
          <t>No</t>
        </is>
      </c>
      <c r="G158" t="inlineStr">
        <is>
          <t>1</t>
        </is>
      </c>
      <c r="H158" t="inlineStr">
        <is>
          <t>No</t>
        </is>
      </c>
      <c r="I158" t="inlineStr">
        <is>
          <t>No</t>
        </is>
      </c>
      <c r="J158" t="inlineStr">
        <is>
          <t>0</t>
        </is>
      </c>
      <c r="K158" t="inlineStr">
        <is>
          <t>Ponente, Nello.</t>
        </is>
      </c>
      <c r="L158" t="inlineStr">
        <is>
          <t>New York] : Skira ; [distributed by World Pub. Co., Cleveland, 1960]</t>
        </is>
      </c>
      <c r="M158" t="inlineStr">
        <is>
          <t>1960</t>
        </is>
      </c>
      <c r="O158" t="inlineStr">
        <is>
          <t>eng</t>
        </is>
      </c>
      <c r="P158" t="inlineStr">
        <is>
          <t>nyu</t>
        </is>
      </c>
      <c r="Q158" t="inlineStr">
        <is>
          <t>Painting, color, history</t>
        </is>
      </c>
      <c r="R158" t="inlineStr">
        <is>
          <t xml:space="preserve">ND </t>
        </is>
      </c>
      <c r="S158" t="n">
        <v>4</v>
      </c>
      <c r="T158" t="n">
        <v>4</v>
      </c>
      <c r="U158" t="inlineStr">
        <is>
          <t>1997-03-17</t>
        </is>
      </c>
      <c r="V158" t="inlineStr">
        <is>
          <t>1997-03-17</t>
        </is>
      </c>
      <c r="W158" t="inlineStr">
        <is>
          <t>1993-11-11</t>
        </is>
      </c>
      <c r="X158" t="inlineStr">
        <is>
          <t>1993-11-11</t>
        </is>
      </c>
      <c r="Y158" t="n">
        <v>883</v>
      </c>
      <c r="Z158" t="n">
        <v>805</v>
      </c>
      <c r="AA158" t="n">
        <v>812</v>
      </c>
      <c r="AB158" t="n">
        <v>6</v>
      </c>
      <c r="AC158" t="n">
        <v>6</v>
      </c>
      <c r="AD158" t="n">
        <v>24</v>
      </c>
      <c r="AE158" t="n">
        <v>24</v>
      </c>
      <c r="AF158" t="n">
        <v>10</v>
      </c>
      <c r="AG158" t="n">
        <v>10</v>
      </c>
      <c r="AH158" t="n">
        <v>6</v>
      </c>
      <c r="AI158" t="n">
        <v>6</v>
      </c>
      <c r="AJ158" t="n">
        <v>11</v>
      </c>
      <c r="AK158" t="n">
        <v>11</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HYPERLINK("https://creighton-primo.hosted.exlibrisgroup.com/primo-explore/search?tab=default_tab&amp;search_scope=EVERYTHING&amp;vid=01CRU&amp;lang=en_US&amp;offset=0&amp;query=any,contains,991003002259702656","Catalog Record")</f>
        <v/>
      </c>
      <c r="AT158">
        <f>HYPERLINK("http://www.worldcat.org/oclc/569708","WorldCat Record")</f>
        <v/>
      </c>
      <c r="AU158" t="inlineStr">
        <is>
          <t>1666772:eng</t>
        </is>
      </c>
      <c r="AV158" t="inlineStr">
        <is>
          <t>569708</t>
        </is>
      </c>
      <c r="AW158" t="inlineStr">
        <is>
          <t>991003002259702656</t>
        </is>
      </c>
      <c r="AX158" t="inlineStr">
        <is>
          <t>991003002259702656</t>
        </is>
      </c>
      <c r="AY158" t="inlineStr">
        <is>
          <t>2261358330002656</t>
        </is>
      </c>
      <c r="AZ158" t="inlineStr">
        <is>
          <t>BOOK</t>
        </is>
      </c>
      <c r="BC158" t="inlineStr">
        <is>
          <t>32285005242994</t>
        </is>
      </c>
      <c r="BD158" t="inlineStr">
        <is>
          <t>893867976</t>
        </is>
      </c>
    </row>
    <row r="159">
      <c r="A159" t="inlineStr">
        <is>
          <t>No</t>
        </is>
      </c>
      <c r="B159" t="inlineStr">
        <is>
          <t>ND195 .R313</t>
        </is>
      </c>
      <c r="C159" t="inlineStr">
        <is>
          <t>0                      ND 0195000R  313</t>
        </is>
      </c>
      <c r="D159" t="inlineStr">
        <is>
          <t>Modern painting / [translated by Stuart Gilbert.</t>
        </is>
      </c>
      <c r="F159" t="inlineStr">
        <is>
          <t>No</t>
        </is>
      </c>
      <c r="G159" t="inlineStr">
        <is>
          <t>1</t>
        </is>
      </c>
      <c r="H159" t="inlineStr">
        <is>
          <t>No</t>
        </is>
      </c>
      <c r="I159" t="inlineStr">
        <is>
          <t>No</t>
        </is>
      </c>
      <c r="J159" t="inlineStr">
        <is>
          <t>0</t>
        </is>
      </c>
      <c r="K159" t="inlineStr">
        <is>
          <t>Raynal, Maurice.</t>
        </is>
      </c>
      <c r="L159" t="inlineStr">
        <is>
          <t>Geneva] : Skira, [1953]</t>
        </is>
      </c>
      <c r="M159" t="inlineStr">
        <is>
          <t>1953</t>
        </is>
      </c>
      <c r="O159" t="inlineStr">
        <is>
          <t>eng</t>
        </is>
      </c>
      <c r="P159" t="inlineStr">
        <is>
          <t xml:space="preserve">sz </t>
        </is>
      </c>
      <c r="Q159" t="inlineStr">
        <is>
          <t>Painting, color, history</t>
        </is>
      </c>
      <c r="R159" t="inlineStr">
        <is>
          <t xml:space="preserve">ND </t>
        </is>
      </c>
      <c r="S159" t="n">
        <v>4</v>
      </c>
      <c r="T159" t="n">
        <v>4</v>
      </c>
      <c r="U159" t="inlineStr">
        <is>
          <t>2009-06-24</t>
        </is>
      </c>
      <c r="V159" t="inlineStr">
        <is>
          <t>2009-06-24</t>
        </is>
      </c>
      <c r="W159" t="inlineStr">
        <is>
          <t>1995-04-06</t>
        </is>
      </c>
      <c r="X159" t="inlineStr">
        <is>
          <t>1995-04-06</t>
        </is>
      </c>
      <c r="Y159" t="n">
        <v>615</v>
      </c>
      <c r="Z159" t="n">
        <v>531</v>
      </c>
      <c r="AA159" t="n">
        <v>849</v>
      </c>
      <c r="AB159" t="n">
        <v>6</v>
      </c>
      <c r="AC159" t="n">
        <v>8</v>
      </c>
      <c r="AD159" t="n">
        <v>15</v>
      </c>
      <c r="AE159" t="n">
        <v>29</v>
      </c>
      <c r="AF159" t="n">
        <v>6</v>
      </c>
      <c r="AG159" t="n">
        <v>9</v>
      </c>
      <c r="AH159" t="n">
        <v>3</v>
      </c>
      <c r="AI159" t="n">
        <v>5</v>
      </c>
      <c r="AJ159" t="n">
        <v>6</v>
      </c>
      <c r="AK159" t="n">
        <v>14</v>
      </c>
      <c r="AL159" t="n">
        <v>4</v>
      </c>
      <c r="AM159" t="n">
        <v>6</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HYPERLINK("https://creighton-primo.hosted.exlibrisgroup.com/primo-explore/search?tab=default_tab&amp;search_scope=EVERYTHING&amp;vid=01CRU&amp;lang=en_US&amp;offset=0&amp;query=any,contains,991003425059702656","Catalog Record")</f>
        <v/>
      </c>
      <c r="AT159">
        <f>HYPERLINK("http://www.worldcat.org/oclc/964439","WorldCat Record")</f>
        <v/>
      </c>
      <c r="AU159" t="inlineStr">
        <is>
          <t>1917976:eng</t>
        </is>
      </c>
      <c r="AV159" t="inlineStr">
        <is>
          <t>964439</t>
        </is>
      </c>
      <c r="AW159" t="inlineStr">
        <is>
          <t>991003425059702656</t>
        </is>
      </c>
      <c r="AX159" t="inlineStr">
        <is>
          <t>991003425059702656</t>
        </is>
      </c>
      <c r="AY159" t="inlineStr">
        <is>
          <t>2261820870002656</t>
        </is>
      </c>
      <c r="AZ159" t="inlineStr">
        <is>
          <t>BOOK</t>
        </is>
      </c>
      <c r="BC159" t="inlineStr">
        <is>
          <t>32285002025939</t>
        </is>
      </c>
      <c r="BD159" t="inlineStr">
        <is>
          <t>893246333</t>
        </is>
      </c>
    </row>
    <row r="160">
      <c r="A160" t="inlineStr">
        <is>
          <t>No</t>
        </is>
      </c>
      <c r="B160" t="inlineStr">
        <is>
          <t>ND195 .V5713</t>
        </is>
      </c>
      <c r="C160" t="inlineStr">
        <is>
          <t>0                      ND 0195000V  5713</t>
        </is>
      </c>
      <c r="D160" t="inlineStr">
        <is>
          <t>Contemporary painting / by Paul Vogt ; translated from the German by Robert Erich Wolf.</t>
        </is>
      </c>
      <c r="F160" t="inlineStr">
        <is>
          <t>No</t>
        </is>
      </c>
      <c r="G160" t="inlineStr">
        <is>
          <t>1</t>
        </is>
      </c>
      <c r="H160" t="inlineStr">
        <is>
          <t>No</t>
        </is>
      </c>
      <c r="I160" t="inlineStr">
        <is>
          <t>No</t>
        </is>
      </c>
      <c r="J160" t="inlineStr">
        <is>
          <t>0</t>
        </is>
      </c>
      <c r="K160" t="inlineStr">
        <is>
          <t>Vogt, Paul, 1926-2017.</t>
        </is>
      </c>
      <c r="L160" t="inlineStr">
        <is>
          <t>New York : H.N. Abrams, c1981.</t>
        </is>
      </c>
      <c r="M160" t="inlineStr">
        <is>
          <t>1981</t>
        </is>
      </c>
      <c r="O160" t="inlineStr">
        <is>
          <t>eng</t>
        </is>
      </c>
      <c r="P160" t="inlineStr">
        <is>
          <t>nyu</t>
        </is>
      </c>
      <c r="R160" t="inlineStr">
        <is>
          <t xml:space="preserve">ND </t>
        </is>
      </c>
      <c r="S160" t="n">
        <v>8</v>
      </c>
      <c r="T160" t="n">
        <v>8</v>
      </c>
      <c r="U160" t="inlineStr">
        <is>
          <t>2000-10-24</t>
        </is>
      </c>
      <c r="V160" t="inlineStr">
        <is>
          <t>2000-10-24</t>
        </is>
      </c>
      <c r="W160" t="inlineStr">
        <is>
          <t>1992-09-30</t>
        </is>
      </c>
      <c r="X160" t="inlineStr">
        <is>
          <t>1992-09-30</t>
        </is>
      </c>
      <c r="Y160" t="n">
        <v>961</v>
      </c>
      <c r="Z160" t="n">
        <v>858</v>
      </c>
      <c r="AA160" t="n">
        <v>860</v>
      </c>
      <c r="AB160" t="n">
        <v>5</v>
      </c>
      <c r="AC160" t="n">
        <v>5</v>
      </c>
      <c r="AD160" t="n">
        <v>17</v>
      </c>
      <c r="AE160" t="n">
        <v>17</v>
      </c>
      <c r="AF160" t="n">
        <v>10</v>
      </c>
      <c r="AG160" t="n">
        <v>10</v>
      </c>
      <c r="AH160" t="n">
        <v>1</v>
      </c>
      <c r="AI160" t="n">
        <v>1</v>
      </c>
      <c r="AJ160" t="n">
        <v>8</v>
      </c>
      <c r="AK160" t="n">
        <v>8</v>
      </c>
      <c r="AL160" t="n">
        <v>3</v>
      </c>
      <c r="AM160" t="n">
        <v>3</v>
      </c>
      <c r="AN160" t="n">
        <v>0</v>
      </c>
      <c r="AO160" t="n">
        <v>0</v>
      </c>
      <c r="AP160" t="inlineStr">
        <is>
          <t>No</t>
        </is>
      </c>
      <c r="AQ160" t="inlineStr">
        <is>
          <t>Yes</t>
        </is>
      </c>
      <c r="AR160">
        <f>HYPERLINK("http://catalog.hathitrust.org/Record/004503992","HathiTrust Record")</f>
        <v/>
      </c>
      <c r="AS160">
        <f>HYPERLINK("https://creighton-primo.hosted.exlibrisgroup.com/primo-explore/search?tab=default_tab&amp;search_scope=EVERYTHING&amp;vid=01CRU&amp;lang=en_US&amp;offset=0&amp;query=any,contains,991005087619702656","Catalog Record")</f>
        <v/>
      </c>
      <c r="AT160">
        <f>HYPERLINK("http://www.worldcat.org/oclc/7197438","WorldCat Record")</f>
        <v/>
      </c>
      <c r="AU160" t="inlineStr">
        <is>
          <t>26805549:eng</t>
        </is>
      </c>
      <c r="AV160" t="inlineStr">
        <is>
          <t>7197438</t>
        </is>
      </c>
      <c r="AW160" t="inlineStr">
        <is>
          <t>991005087619702656</t>
        </is>
      </c>
      <c r="AX160" t="inlineStr">
        <is>
          <t>991005087619702656</t>
        </is>
      </c>
      <c r="AY160" t="inlineStr">
        <is>
          <t>2256787090002656</t>
        </is>
      </c>
      <c r="AZ160" t="inlineStr">
        <is>
          <t>BOOK</t>
        </is>
      </c>
      <c r="BB160" t="inlineStr">
        <is>
          <t>9780810907805</t>
        </is>
      </c>
      <c r="BC160" t="inlineStr">
        <is>
          <t>32285001337343</t>
        </is>
      </c>
      <c r="BD160" t="inlineStr">
        <is>
          <t>893326135</t>
        </is>
      </c>
    </row>
    <row r="161">
      <c r="A161" t="inlineStr">
        <is>
          <t>No</t>
        </is>
      </c>
      <c r="B161" t="inlineStr">
        <is>
          <t>ND1954.K5 A483 1969</t>
        </is>
      </c>
      <c r="C161" t="inlineStr">
        <is>
          <t>0                      ND 1954000K  5                  A  483         1969</t>
        </is>
      </c>
      <c r="D161" t="inlineStr">
        <is>
          <t>Paul Klee : watercolors, drawings, writings / [translated from German by Norbert Guterman.]</t>
        </is>
      </c>
      <c r="F161" t="inlineStr">
        <is>
          <t>No</t>
        </is>
      </c>
      <c r="G161" t="inlineStr">
        <is>
          <t>1</t>
        </is>
      </c>
      <c r="H161" t="inlineStr">
        <is>
          <t>No</t>
        </is>
      </c>
      <c r="I161" t="inlineStr">
        <is>
          <t>No</t>
        </is>
      </c>
      <c r="J161" t="inlineStr">
        <is>
          <t>0</t>
        </is>
      </c>
      <c r="K161" t="inlineStr">
        <is>
          <t>Klee, Paul, 1879-1940.</t>
        </is>
      </c>
      <c r="L161" t="inlineStr">
        <is>
          <t>New York : H.N. Abrams, 1969.</t>
        </is>
      </c>
      <c r="M161" t="inlineStr">
        <is>
          <t>1969</t>
        </is>
      </c>
      <c r="N161" t="inlineStr">
        <is>
          <t>2nd ed.</t>
        </is>
      </c>
      <c r="O161" t="inlineStr">
        <is>
          <t>eng</t>
        </is>
      </c>
      <c r="P161" t="inlineStr">
        <is>
          <t>nyu</t>
        </is>
      </c>
      <c r="R161" t="inlineStr">
        <is>
          <t xml:space="preserve">ND </t>
        </is>
      </c>
      <c r="S161" t="n">
        <v>1</v>
      </c>
      <c r="T161" t="n">
        <v>1</v>
      </c>
      <c r="U161" t="inlineStr">
        <is>
          <t>2007-02-01</t>
        </is>
      </c>
      <c r="V161" t="inlineStr">
        <is>
          <t>2007-02-01</t>
        </is>
      </c>
      <c r="W161" t="inlineStr">
        <is>
          <t>2007-02-01</t>
        </is>
      </c>
      <c r="X161" t="inlineStr">
        <is>
          <t>2007-02-01</t>
        </is>
      </c>
      <c r="Y161" t="n">
        <v>344</v>
      </c>
      <c r="Z161" t="n">
        <v>314</v>
      </c>
      <c r="AA161" t="n">
        <v>331</v>
      </c>
      <c r="AB161" t="n">
        <v>2</v>
      </c>
      <c r="AC161" t="n">
        <v>2</v>
      </c>
      <c r="AD161" t="n">
        <v>12</v>
      </c>
      <c r="AE161" t="n">
        <v>13</v>
      </c>
      <c r="AF161" t="n">
        <v>6</v>
      </c>
      <c r="AG161" t="n">
        <v>6</v>
      </c>
      <c r="AH161" t="n">
        <v>4</v>
      </c>
      <c r="AI161" t="n">
        <v>5</v>
      </c>
      <c r="AJ161" t="n">
        <v>6</v>
      </c>
      <c r="AK161" t="n">
        <v>6</v>
      </c>
      <c r="AL161" t="n">
        <v>0</v>
      </c>
      <c r="AM161" t="n">
        <v>0</v>
      </c>
      <c r="AN161" t="n">
        <v>0</v>
      </c>
      <c r="AO161" t="n">
        <v>0</v>
      </c>
      <c r="AP161" t="inlineStr">
        <is>
          <t>No</t>
        </is>
      </c>
      <c r="AQ161" t="inlineStr">
        <is>
          <t>Yes</t>
        </is>
      </c>
      <c r="AR161">
        <f>HYPERLINK("http://catalog.hathitrust.org/Record/000455768","HathiTrust Record")</f>
        <v/>
      </c>
      <c r="AS161">
        <f>HYPERLINK("https://creighton-primo.hosted.exlibrisgroup.com/primo-explore/search?tab=default_tab&amp;search_scope=EVERYTHING&amp;vid=01CRU&amp;lang=en_US&amp;offset=0&amp;query=any,contains,991005008619702656","Catalog Record")</f>
        <v/>
      </c>
      <c r="AT161">
        <f>HYPERLINK("http://www.worldcat.org/oclc/12792","WorldCat Record")</f>
        <v/>
      </c>
      <c r="AU161" t="inlineStr">
        <is>
          <t>4924045361:eng</t>
        </is>
      </c>
      <c r="AV161" t="inlineStr">
        <is>
          <t>12792</t>
        </is>
      </c>
      <c r="AW161" t="inlineStr">
        <is>
          <t>991005008619702656</t>
        </is>
      </c>
      <c r="AX161" t="inlineStr">
        <is>
          <t>991005008619702656</t>
        </is>
      </c>
      <c r="AY161" t="inlineStr">
        <is>
          <t>2264924610002656</t>
        </is>
      </c>
      <c r="AZ161" t="inlineStr">
        <is>
          <t>BOOK</t>
        </is>
      </c>
      <c r="BC161" t="inlineStr">
        <is>
          <t>32285005274625</t>
        </is>
      </c>
      <c r="BD161" t="inlineStr">
        <is>
          <t>893688462</t>
        </is>
      </c>
    </row>
    <row r="162">
      <c r="A162" t="inlineStr">
        <is>
          <t>No</t>
        </is>
      </c>
      <c r="B162" t="inlineStr">
        <is>
          <t>ND1954.M65 A4 1995</t>
        </is>
      </c>
      <c r="C162" t="inlineStr">
        <is>
          <t>0                      ND 1954000M  65                 A  4           1995</t>
        </is>
      </c>
      <c r="D162" t="inlineStr">
        <is>
          <t>Wild river, timeless canyons : Balduin Möllhausen's watercolors of the Colorado / Ben W. Huseman.</t>
        </is>
      </c>
      <c r="F162" t="inlineStr">
        <is>
          <t>No</t>
        </is>
      </c>
      <c r="G162" t="inlineStr">
        <is>
          <t>1</t>
        </is>
      </c>
      <c r="H162" t="inlineStr">
        <is>
          <t>No</t>
        </is>
      </c>
      <c r="I162" t="inlineStr">
        <is>
          <t>No</t>
        </is>
      </c>
      <c r="J162" t="inlineStr">
        <is>
          <t>0</t>
        </is>
      </c>
      <c r="K162" t="inlineStr">
        <is>
          <t>Amon Carter Museum of Western Art.</t>
        </is>
      </c>
      <c r="L162" t="inlineStr">
        <is>
          <t>Fort Worth, Tex. : Amon Carter Museum ; Tucson, Ariz. : Distributed by University of Arizona Press, c1995.</t>
        </is>
      </c>
      <c r="M162" t="inlineStr">
        <is>
          <t>1995</t>
        </is>
      </c>
      <c r="O162" t="inlineStr">
        <is>
          <t>eng</t>
        </is>
      </c>
      <c r="P162" t="inlineStr">
        <is>
          <t>txu</t>
        </is>
      </c>
      <c r="R162" t="inlineStr">
        <is>
          <t xml:space="preserve">ND </t>
        </is>
      </c>
      <c r="S162" t="n">
        <v>3</v>
      </c>
      <c r="T162" t="n">
        <v>3</v>
      </c>
      <c r="U162" t="inlineStr">
        <is>
          <t>1997-07-18</t>
        </is>
      </c>
      <c r="V162" t="inlineStr">
        <is>
          <t>1997-07-18</t>
        </is>
      </c>
      <c r="W162" t="inlineStr">
        <is>
          <t>1997-06-16</t>
        </is>
      </c>
      <c r="X162" t="inlineStr">
        <is>
          <t>1997-06-16</t>
        </is>
      </c>
      <c r="Y162" t="n">
        <v>217</v>
      </c>
      <c r="Z162" t="n">
        <v>205</v>
      </c>
      <c r="AA162" t="n">
        <v>207</v>
      </c>
      <c r="AB162" t="n">
        <v>3</v>
      </c>
      <c r="AC162" t="n">
        <v>3</v>
      </c>
      <c r="AD162" t="n">
        <v>8</v>
      </c>
      <c r="AE162" t="n">
        <v>8</v>
      </c>
      <c r="AF162" t="n">
        <v>2</v>
      </c>
      <c r="AG162" t="n">
        <v>2</v>
      </c>
      <c r="AH162" t="n">
        <v>1</v>
      </c>
      <c r="AI162" t="n">
        <v>1</v>
      </c>
      <c r="AJ162" t="n">
        <v>4</v>
      </c>
      <c r="AK162" t="n">
        <v>4</v>
      </c>
      <c r="AL162" t="n">
        <v>2</v>
      </c>
      <c r="AM162" t="n">
        <v>2</v>
      </c>
      <c r="AN162" t="n">
        <v>0</v>
      </c>
      <c r="AO162" t="n">
        <v>0</v>
      </c>
      <c r="AP162" t="inlineStr">
        <is>
          <t>No</t>
        </is>
      </c>
      <c r="AQ162" t="inlineStr">
        <is>
          <t>Yes</t>
        </is>
      </c>
      <c r="AR162">
        <f>HYPERLINK("http://catalog.hathitrust.org/Record/008544417","HathiTrust Record")</f>
        <v/>
      </c>
      <c r="AS162">
        <f>HYPERLINK("https://creighton-primo.hosted.exlibrisgroup.com/primo-explore/search?tab=default_tab&amp;search_scope=EVERYTHING&amp;vid=01CRU&amp;lang=en_US&amp;offset=0&amp;query=any,contains,991002526409702656","Catalog Record")</f>
        <v/>
      </c>
      <c r="AT162">
        <f>HYPERLINK("http://www.worldcat.org/oclc/32853981","WorldCat Record")</f>
        <v/>
      </c>
      <c r="AU162" t="inlineStr">
        <is>
          <t>931885077:eng</t>
        </is>
      </c>
      <c r="AV162" t="inlineStr">
        <is>
          <t>32853981</t>
        </is>
      </c>
      <c r="AW162" t="inlineStr">
        <is>
          <t>991002526409702656</t>
        </is>
      </c>
      <c r="AX162" t="inlineStr">
        <is>
          <t>991002526409702656</t>
        </is>
      </c>
      <c r="AY162" t="inlineStr">
        <is>
          <t>2268817380002656</t>
        </is>
      </c>
      <c r="AZ162" t="inlineStr">
        <is>
          <t>BOOK</t>
        </is>
      </c>
      <c r="BB162" t="inlineStr">
        <is>
          <t>9780883600849</t>
        </is>
      </c>
      <c r="BC162" t="inlineStr">
        <is>
          <t>32285002751559</t>
        </is>
      </c>
      <c r="BD162" t="inlineStr">
        <is>
          <t>893427689</t>
        </is>
      </c>
    </row>
    <row r="163">
      <c r="A163" t="inlineStr">
        <is>
          <t>No</t>
        </is>
      </c>
      <c r="B163" t="inlineStr">
        <is>
          <t>ND196.C8 G6 1968b</t>
        </is>
      </c>
      <c r="C163" t="inlineStr">
        <is>
          <t>0                      ND 0196000C  8                  G  6           1968b</t>
        </is>
      </c>
      <c r="D163" t="inlineStr">
        <is>
          <t>Cubism : a history and an analysis, 1907-1914.</t>
        </is>
      </c>
      <c r="F163" t="inlineStr">
        <is>
          <t>No</t>
        </is>
      </c>
      <c r="G163" t="inlineStr">
        <is>
          <t>1</t>
        </is>
      </c>
      <c r="H163" t="inlineStr">
        <is>
          <t>No</t>
        </is>
      </c>
      <c r="I163" t="inlineStr">
        <is>
          <t>No</t>
        </is>
      </c>
      <c r="J163" t="inlineStr">
        <is>
          <t>0</t>
        </is>
      </c>
      <c r="K163" t="inlineStr">
        <is>
          <t>Golding, John.</t>
        </is>
      </c>
      <c r="L163" t="inlineStr">
        <is>
          <t>Boston : Boston Book &amp; Art Shop, [1968]</t>
        </is>
      </c>
      <c r="M163" t="inlineStr">
        <is>
          <t>1968</t>
        </is>
      </c>
      <c r="N163" t="inlineStr">
        <is>
          <t>[Rev. American ed.]</t>
        </is>
      </c>
      <c r="O163" t="inlineStr">
        <is>
          <t>eng</t>
        </is>
      </c>
      <c r="P163" t="inlineStr">
        <is>
          <t>mau</t>
        </is>
      </c>
      <c r="R163" t="inlineStr">
        <is>
          <t xml:space="preserve">ND </t>
        </is>
      </c>
      <c r="S163" t="n">
        <v>2</v>
      </c>
      <c r="T163" t="n">
        <v>2</v>
      </c>
      <c r="U163" t="inlineStr">
        <is>
          <t>1994-03-25</t>
        </is>
      </c>
      <c r="V163" t="inlineStr">
        <is>
          <t>1994-03-25</t>
        </is>
      </c>
      <c r="W163" t="inlineStr">
        <is>
          <t>1990-05-15</t>
        </is>
      </c>
      <c r="X163" t="inlineStr">
        <is>
          <t>1990-05-15</t>
        </is>
      </c>
      <c r="Y163" t="n">
        <v>412</v>
      </c>
      <c r="Z163" t="n">
        <v>386</v>
      </c>
      <c r="AA163" t="n">
        <v>1158</v>
      </c>
      <c r="AB163" t="n">
        <v>2</v>
      </c>
      <c r="AC163" t="n">
        <v>7</v>
      </c>
      <c r="AD163" t="n">
        <v>12</v>
      </c>
      <c r="AE163" t="n">
        <v>44</v>
      </c>
      <c r="AF163" t="n">
        <v>5</v>
      </c>
      <c r="AG163" t="n">
        <v>21</v>
      </c>
      <c r="AH163" t="n">
        <v>3</v>
      </c>
      <c r="AI163" t="n">
        <v>7</v>
      </c>
      <c r="AJ163" t="n">
        <v>6</v>
      </c>
      <c r="AK163" t="n">
        <v>21</v>
      </c>
      <c r="AL163" t="n">
        <v>0</v>
      </c>
      <c r="AM163" t="n">
        <v>5</v>
      </c>
      <c r="AN163" t="n">
        <v>0</v>
      </c>
      <c r="AO163" t="n">
        <v>0</v>
      </c>
      <c r="AP163" t="inlineStr">
        <is>
          <t>No</t>
        </is>
      </c>
      <c r="AQ163" t="inlineStr">
        <is>
          <t>Yes</t>
        </is>
      </c>
      <c r="AR163">
        <f>HYPERLINK("http://catalog.hathitrust.org/Record/000350001","HathiTrust Record")</f>
        <v/>
      </c>
      <c r="AS163">
        <f>HYPERLINK("https://creighton-primo.hosted.exlibrisgroup.com/primo-explore/search?tab=default_tab&amp;search_scope=EVERYTHING&amp;vid=01CRU&amp;lang=en_US&amp;offset=0&amp;query=any,contains,991000373479702656","Catalog Record")</f>
        <v/>
      </c>
      <c r="AT163">
        <f>HYPERLINK("http://www.worldcat.org/oclc/71593","WorldCat Record")</f>
        <v/>
      </c>
      <c r="AU163" t="inlineStr">
        <is>
          <t>2050122:eng</t>
        </is>
      </c>
      <c r="AV163" t="inlineStr">
        <is>
          <t>71593</t>
        </is>
      </c>
      <c r="AW163" t="inlineStr">
        <is>
          <t>991000373479702656</t>
        </is>
      </c>
      <c r="AX163" t="inlineStr">
        <is>
          <t>991000373479702656</t>
        </is>
      </c>
      <c r="AY163" t="inlineStr">
        <is>
          <t>2270946140002656</t>
        </is>
      </c>
      <c r="AZ163" t="inlineStr">
        <is>
          <t>BOOK</t>
        </is>
      </c>
      <c r="BC163" t="inlineStr">
        <is>
          <t>32285000155258</t>
        </is>
      </c>
      <c r="BD163" t="inlineStr">
        <is>
          <t>893695781</t>
        </is>
      </c>
    </row>
    <row r="164">
      <c r="A164" t="inlineStr">
        <is>
          <t>No</t>
        </is>
      </c>
      <c r="B164" t="inlineStr">
        <is>
          <t>ND196.F5 P38 1990</t>
        </is>
      </c>
      <c r="C164" t="inlineStr">
        <is>
          <t>0                      ND 0196000F  5                  P  38          1990</t>
        </is>
      </c>
      <c r="D164" t="inlineStr">
        <is>
          <t>Figure and abstraction in contemporary painting / Ronald Paulson.</t>
        </is>
      </c>
      <c r="F164" t="inlineStr">
        <is>
          <t>No</t>
        </is>
      </c>
      <c r="G164" t="inlineStr">
        <is>
          <t>1</t>
        </is>
      </c>
      <c r="H164" t="inlineStr">
        <is>
          <t>No</t>
        </is>
      </c>
      <c r="I164" t="inlineStr">
        <is>
          <t>No</t>
        </is>
      </c>
      <c r="J164" t="inlineStr">
        <is>
          <t>0</t>
        </is>
      </c>
      <c r="K164" t="inlineStr">
        <is>
          <t>Paulson, Ronald.</t>
        </is>
      </c>
      <c r="L164" t="inlineStr">
        <is>
          <t>New Brunswick, [N.J.] : Rutgers University Press, c1990.</t>
        </is>
      </c>
      <c r="M164" t="inlineStr">
        <is>
          <t>1990</t>
        </is>
      </c>
      <c r="O164" t="inlineStr">
        <is>
          <t>eng</t>
        </is>
      </c>
      <c r="P164" t="inlineStr">
        <is>
          <t>nju</t>
        </is>
      </c>
      <c r="R164" t="inlineStr">
        <is>
          <t xml:space="preserve">ND </t>
        </is>
      </c>
      <c r="S164" t="n">
        <v>9</v>
      </c>
      <c r="T164" t="n">
        <v>9</v>
      </c>
      <c r="U164" t="inlineStr">
        <is>
          <t>1994-12-04</t>
        </is>
      </c>
      <c r="V164" t="inlineStr">
        <is>
          <t>1994-12-04</t>
        </is>
      </c>
      <c r="W164" t="inlineStr">
        <is>
          <t>1991-06-26</t>
        </is>
      </c>
      <c r="X164" t="inlineStr">
        <is>
          <t>1991-06-26</t>
        </is>
      </c>
      <c r="Y164" t="n">
        <v>524</v>
      </c>
      <c r="Z164" t="n">
        <v>424</v>
      </c>
      <c r="AA164" t="n">
        <v>429</v>
      </c>
      <c r="AB164" t="n">
        <v>6</v>
      </c>
      <c r="AC164" t="n">
        <v>6</v>
      </c>
      <c r="AD164" t="n">
        <v>17</v>
      </c>
      <c r="AE164" t="n">
        <v>17</v>
      </c>
      <c r="AF164" t="n">
        <v>4</v>
      </c>
      <c r="AG164" t="n">
        <v>4</v>
      </c>
      <c r="AH164" t="n">
        <v>4</v>
      </c>
      <c r="AI164" t="n">
        <v>4</v>
      </c>
      <c r="AJ164" t="n">
        <v>9</v>
      </c>
      <c r="AK164" t="n">
        <v>9</v>
      </c>
      <c r="AL164" t="n">
        <v>4</v>
      </c>
      <c r="AM164" t="n">
        <v>4</v>
      </c>
      <c r="AN164" t="n">
        <v>0</v>
      </c>
      <c r="AO164" t="n">
        <v>0</v>
      </c>
      <c r="AP164" t="inlineStr">
        <is>
          <t>No</t>
        </is>
      </c>
      <c r="AQ164" t="inlineStr">
        <is>
          <t>Yes</t>
        </is>
      </c>
      <c r="AR164">
        <f>HYPERLINK("http://catalog.hathitrust.org/Record/002443057","HathiTrust Record")</f>
        <v/>
      </c>
      <c r="AS164">
        <f>HYPERLINK("https://creighton-primo.hosted.exlibrisgroup.com/primo-explore/search?tab=default_tab&amp;search_scope=EVERYTHING&amp;vid=01CRU&amp;lang=en_US&amp;offset=0&amp;query=any,contains,991001646099702656","Catalog Record")</f>
        <v/>
      </c>
      <c r="AT164">
        <f>HYPERLINK("http://www.worldcat.org/oclc/21044282","WorldCat Record")</f>
        <v/>
      </c>
      <c r="AU164" t="inlineStr">
        <is>
          <t>22770512:eng</t>
        </is>
      </c>
      <c r="AV164" t="inlineStr">
        <is>
          <t>21044282</t>
        </is>
      </c>
      <c r="AW164" t="inlineStr">
        <is>
          <t>991001646099702656</t>
        </is>
      </c>
      <c r="AX164" t="inlineStr">
        <is>
          <t>991001646099702656</t>
        </is>
      </c>
      <c r="AY164" t="inlineStr">
        <is>
          <t>2272100830002656</t>
        </is>
      </c>
      <c r="AZ164" t="inlineStr">
        <is>
          <t>BOOK</t>
        </is>
      </c>
      <c r="BB164" t="inlineStr">
        <is>
          <t>9780813516042</t>
        </is>
      </c>
      <c r="BC164" t="inlineStr">
        <is>
          <t>32285000658897</t>
        </is>
      </c>
      <c r="BD164" t="inlineStr">
        <is>
          <t>893626768</t>
        </is>
      </c>
    </row>
    <row r="165">
      <c r="A165" t="inlineStr">
        <is>
          <t>No</t>
        </is>
      </c>
      <c r="B165" t="inlineStr">
        <is>
          <t>ND196.P42 P45 1989</t>
        </is>
      </c>
      <c r="C165" t="inlineStr">
        <is>
          <t>0                      ND 0196000P  42                 P  45          1989</t>
        </is>
      </c>
      <c r="D165" t="inlineStr">
        <is>
          <t>Photo-Realism / by Louis K. Meisel ; foreword by Gregory Battcock ; research and documentation by Helene Zucker Seeman.</t>
        </is>
      </c>
      <c r="F165" t="inlineStr">
        <is>
          <t>No</t>
        </is>
      </c>
      <c r="G165" t="inlineStr">
        <is>
          <t>1</t>
        </is>
      </c>
      <c r="H165" t="inlineStr">
        <is>
          <t>No</t>
        </is>
      </c>
      <c r="I165" t="inlineStr">
        <is>
          <t>No</t>
        </is>
      </c>
      <c r="J165" t="inlineStr">
        <is>
          <t>0</t>
        </is>
      </c>
      <c r="L165" t="inlineStr">
        <is>
          <t>New York : Abradale Press : Abrams, 1989, c1980.</t>
        </is>
      </c>
      <c r="M165" t="inlineStr">
        <is>
          <t>1989</t>
        </is>
      </c>
      <c r="O165" t="inlineStr">
        <is>
          <t>eng</t>
        </is>
      </c>
      <c r="P165" t="inlineStr">
        <is>
          <t>nyu</t>
        </is>
      </c>
      <c r="R165" t="inlineStr">
        <is>
          <t xml:space="preserve">ND </t>
        </is>
      </c>
      <c r="S165" t="n">
        <v>11</v>
      </c>
      <c r="T165" t="n">
        <v>11</v>
      </c>
      <c r="U165" t="inlineStr">
        <is>
          <t>2000-10-24</t>
        </is>
      </c>
      <c r="V165" t="inlineStr">
        <is>
          <t>2000-10-24</t>
        </is>
      </c>
      <c r="W165" t="inlineStr">
        <is>
          <t>1991-05-17</t>
        </is>
      </c>
      <c r="X165" t="inlineStr">
        <is>
          <t>1991-05-17</t>
        </is>
      </c>
      <c r="Y165" t="n">
        <v>452</v>
      </c>
      <c r="Z165" t="n">
        <v>402</v>
      </c>
      <c r="AA165" t="n">
        <v>434</v>
      </c>
      <c r="AB165" t="n">
        <v>5</v>
      </c>
      <c r="AC165" t="n">
        <v>5</v>
      </c>
      <c r="AD165" t="n">
        <v>20</v>
      </c>
      <c r="AE165" t="n">
        <v>20</v>
      </c>
      <c r="AF165" t="n">
        <v>8</v>
      </c>
      <c r="AG165" t="n">
        <v>8</v>
      </c>
      <c r="AH165" t="n">
        <v>1</v>
      </c>
      <c r="AI165" t="n">
        <v>1</v>
      </c>
      <c r="AJ165" t="n">
        <v>8</v>
      </c>
      <c r="AK165" t="n">
        <v>8</v>
      </c>
      <c r="AL165" t="n">
        <v>4</v>
      </c>
      <c r="AM165" t="n">
        <v>4</v>
      </c>
      <c r="AN165" t="n">
        <v>0</v>
      </c>
      <c r="AO165" t="n">
        <v>0</v>
      </c>
      <c r="AP165" t="inlineStr">
        <is>
          <t>No</t>
        </is>
      </c>
      <c r="AQ165" t="inlineStr">
        <is>
          <t>Yes</t>
        </is>
      </c>
      <c r="AR165">
        <f>HYPERLINK("http://catalog.hathitrust.org/Record/004496796","HathiTrust Record")</f>
        <v/>
      </c>
      <c r="AS165">
        <f>HYPERLINK("https://creighton-primo.hosted.exlibrisgroup.com/primo-explore/search?tab=default_tab&amp;search_scope=EVERYTHING&amp;vid=01CRU&amp;lang=en_US&amp;offset=0&amp;query=any,contains,991001433139702656","Catalog Record")</f>
        <v/>
      </c>
      <c r="AT165">
        <f>HYPERLINK("http://www.worldcat.org/oclc/19125159","WorldCat Record")</f>
        <v/>
      </c>
      <c r="AU165" t="inlineStr">
        <is>
          <t>143399142:eng</t>
        </is>
      </c>
      <c r="AV165" t="inlineStr">
        <is>
          <t>19125159</t>
        </is>
      </c>
      <c r="AW165" t="inlineStr">
        <is>
          <t>991001433139702656</t>
        </is>
      </c>
      <c r="AX165" t="inlineStr">
        <is>
          <t>991001433139702656</t>
        </is>
      </c>
      <c r="AY165" t="inlineStr">
        <is>
          <t>2269784260002656</t>
        </is>
      </c>
      <c r="AZ165" t="inlineStr">
        <is>
          <t>BOOK</t>
        </is>
      </c>
      <c r="BB165" t="inlineStr">
        <is>
          <t>9780810980921</t>
        </is>
      </c>
      <c r="BC165" t="inlineStr">
        <is>
          <t>32285000574169</t>
        </is>
      </c>
      <c r="BD165" t="inlineStr">
        <is>
          <t>893432858</t>
        </is>
      </c>
    </row>
    <row r="166">
      <c r="A166" t="inlineStr">
        <is>
          <t>No</t>
        </is>
      </c>
      <c r="B166" t="inlineStr">
        <is>
          <t>ND196.P66 M34 1993</t>
        </is>
      </c>
      <c r="C166" t="inlineStr">
        <is>
          <t>0                      ND 0196000P  66                 M  34          1993</t>
        </is>
      </c>
      <c r="D166" t="inlineStr">
        <is>
          <t>The exile's return : toward a redefinition of painting for the post-modern era / Thomas McEvilley.</t>
        </is>
      </c>
      <c r="F166" t="inlineStr">
        <is>
          <t>No</t>
        </is>
      </c>
      <c r="G166" t="inlineStr">
        <is>
          <t>1</t>
        </is>
      </c>
      <c r="H166" t="inlineStr">
        <is>
          <t>No</t>
        </is>
      </c>
      <c r="I166" t="inlineStr">
        <is>
          <t>No</t>
        </is>
      </c>
      <c r="J166" t="inlineStr">
        <is>
          <t>0</t>
        </is>
      </c>
      <c r="K166" t="inlineStr">
        <is>
          <t>McEvilley, Thomas, 1939-2013.</t>
        </is>
      </c>
      <c r="L166" t="inlineStr">
        <is>
          <t>Cambridge [England] : New York : Cambridge University Press, 1993.</t>
        </is>
      </c>
      <c r="M166" t="inlineStr">
        <is>
          <t>1993</t>
        </is>
      </c>
      <c r="O166" t="inlineStr">
        <is>
          <t>eng</t>
        </is>
      </c>
      <c r="P166" t="inlineStr">
        <is>
          <t>enk</t>
        </is>
      </c>
      <c r="Q166" t="inlineStr">
        <is>
          <t>Contemporary artists and their critics</t>
        </is>
      </c>
      <c r="R166" t="inlineStr">
        <is>
          <t xml:space="preserve">ND </t>
        </is>
      </c>
      <c r="S166" t="n">
        <v>1</v>
      </c>
      <c r="T166" t="n">
        <v>1</v>
      </c>
      <c r="U166" t="inlineStr">
        <is>
          <t>2009-04-23</t>
        </is>
      </c>
      <c r="V166" t="inlineStr">
        <is>
          <t>2009-04-23</t>
        </is>
      </c>
      <c r="W166" t="inlineStr">
        <is>
          <t>1995-03-21</t>
        </is>
      </c>
      <c r="X166" t="inlineStr">
        <is>
          <t>1995-03-21</t>
        </is>
      </c>
      <c r="Y166" t="n">
        <v>403</v>
      </c>
      <c r="Z166" t="n">
        <v>271</v>
      </c>
      <c r="AA166" t="n">
        <v>277</v>
      </c>
      <c r="AB166" t="n">
        <v>2</v>
      </c>
      <c r="AC166" t="n">
        <v>2</v>
      </c>
      <c r="AD166" t="n">
        <v>8</v>
      </c>
      <c r="AE166" t="n">
        <v>8</v>
      </c>
      <c r="AF166" t="n">
        <v>2</v>
      </c>
      <c r="AG166" t="n">
        <v>2</v>
      </c>
      <c r="AH166" t="n">
        <v>3</v>
      </c>
      <c r="AI166" t="n">
        <v>3</v>
      </c>
      <c r="AJ166" t="n">
        <v>5</v>
      </c>
      <c r="AK166" t="n">
        <v>5</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HYPERLINK("https://creighton-primo.hosted.exlibrisgroup.com/primo-explore/search?tab=default_tab&amp;search_scope=EVERYTHING&amp;vid=01CRU&amp;lang=en_US&amp;offset=0&amp;query=any,contains,991002141629702656","Catalog Record")</f>
        <v/>
      </c>
      <c r="AT166">
        <f>HYPERLINK("http://www.worldcat.org/oclc/27432437","WorldCat Record")</f>
        <v/>
      </c>
      <c r="AU166" t="inlineStr">
        <is>
          <t>342856:eng</t>
        </is>
      </c>
      <c r="AV166" t="inlineStr">
        <is>
          <t>27432437</t>
        </is>
      </c>
      <c r="AW166" t="inlineStr">
        <is>
          <t>991002141629702656</t>
        </is>
      </c>
      <c r="AX166" t="inlineStr">
        <is>
          <t>991002141629702656</t>
        </is>
      </c>
      <c r="AY166" t="inlineStr">
        <is>
          <t>2265018800002656</t>
        </is>
      </c>
      <c r="AZ166" t="inlineStr">
        <is>
          <t>BOOK</t>
        </is>
      </c>
      <c r="BB166" t="inlineStr">
        <is>
          <t>9780521416726</t>
        </is>
      </c>
      <c r="BC166" t="inlineStr">
        <is>
          <t>32285002003431</t>
        </is>
      </c>
      <c r="BD166" t="inlineStr">
        <is>
          <t>893903714</t>
        </is>
      </c>
    </row>
    <row r="167">
      <c r="A167" t="inlineStr">
        <is>
          <t>No</t>
        </is>
      </c>
      <c r="B167" t="inlineStr">
        <is>
          <t>ND196.R4 P74 2000</t>
        </is>
      </c>
      <c r="C167" t="inlineStr">
        <is>
          <t>0                      ND 0196000R  4                  P  74          2000</t>
        </is>
      </c>
      <c r="D167" t="inlineStr">
        <is>
          <t>Realism in 20th century painting / Brendan Prendeville.</t>
        </is>
      </c>
      <c r="F167" t="inlineStr">
        <is>
          <t>No</t>
        </is>
      </c>
      <c r="G167" t="inlineStr">
        <is>
          <t>1</t>
        </is>
      </c>
      <c r="H167" t="inlineStr">
        <is>
          <t>No</t>
        </is>
      </c>
      <c r="I167" t="inlineStr">
        <is>
          <t>No</t>
        </is>
      </c>
      <c r="J167" t="inlineStr">
        <is>
          <t>0</t>
        </is>
      </c>
      <c r="K167" t="inlineStr">
        <is>
          <t>Prendeville, Brendan.</t>
        </is>
      </c>
      <c r="L167" t="inlineStr">
        <is>
          <t>New York, N.Y. : Thames &amp; Hudson, c2000.</t>
        </is>
      </c>
      <c r="M167" t="inlineStr">
        <is>
          <t>2000</t>
        </is>
      </c>
      <c r="O167" t="inlineStr">
        <is>
          <t>eng</t>
        </is>
      </c>
      <c r="P167" t="inlineStr">
        <is>
          <t>nyu</t>
        </is>
      </c>
      <c r="R167" t="inlineStr">
        <is>
          <t xml:space="preserve">ND </t>
        </is>
      </c>
      <c r="S167" t="n">
        <v>1</v>
      </c>
      <c r="T167" t="n">
        <v>1</v>
      </c>
      <c r="U167" t="inlineStr">
        <is>
          <t>2002-10-08</t>
        </is>
      </c>
      <c r="V167" t="inlineStr">
        <is>
          <t>2002-10-08</t>
        </is>
      </c>
      <c r="W167" t="inlineStr">
        <is>
          <t>2002-10-08</t>
        </is>
      </c>
      <c r="X167" t="inlineStr">
        <is>
          <t>2002-10-08</t>
        </is>
      </c>
      <c r="Y167" t="n">
        <v>903</v>
      </c>
      <c r="Z167" t="n">
        <v>679</v>
      </c>
      <c r="AA167" t="n">
        <v>686</v>
      </c>
      <c r="AB167" t="n">
        <v>7</v>
      </c>
      <c r="AC167" t="n">
        <v>7</v>
      </c>
      <c r="AD167" t="n">
        <v>24</v>
      </c>
      <c r="AE167" t="n">
        <v>24</v>
      </c>
      <c r="AF167" t="n">
        <v>8</v>
      </c>
      <c r="AG167" t="n">
        <v>8</v>
      </c>
      <c r="AH167" t="n">
        <v>6</v>
      </c>
      <c r="AI167" t="n">
        <v>6</v>
      </c>
      <c r="AJ167" t="n">
        <v>10</v>
      </c>
      <c r="AK167" t="n">
        <v>10</v>
      </c>
      <c r="AL167" t="n">
        <v>5</v>
      </c>
      <c r="AM167" t="n">
        <v>5</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HYPERLINK("https://creighton-primo.hosted.exlibrisgroup.com/primo-explore/search?tab=default_tab&amp;search_scope=EVERYTHING&amp;vid=01CRU&amp;lang=en_US&amp;offset=0&amp;query=any,contains,991003891369702656","Catalog Record")</f>
        <v/>
      </c>
      <c r="AT167">
        <f>HYPERLINK("http://www.worldcat.org/oclc/45279590","WorldCat Record")</f>
        <v/>
      </c>
      <c r="AU167" t="inlineStr">
        <is>
          <t>46787:eng</t>
        </is>
      </c>
      <c r="AV167" t="inlineStr">
        <is>
          <t>45279590</t>
        </is>
      </c>
      <c r="AW167" t="inlineStr">
        <is>
          <t>991003891369702656</t>
        </is>
      </c>
      <c r="AX167" t="inlineStr">
        <is>
          <t>991003891369702656</t>
        </is>
      </c>
      <c r="AY167" t="inlineStr">
        <is>
          <t>2267994610002656</t>
        </is>
      </c>
      <c r="AZ167" t="inlineStr">
        <is>
          <t>BOOK</t>
        </is>
      </c>
      <c r="BB167" t="inlineStr">
        <is>
          <t>9780500203361</t>
        </is>
      </c>
      <c r="BC167" t="inlineStr">
        <is>
          <t>32285004653050</t>
        </is>
      </c>
      <c r="BD167" t="inlineStr">
        <is>
          <t>893888067</t>
        </is>
      </c>
    </row>
    <row r="168">
      <c r="A168" t="inlineStr">
        <is>
          <t>No</t>
        </is>
      </c>
      <c r="B168" t="inlineStr">
        <is>
          <t>ND196.S8 B7313 1972a</t>
        </is>
      </c>
      <c r="C168" t="inlineStr">
        <is>
          <t>0                      ND 0196000S  8                  B  7313        1972a</t>
        </is>
      </c>
      <c r="D168" t="inlineStr">
        <is>
          <t>Surrealism and painting / André Breton ; translated from the French by Simon Watson Taylor.</t>
        </is>
      </c>
      <c r="F168" t="inlineStr">
        <is>
          <t>No</t>
        </is>
      </c>
      <c r="G168" t="inlineStr">
        <is>
          <t>1</t>
        </is>
      </c>
      <c r="H168" t="inlineStr">
        <is>
          <t>No</t>
        </is>
      </c>
      <c r="I168" t="inlineStr">
        <is>
          <t>No</t>
        </is>
      </c>
      <c r="J168" t="inlineStr">
        <is>
          <t>0</t>
        </is>
      </c>
      <c r="K168" t="inlineStr">
        <is>
          <t>Breton, André, 1896-1966.</t>
        </is>
      </c>
      <c r="L168" t="inlineStr">
        <is>
          <t>New York : Harper &amp; Row, 1972.</t>
        </is>
      </c>
      <c r="M168" t="inlineStr">
        <is>
          <t>1972</t>
        </is>
      </c>
      <c r="N168" t="inlineStr">
        <is>
          <t>1st U.S. ed.</t>
        </is>
      </c>
      <c r="O168" t="inlineStr">
        <is>
          <t>eng</t>
        </is>
      </c>
      <c r="P168" t="inlineStr">
        <is>
          <t>nyu</t>
        </is>
      </c>
      <c r="Q168" t="inlineStr">
        <is>
          <t>Icon editions ; IN-24</t>
        </is>
      </c>
      <c r="R168" t="inlineStr">
        <is>
          <t xml:space="preserve">ND </t>
        </is>
      </c>
      <c r="S168" t="n">
        <v>24</v>
      </c>
      <c r="T168" t="n">
        <v>24</v>
      </c>
      <c r="U168" t="inlineStr">
        <is>
          <t>2000-02-24</t>
        </is>
      </c>
      <c r="V168" t="inlineStr">
        <is>
          <t>2000-02-24</t>
        </is>
      </c>
      <c r="W168" t="inlineStr">
        <is>
          <t>1991-12-10</t>
        </is>
      </c>
      <c r="X168" t="inlineStr">
        <is>
          <t>1991-12-10</t>
        </is>
      </c>
      <c r="Y168" t="n">
        <v>565</v>
      </c>
      <c r="Z168" t="n">
        <v>524</v>
      </c>
      <c r="AA168" t="n">
        <v>756</v>
      </c>
      <c r="AB168" t="n">
        <v>4</v>
      </c>
      <c r="AC168" t="n">
        <v>6</v>
      </c>
      <c r="AD168" t="n">
        <v>16</v>
      </c>
      <c r="AE168" t="n">
        <v>24</v>
      </c>
      <c r="AF168" t="n">
        <v>8</v>
      </c>
      <c r="AG168" t="n">
        <v>11</v>
      </c>
      <c r="AH168" t="n">
        <v>3</v>
      </c>
      <c r="AI168" t="n">
        <v>6</v>
      </c>
      <c r="AJ168" t="n">
        <v>6</v>
      </c>
      <c r="AK168" t="n">
        <v>7</v>
      </c>
      <c r="AL168" t="n">
        <v>3</v>
      </c>
      <c r="AM168" t="n">
        <v>5</v>
      </c>
      <c r="AN168" t="n">
        <v>0</v>
      </c>
      <c r="AO168" t="n">
        <v>0</v>
      </c>
      <c r="AP168" t="inlineStr">
        <is>
          <t>No</t>
        </is>
      </c>
      <c r="AQ168" t="inlineStr">
        <is>
          <t>Yes</t>
        </is>
      </c>
      <c r="AR168">
        <f>HYPERLINK("http://catalog.hathitrust.org/Record/000348924","HathiTrust Record")</f>
        <v/>
      </c>
      <c r="AS168">
        <f>HYPERLINK("https://creighton-primo.hosted.exlibrisgroup.com/primo-explore/search?tab=default_tab&amp;search_scope=EVERYTHING&amp;vid=01CRU&amp;lang=en_US&amp;offset=0&amp;query=any,contains,991003233229702656","Catalog Record")</f>
        <v/>
      </c>
      <c r="AT168">
        <f>HYPERLINK("http://www.worldcat.org/oclc/757697","WorldCat Record")</f>
        <v/>
      </c>
      <c r="AU168" t="inlineStr">
        <is>
          <t>9657821491:eng</t>
        </is>
      </c>
      <c r="AV168" t="inlineStr">
        <is>
          <t>757697</t>
        </is>
      </c>
      <c r="AW168" t="inlineStr">
        <is>
          <t>991003233229702656</t>
        </is>
      </c>
      <c r="AX168" t="inlineStr">
        <is>
          <t>991003233229702656</t>
        </is>
      </c>
      <c r="AY168" t="inlineStr">
        <is>
          <t>2272546680002656</t>
        </is>
      </c>
      <c r="AZ168" t="inlineStr">
        <is>
          <t>BOOK</t>
        </is>
      </c>
      <c r="BB168" t="inlineStr">
        <is>
          <t>9780064304078</t>
        </is>
      </c>
      <c r="BC168" t="inlineStr">
        <is>
          <t>32285000849132</t>
        </is>
      </c>
      <c r="BD168" t="inlineStr">
        <is>
          <t>893887266</t>
        </is>
      </c>
    </row>
    <row r="169">
      <c r="A169" t="inlineStr">
        <is>
          <t>No</t>
        </is>
      </c>
      <c r="B169" t="inlineStr">
        <is>
          <t>ND196.S8 G38</t>
        </is>
      </c>
      <c r="C169" t="inlineStr">
        <is>
          <t>0                      ND 0196000S  8                  G  38</t>
        </is>
      </c>
      <c r="D169" t="inlineStr">
        <is>
          <t>The surrealists.</t>
        </is>
      </c>
      <c r="F169" t="inlineStr">
        <is>
          <t>No</t>
        </is>
      </c>
      <c r="G169" t="inlineStr">
        <is>
          <t>1</t>
        </is>
      </c>
      <c r="H169" t="inlineStr">
        <is>
          <t>No</t>
        </is>
      </c>
      <c r="I169" t="inlineStr">
        <is>
          <t>No</t>
        </is>
      </c>
      <c r="J169" t="inlineStr">
        <is>
          <t>0</t>
        </is>
      </c>
      <c r="K169" t="inlineStr">
        <is>
          <t>Gaunt, William, 1900-1980.</t>
        </is>
      </c>
      <c r="L169" t="inlineStr">
        <is>
          <t>New York : Putnam, [1972]</t>
        </is>
      </c>
      <c r="M169" t="inlineStr">
        <is>
          <t>1972</t>
        </is>
      </c>
      <c r="O169" t="inlineStr">
        <is>
          <t>eng</t>
        </is>
      </c>
      <c r="P169" t="inlineStr">
        <is>
          <t>nyu</t>
        </is>
      </c>
      <c r="R169" t="inlineStr">
        <is>
          <t xml:space="preserve">ND </t>
        </is>
      </c>
      <c r="S169" t="n">
        <v>26</v>
      </c>
      <c r="T169" t="n">
        <v>26</v>
      </c>
      <c r="U169" t="inlineStr">
        <is>
          <t>2004-11-29</t>
        </is>
      </c>
      <c r="V169" t="inlineStr">
        <is>
          <t>2004-11-29</t>
        </is>
      </c>
      <c r="W169" t="inlineStr">
        <is>
          <t>1992-04-14</t>
        </is>
      </c>
      <c r="X169" t="inlineStr">
        <is>
          <t>1992-04-14</t>
        </is>
      </c>
      <c r="Y169" t="n">
        <v>637</v>
      </c>
      <c r="Z169" t="n">
        <v>598</v>
      </c>
      <c r="AA169" t="n">
        <v>648</v>
      </c>
      <c r="AB169" t="n">
        <v>7</v>
      </c>
      <c r="AC169" t="n">
        <v>7</v>
      </c>
      <c r="AD169" t="n">
        <v>19</v>
      </c>
      <c r="AE169" t="n">
        <v>19</v>
      </c>
      <c r="AF169" t="n">
        <v>6</v>
      </c>
      <c r="AG169" t="n">
        <v>6</v>
      </c>
      <c r="AH169" t="n">
        <v>3</v>
      </c>
      <c r="AI169" t="n">
        <v>3</v>
      </c>
      <c r="AJ169" t="n">
        <v>10</v>
      </c>
      <c r="AK169" t="n">
        <v>10</v>
      </c>
      <c r="AL169" t="n">
        <v>3</v>
      </c>
      <c r="AM169" t="n">
        <v>3</v>
      </c>
      <c r="AN169" t="n">
        <v>0</v>
      </c>
      <c r="AO169" t="n">
        <v>0</v>
      </c>
      <c r="AP169" t="inlineStr">
        <is>
          <t>No</t>
        </is>
      </c>
      <c r="AQ169" t="inlineStr">
        <is>
          <t>Yes</t>
        </is>
      </c>
      <c r="AR169">
        <f>HYPERLINK("http://catalog.hathitrust.org/Record/000346572","HathiTrust Record")</f>
        <v/>
      </c>
      <c r="AS169">
        <f>HYPERLINK("https://creighton-primo.hosted.exlibrisgroup.com/primo-explore/search?tab=default_tab&amp;search_scope=EVERYTHING&amp;vid=01CRU&amp;lang=en_US&amp;offset=0&amp;query=any,contains,991002998649702656","Catalog Record")</f>
        <v/>
      </c>
      <c r="AT169">
        <f>HYPERLINK("http://www.worldcat.org/oclc/566928","WorldCat Record")</f>
        <v/>
      </c>
      <c r="AU169" t="inlineStr">
        <is>
          <t>346672993:eng</t>
        </is>
      </c>
      <c r="AV169" t="inlineStr">
        <is>
          <t>566928</t>
        </is>
      </c>
      <c r="AW169" t="inlineStr">
        <is>
          <t>991002998649702656</t>
        </is>
      </c>
      <c r="AX169" t="inlineStr">
        <is>
          <t>991002998649702656</t>
        </is>
      </c>
      <c r="AY169" t="inlineStr">
        <is>
          <t>2256282850002656</t>
        </is>
      </c>
      <c r="AZ169" t="inlineStr">
        <is>
          <t>BOOK</t>
        </is>
      </c>
      <c r="BC169" t="inlineStr">
        <is>
          <t>32285001059996</t>
        </is>
      </c>
      <c r="BD169" t="inlineStr">
        <is>
          <t>893329830</t>
        </is>
      </c>
    </row>
    <row r="170">
      <c r="A170" t="inlineStr">
        <is>
          <t>No</t>
        </is>
      </c>
      <c r="B170" t="inlineStr">
        <is>
          <t>ND196.S8 M37 1982</t>
        </is>
      </c>
      <c r="C170" t="inlineStr">
        <is>
          <t>0                      ND 0196000S  8                  M  37          1982</t>
        </is>
      </c>
      <c r="D170" t="inlineStr">
        <is>
          <t>Eight painters : the surrealist context / J.H. Matthews.</t>
        </is>
      </c>
      <c r="F170" t="inlineStr">
        <is>
          <t>No</t>
        </is>
      </c>
      <c r="G170" t="inlineStr">
        <is>
          <t>1</t>
        </is>
      </c>
      <c r="H170" t="inlineStr">
        <is>
          <t>No</t>
        </is>
      </c>
      <c r="I170" t="inlineStr">
        <is>
          <t>No</t>
        </is>
      </c>
      <c r="J170" t="inlineStr">
        <is>
          <t>0</t>
        </is>
      </c>
      <c r="K170" t="inlineStr">
        <is>
          <t>Matthews, J. H.</t>
        </is>
      </c>
      <c r="L170" t="inlineStr">
        <is>
          <t>Syracuse, N.Y. : Syracuse University Press, 1982.</t>
        </is>
      </c>
      <c r="M170" t="inlineStr">
        <is>
          <t>1982</t>
        </is>
      </c>
      <c r="N170" t="inlineStr">
        <is>
          <t>1st ed.</t>
        </is>
      </c>
      <c r="O170" t="inlineStr">
        <is>
          <t>eng</t>
        </is>
      </c>
      <c r="P170" t="inlineStr">
        <is>
          <t>nyu</t>
        </is>
      </c>
      <c r="R170" t="inlineStr">
        <is>
          <t xml:space="preserve">ND </t>
        </is>
      </c>
      <c r="S170" t="n">
        <v>23</v>
      </c>
      <c r="T170" t="n">
        <v>23</v>
      </c>
      <c r="U170" t="inlineStr">
        <is>
          <t>2007-11-26</t>
        </is>
      </c>
      <c r="V170" t="inlineStr">
        <is>
          <t>2007-11-26</t>
        </is>
      </c>
      <c r="W170" t="inlineStr">
        <is>
          <t>1993-01-15</t>
        </is>
      </c>
      <c r="X170" t="inlineStr">
        <is>
          <t>1993-01-15</t>
        </is>
      </c>
      <c r="Y170" t="n">
        <v>591</v>
      </c>
      <c r="Z170" t="n">
        <v>533</v>
      </c>
      <c r="AA170" t="n">
        <v>534</v>
      </c>
      <c r="AB170" t="n">
        <v>8</v>
      </c>
      <c r="AC170" t="n">
        <v>8</v>
      </c>
      <c r="AD170" t="n">
        <v>24</v>
      </c>
      <c r="AE170" t="n">
        <v>24</v>
      </c>
      <c r="AF170" t="n">
        <v>5</v>
      </c>
      <c r="AG170" t="n">
        <v>5</v>
      </c>
      <c r="AH170" t="n">
        <v>8</v>
      </c>
      <c r="AI170" t="n">
        <v>8</v>
      </c>
      <c r="AJ170" t="n">
        <v>12</v>
      </c>
      <c r="AK170" t="n">
        <v>12</v>
      </c>
      <c r="AL170" t="n">
        <v>6</v>
      </c>
      <c r="AM170" t="n">
        <v>6</v>
      </c>
      <c r="AN170" t="n">
        <v>0</v>
      </c>
      <c r="AO170" t="n">
        <v>0</v>
      </c>
      <c r="AP170" t="inlineStr">
        <is>
          <t>No</t>
        </is>
      </c>
      <c r="AQ170" t="inlineStr">
        <is>
          <t>Yes</t>
        </is>
      </c>
      <c r="AR170">
        <f>HYPERLINK("http://catalog.hathitrust.org/Record/000273022","HathiTrust Record")</f>
        <v/>
      </c>
      <c r="AS170">
        <f>HYPERLINK("https://creighton-primo.hosted.exlibrisgroup.com/primo-explore/search?tab=default_tab&amp;search_scope=EVERYTHING&amp;vid=01CRU&amp;lang=en_US&amp;offset=0&amp;query=any,contains,991000059409702656","Catalog Record")</f>
        <v/>
      </c>
      <c r="AT170">
        <f>HYPERLINK("http://www.worldcat.org/oclc/8727607","WorldCat Record")</f>
        <v/>
      </c>
      <c r="AU170" t="inlineStr">
        <is>
          <t>308926815:eng</t>
        </is>
      </c>
      <c r="AV170" t="inlineStr">
        <is>
          <t>8727607</t>
        </is>
      </c>
      <c r="AW170" t="inlineStr">
        <is>
          <t>991000059409702656</t>
        </is>
      </c>
      <c r="AX170" t="inlineStr">
        <is>
          <t>991000059409702656</t>
        </is>
      </c>
      <c r="AY170" t="inlineStr">
        <is>
          <t>2272652980002656</t>
        </is>
      </c>
      <c r="AZ170" t="inlineStr">
        <is>
          <t>BOOK</t>
        </is>
      </c>
      <c r="BB170" t="inlineStr">
        <is>
          <t>9780815622741</t>
        </is>
      </c>
      <c r="BC170" t="inlineStr">
        <is>
          <t>32285001474997</t>
        </is>
      </c>
      <c r="BD170" t="inlineStr">
        <is>
          <t>893345341</t>
        </is>
      </c>
    </row>
    <row r="171">
      <c r="A171" t="inlineStr">
        <is>
          <t>No</t>
        </is>
      </c>
      <c r="B171" t="inlineStr">
        <is>
          <t>ND198 .E8 1962</t>
        </is>
      </c>
      <c r="C171" t="inlineStr">
        <is>
          <t>0                      ND 0198000E  8           1962</t>
        </is>
      </c>
      <c r="D171" t="inlineStr">
        <is>
          <t>Arab painting.</t>
        </is>
      </c>
      <c r="F171" t="inlineStr">
        <is>
          <t>No</t>
        </is>
      </c>
      <c r="G171" t="inlineStr">
        <is>
          <t>1</t>
        </is>
      </c>
      <c r="H171" t="inlineStr">
        <is>
          <t>No</t>
        </is>
      </c>
      <c r="I171" t="inlineStr">
        <is>
          <t>No</t>
        </is>
      </c>
      <c r="J171" t="inlineStr">
        <is>
          <t>0</t>
        </is>
      </c>
      <c r="K171" t="inlineStr">
        <is>
          <t>Ettinghausen, Richard.</t>
        </is>
      </c>
      <c r="L171" t="inlineStr">
        <is>
          <t>[Geneva?] Skira; [distributed by World Pub. Co., Cleveland, 1962]</t>
        </is>
      </c>
      <c r="M171" t="inlineStr">
        <is>
          <t>1962</t>
        </is>
      </c>
      <c r="O171" t="inlineStr">
        <is>
          <t>eng</t>
        </is>
      </c>
      <c r="P171" t="inlineStr">
        <is>
          <t xml:space="preserve">sz </t>
        </is>
      </c>
      <c r="Q171" t="inlineStr">
        <is>
          <t>Treasures of Asia</t>
        </is>
      </c>
      <c r="R171" t="inlineStr">
        <is>
          <t xml:space="preserve">ND </t>
        </is>
      </c>
      <c r="S171" t="n">
        <v>4</v>
      </c>
      <c r="T171" t="n">
        <v>4</v>
      </c>
      <c r="U171" t="inlineStr">
        <is>
          <t>1999-10-01</t>
        </is>
      </c>
      <c r="V171" t="inlineStr">
        <is>
          <t>1999-10-01</t>
        </is>
      </c>
      <c r="W171" t="inlineStr">
        <is>
          <t>1997-07-21</t>
        </is>
      </c>
      <c r="X171" t="inlineStr">
        <is>
          <t>1997-07-21</t>
        </is>
      </c>
      <c r="Y171" t="n">
        <v>863</v>
      </c>
      <c r="Z171" t="n">
        <v>771</v>
      </c>
      <c r="AA171" t="n">
        <v>777</v>
      </c>
      <c r="AB171" t="n">
        <v>8</v>
      </c>
      <c r="AC171" t="n">
        <v>8</v>
      </c>
      <c r="AD171" t="n">
        <v>31</v>
      </c>
      <c r="AE171" t="n">
        <v>31</v>
      </c>
      <c r="AF171" t="n">
        <v>17</v>
      </c>
      <c r="AG171" t="n">
        <v>17</v>
      </c>
      <c r="AH171" t="n">
        <v>4</v>
      </c>
      <c r="AI171" t="n">
        <v>4</v>
      </c>
      <c r="AJ171" t="n">
        <v>12</v>
      </c>
      <c r="AK171" t="n">
        <v>12</v>
      </c>
      <c r="AL171" t="n">
        <v>6</v>
      </c>
      <c r="AM171" t="n">
        <v>6</v>
      </c>
      <c r="AN171" t="n">
        <v>0</v>
      </c>
      <c r="AO171" t="n">
        <v>0</v>
      </c>
      <c r="AP171" t="inlineStr">
        <is>
          <t>No</t>
        </is>
      </c>
      <c r="AQ171" t="inlineStr">
        <is>
          <t>Yes</t>
        </is>
      </c>
      <c r="AR171">
        <f>HYPERLINK("http://catalog.hathitrust.org/Record/000347024","HathiTrust Record")</f>
        <v/>
      </c>
      <c r="AS171">
        <f>HYPERLINK("https://creighton-primo.hosted.exlibrisgroup.com/primo-explore/search?tab=default_tab&amp;search_scope=EVERYTHING&amp;vid=01CRU&amp;lang=en_US&amp;offset=0&amp;query=any,contains,991002905869702656","Catalog Record")</f>
        <v/>
      </c>
      <c r="AT171">
        <f>HYPERLINK("http://www.worldcat.org/oclc/519363","WorldCat Record")</f>
        <v/>
      </c>
      <c r="AU171" t="inlineStr">
        <is>
          <t>9463042075:eng</t>
        </is>
      </c>
      <c r="AV171" t="inlineStr">
        <is>
          <t>519363</t>
        </is>
      </c>
      <c r="AW171" t="inlineStr">
        <is>
          <t>991002905869702656</t>
        </is>
      </c>
      <c r="AX171" t="inlineStr">
        <is>
          <t>991002905869702656</t>
        </is>
      </c>
      <c r="AY171" t="inlineStr">
        <is>
          <t>2256801660002656</t>
        </is>
      </c>
      <c r="AZ171" t="inlineStr">
        <is>
          <t>BOOK</t>
        </is>
      </c>
      <c r="BC171" t="inlineStr">
        <is>
          <t>32285002966173</t>
        </is>
      </c>
      <c r="BD171" t="inlineStr">
        <is>
          <t>893874163</t>
        </is>
      </c>
    </row>
    <row r="172">
      <c r="A172" t="inlineStr">
        <is>
          <t>No</t>
        </is>
      </c>
      <c r="B172" t="inlineStr">
        <is>
          <t>ND205 .D23</t>
        </is>
      </c>
      <c r="C172" t="inlineStr">
        <is>
          <t>0                      ND 0205000D  23</t>
        </is>
      </c>
      <c r="D172" t="inlineStr">
        <is>
          <t>The story of American painting / by Abraham A. Davidson.</t>
        </is>
      </c>
      <c r="F172" t="inlineStr">
        <is>
          <t>No</t>
        </is>
      </c>
      <c r="G172" t="inlineStr">
        <is>
          <t>1</t>
        </is>
      </c>
      <c r="H172" t="inlineStr">
        <is>
          <t>No</t>
        </is>
      </c>
      <c r="I172" t="inlineStr">
        <is>
          <t>No</t>
        </is>
      </c>
      <c r="J172" t="inlineStr">
        <is>
          <t>0</t>
        </is>
      </c>
      <c r="K172" t="inlineStr">
        <is>
          <t>Davidson, Abraham A.</t>
        </is>
      </c>
      <c r="L172" t="inlineStr">
        <is>
          <t>New York : H. N. Abrams, c1974.</t>
        </is>
      </c>
      <c r="M172" t="inlineStr">
        <is>
          <t>1974</t>
        </is>
      </c>
      <c r="O172" t="inlineStr">
        <is>
          <t>eng</t>
        </is>
      </c>
      <c r="P172" t="inlineStr">
        <is>
          <t>nyu</t>
        </is>
      </c>
      <c r="R172" t="inlineStr">
        <is>
          <t xml:space="preserve">ND </t>
        </is>
      </c>
      <c r="S172" t="n">
        <v>3</v>
      </c>
      <c r="T172" t="n">
        <v>3</v>
      </c>
      <c r="U172" t="inlineStr">
        <is>
          <t>1993-11-26</t>
        </is>
      </c>
      <c r="V172" t="inlineStr">
        <is>
          <t>1993-11-26</t>
        </is>
      </c>
      <c r="W172" t="inlineStr">
        <is>
          <t>1990-03-05</t>
        </is>
      </c>
      <c r="X172" t="inlineStr">
        <is>
          <t>1990-03-05</t>
        </is>
      </c>
      <c r="Y172" t="n">
        <v>1258</v>
      </c>
      <c r="Z172" t="n">
        <v>1147</v>
      </c>
      <c r="AA172" t="n">
        <v>1287</v>
      </c>
      <c r="AB172" t="n">
        <v>9</v>
      </c>
      <c r="AC172" t="n">
        <v>9</v>
      </c>
      <c r="AD172" t="n">
        <v>31</v>
      </c>
      <c r="AE172" t="n">
        <v>33</v>
      </c>
      <c r="AF172" t="n">
        <v>13</v>
      </c>
      <c r="AG172" t="n">
        <v>15</v>
      </c>
      <c r="AH172" t="n">
        <v>5</v>
      </c>
      <c r="AI172" t="n">
        <v>5</v>
      </c>
      <c r="AJ172" t="n">
        <v>15</v>
      </c>
      <c r="AK172" t="n">
        <v>15</v>
      </c>
      <c r="AL172" t="n">
        <v>4</v>
      </c>
      <c r="AM172" t="n">
        <v>4</v>
      </c>
      <c r="AN172" t="n">
        <v>0</v>
      </c>
      <c r="AO172" t="n">
        <v>0</v>
      </c>
      <c r="AP172" t="inlineStr">
        <is>
          <t>No</t>
        </is>
      </c>
      <c r="AQ172" t="inlineStr">
        <is>
          <t>Yes</t>
        </is>
      </c>
      <c r="AR172">
        <f>HYPERLINK("http://catalog.hathitrust.org/Record/000369133","HathiTrust Record")</f>
        <v/>
      </c>
      <c r="AS172">
        <f>HYPERLINK("https://creighton-primo.hosted.exlibrisgroup.com/primo-explore/search?tab=default_tab&amp;search_scope=EVERYTHING&amp;vid=01CRU&amp;lang=en_US&amp;offset=0&amp;query=any,contains,991003329119702656","Catalog Record")</f>
        <v/>
      </c>
      <c r="AT172">
        <f>HYPERLINK("http://www.worldcat.org/oclc/858909","WorldCat Record")</f>
        <v/>
      </c>
      <c r="AU172" t="inlineStr">
        <is>
          <t>1818131:eng</t>
        </is>
      </c>
      <c r="AV172" t="inlineStr">
        <is>
          <t>858909</t>
        </is>
      </c>
      <c r="AW172" t="inlineStr">
        <is>
          <t>991003329119702656</t>
        </is>
      </c>
      <c r="AX172" t="inlineStr">
        <is>
          <t>991003329119702656</t>
        </is>
      </c>
      <c r="AY172" t="inlineStr">
        <is>
          <t>2267356180002656</t>
        </is>
      </c>
      <c r="AZ172" t="inlineStr">
        <is>
          <t>BOOK</t>
        </is>
      </c>
      <c r="BB172" t="inlineStr">
        <is>
          <t>9780810904989</t>
        </is>
      </c>
      <c r="BC172" t="inlineStr">
        <is>
          <t>32285000077726</t>
        </is>
      </c>
      <c r="BD172" t="inlineStr">
        <is>
          <t>893717548</t>
        </is>
      </c>
    </row>
    <row r="173">
      <c r="A173" t="inlineStr">
        <is>
          <t>No</t>
        </is>
      </c>
      <c r="B173" t="inlineStr">
        <is>
          <t>ND205 .M23</t>
        </is>
      </c>
      <c r="C173" t="inlineStr">
        <is>
          <t>0                      ND 0205000M  23</t>
        </is>
      </c>
      <c r="D173" t="inlineStr">
        <is>
          <t>American tradition in painting.</t>
        </is>
      </c>
      <c r="F173" t="inlineStr">
        <is>
          <t>No</t>
        </is>
      </c>
      <c r="G173" t="inlineStr">
        <is>
          <t>1</t>
        </is>
      </c>
      <c r="H173" t="inlineStr">
        <is>
          <t>No</t>
        </is>
      </c>
      <c r="I173" t="inlineStr">
        <is>
          <t>No</t>
        </is>
      </c>
      <c r="J173" t="inlineStr">
        <is>
          <t>0</t>
        </is>
      </c>
      <c r="K173" t="inlineStr">
        <is>
          <t>McCoubrey, John W.</t>
        </is>
      </c>
      <c r="L173" t="inlineStr">
        <is>
          <t>New York : G. Braziller, 1963.</t>
        </is>
      </c>
      <c r="M173" t="inlineStr">
        <is>
          <t>1963</t>
        </is>
      </c>
      <c r="O173" t="inlineStr">
        <is>
          <t>eng</t>
        </is>
      </c>
      <c r="P173" t="inlineStr">
        <is>
          <t>nyu</t>
        </is>
      </c>
      <c r="R173" t="inlineStr">
        <is>
          <t xml:space="preserve">ND </t>
        </is>
      </c>
      <c r="S173" t="n">
        <v>3</v>
      </c>
      <c r="T173" t="n">
        <v>3</v>
      </c>
      <c r="U173" t="inlineStr">
        <is>
          <t>1993-10-11</t>
        </is>
      </c>
      <c r="V173" t="inlineStr">
        <is>
          <t>1993-10-11</t>
        </is>
      </c>
      <c r="W173" t="inlineStr">
        <is>
          <t>1990-03-07</t>
        </is>
      </c>
      <c r="X173" t="inlineStr">
        <is>
          <t>1990-03-07</t>
        </is>
      </c>
      <c r="Y173" t="n">
        <v>776</v>
      </c>
      <c r="Z173" t="n">
        <v>731</v>
      </c>
      <c r="AA173" t="n">
        <v>880</v>
      </c>
      <c r="AB173" t="n">
        <v>6</v>
      </c>
      <c r="AC173" t="n">
        <v>7</v>
      </c>
      <c r="AD173" t="n">
        <v>26</v>
      </c>
      <c r="AE173" t="n">
        <v>34</v>
      </c>
      <c r="AF173" t="n">
        <v>10</v>
      </c>
      <c r="AG173" t="n">
        <v>14</v>
      </c>
      <c r="AH173" t="n">
        <v>5</v>
      </c>
      <c r="AI173" t="n">
        <v>7</v>
      </c>
      <c r="AJ173" t="n">
        <v>12</v>
      </c>
      <c r="AK173" t="n">
        <v>14</v>
      </c>
      <c r="AL173" t="n">
        <v>4</v>
      </c>
      <c r="AM173" t="n">
        <v>5</v>
      </c>
      <c r="AN173" t="n">
        <v>0</v>
      </c>
      <c r="AO173" t="n">
        <v>0</v>
      </c>
      <c r="AP173" t="inlineStr">
        <is>
          <t>Yes</t>
        </is>
      </c>
      <c r="AQ173" t="inlineStr">
        <is>
          <t>No</t>
        </is>
      </c>
      <c r="AR173">
        <f>HYPERLINK("http://catalog.hathitrust.org/Record/000369267","HathiTrust Record")</f>
        <v/>
      </c>
      <c r="AS173">
        <f>HYPERLINK("https://creighton-primo.hosted.exlibrisgroup.com/primo-explore/search?tab=default_tab&amp;search_scope=EVERYTHING&amp;vid=01CRU&amp;lang=en_US&amp;offset=0&amp;query=any,contains,991002901949702656","Catalog Record")</f>
        <v/>
      </c>
      <c r="AT173">
        <f>HYPERLINK("http://www.worldcat.org/oclc/517646","WorldCat Record")</f>
        <v/>
      </c>
      <c r="AU173" t="inlineStr">
        <is>
          <t>1505603:eng</t>
        </is>
      </c>
      <c r="AV173" t="inlineStr">
        <is>
          <t>517646</t>
        </is>
      </c>
      <c r="AW173" t="inlineStr">
        <is>
          <t>991002901949702656</t>
        </is>
      </c>
      <c r="AX173" t="inlineStr">
        <is>
          <t>991002901949702656</t>
        </is>
      </c>
      <c r="AY173" t="inlineStr">
        <is>
          <t>2254759980002656</t>
        </is>
      </c>
      <c r="AZ173" t="inlineStr">
        <is>
          <t>BOOK</t>
        </is>
      </c>
      <c r="BC173" t="inlineStr">
        <is>
          <t>32285000064914</t>
        </is>
      </c>
      <c r="BD173" t="inlineStr">
        <is>
          <t>893428188</t>
        </is>
      </c>
    </row>
    <row r="174">
      <c r="A174" t="inlineStr">
        <is>
          <t>No</t>
        </is>
      </c>
      <c r="B174" t="inlineStr">
        <is>
          <t>ND205 .T5</t>
        </is>
      </c>
      <c r="C174" t="inlineStr">
        <is>
          <t>0                      ND 0205000T  5</t>
        </is>
      </c>
      <c r="D174" t="inlineStr">
        <is>
          <t>Three hundred years of American painting / by Alexander Eliot, art editor of Time. With an introd. by John Walker.</t>
        </is>
      </c>
      <c r="F174" t="inlineStr">
        <is>
          <t>No</t>
        </is>
      </c>
      <c r="G174" t="inlineStr">
        <is>
          <t>1</t>
        </is>
      </c>
      <c r="H174" t="inlineStr">
        <is>
          <t>No</t>
        </is>
      </c>
      <c r="I174" t="inlineStr">
        <is>
          <t>No</t>
        </is>
      </c>
      <c r="J174" t="inlineStr">
        <is>
          <t>0</t>
        </is>
      </c>
      <c r="K174" t="inlineStr">
        <is>
          <t>Time.</t>
        </is>
      </c>
      <c r="L174" t="inlineStr">
        <is>
          <t>New York : Time Inc., 1957.</t>
        </is>
      </c>
      <c r="M174" t="inlineStr">
        <is>
          <t>1957</t>
        </is>
      </c>
      <c r="O174" t="inlineStr">
        <is>
          <t>eng</t>
        </is>
      </c>
      <c r="P174" t="inlineStr">
        <is>
          <t>nyu</t>
        </is>
      </c>
      <c r="R174" t="inlineStr">
        <is>
          <t xml:space="preserve">ND </t>
        </is>
      </c>
      <c r="S174" t="n">
        <v>8</v>
      </c>
      <c r="T174" t="n">
        <v>8</v>
      </c>
      <c r="U174" t="inlineStr">
        <is>
          <t>2002-12-14</t>
        </is>
      </c>
      <c r="V174" t="inlineStr">
        <is>
          <t>2002-12-14</t>
        </is>
      </c>
      <c r="W174" t="inlineStr">
        <is>
          <t>1991-12-10</t>
        </is>
      </c>
      <c r="X174" t="inlineStr">
        <is>
          <t>1991-12-10</t>
        </is>
      </c>
      <c r="Y174" t="n">
        <v>2382</v>
      </c>
      <c r="Z174" t="n">
        <v>2254</v>
      </c>
      <c r="AA174" t="n">
        <v>2265</v>
      </c>
      <c r="AB174" t="n">
        <v>17</v>
      </c>
      <c r="AC174" t="n">
        <v>17</v>
      </c>
      <c r="AD174" t="n">
        <v>54</v>
      </c>
      <c r="AE174" t="n">
        <v>54</v>
      </c>
      <c r="AF174" t="n">
        <v>23</v>
      </c>
      <c r="AG174" t="n">
        <v>23</v>
      </c>
      <c r="AH174" t="n">
        <v>8</v>
      </c>
      <c r="AI174" t="n">
        <v>8</v>
      </c>
      <c r="AJ174" t="n">
        <v>24</v>
      </c>
      <c r="AK174" t="n">
        <v>24</v>
      </c>
      <c r="AL174" t="n">
        <v>10</v>
      </c>
      <c r="AM174" t="n">
        <v>10</v>
      </c>
      <c r="AN174" t="n">
        <v>0</v>
      </c>
      <c r="AO174" t="n">
        <v>0</v>
      </c>
      <c r="AP174" t="inlineStr">
        <is>
          <t>No</t>
        </is>
      </c>
      <c r="AQ174" t="inlineStr">
        <is>
          <t>No</t>
        </is>
      </c>
      <c r="AR174">
        <f>HYPERLINK("http://catalog.hathitrust.org/Record/000368033","HathiTrust Record")</f>
        <v/>
      </c>
      <c r="AS174">
        <f>HYPERLINK("https://creighton-primo.hosted.exlibrisgroup.com/primo-explore/search?tab=default_tab&amp;search_scope=EVERYTHING&amp;vid=01CRU&amp;lang=en_US&amp;offset=0&amp;query=any,contains,991002409999702656","Catalog Record")</f>
        <v/>
      </c>
      <c r="AT174">
        <f>HYPERLINK("http://www.worldcat.org/oclc/339210","WorldCat Record")</f>
        <v/>
      </c>
      <c r="AU174" t="inlineStr">
        <is>
          <t>1150897617:eng</t>
        </is>
      </c>
      <c r="AV174" t="inlineStr">
        <is>
          <t>339210</t>
        </is>
      </c>
      <c r="AW174" t="inlineStr">
        <is>
          <t>991002409999702656</t>
        </is>
      </c>
      <c r="AX174" t="inlineStr">
        <is>
          <t>991002409999702656</t>
        </is>
      </c>
      <c r="AY174" t="inlineStr">
        <is>
          <t>2259039620002656</t>
        </is>
      </c>
      <c r="AZ174" t="inlineStr">
        <is>
          <t>BOOK</t>
        </is>
      </c>
      <c r="BC174" t="inlineStr">
        <is>
          <t>32285000849124</t>
        </is>
      </c>
      <c r="BD174" t="inlineStr">
        <is>
          <t>893773593</t>
        </is>
      </c>
    </row>
    <row r="175">
      <c r="A175" t="inlineStr">
        <is>
          <t>No</t>
        </is>
      </c>
      <c r="B175" t="inlineStr">
        <is>
          <t>ND2068 .C474 2002</t>
        </is>
      </c>
      <c r="C175" t="inlineStr">
        <is>
          <t>0                      ND 2068000C  474         2002</t>
        </is>
      </c>
      <c r="D175" t="inlineStr">
        <is>
          <t>Chinese brush painting : a beginner's guide / Pauline Cherrett; [editor, Judith Millidge; photography by Pauline and David Cherrett]</t>
        </is>
      </c>
      <c r="F175" t="inlineStr">
        <is>
          <t>No</t>
        </is>
      </c>
      <c r="G175" t="inlineStr">
        <is>
          <t>1</t>
        </is>
      </c>
      <c r="H175" t="inlineStr">
        <is>
          <t>No</t>
        </is>
      </c>
      <c r="I175" t="inlineStr">
        <is>
          <t>No</t>
        </is>
      </c>
      <c r="J175" t="inlineStr">
        <is>
          <t>0</t>
        </is>
      </c>
      <c r="K175" t="inlineStr">
        <is>
          <t>Cherrett, Pauline.</t>
        </is>
      </c>
      <c r="L175" t="inlineStr">
        <is>
          <t>New York : Sterling Pub. Co., 2002.</t>
        </is>
      </c>
      <c r="M175" t="inlineStr">
        <is>
          <t>2002</t>
        </is>
      </c>
      <c r="O175" t="inlineStr">
        <is>
          <t>eng</t>
        </is>
      </c>
      <c r="P175" t="inlineStr">
        <is>
          <t>nyu</t>
        </is>
      </c>
      <c r="R175" t="inlineStr">
        <is>
          <t xml:space="preserve">ND </t>
        </is>
      </c>
      <c r="S175" t="n">
        <v>1</v>
      </c>
      <c r="T175" t="n">
        <v>1</v>
      </c>
      <c r="U175" t="inlineStr">
        <is>
          <t>2003-12-10</t>
        </is>
      </c>
      <c r="V175" t="inlineStr">
        <is>
          <t>2003-12-10</t>
        </is>
      </c>
      <c r="W175" t="inlineStr">
        <is>
          <t>2002-05-08</t>
        </is>
      </c>
      <c r="X175" t="inlineStr">
        <is>
          <t>2002-05-08</t>
        </is>
      </c>
      <c r="Y175" t="n">
        <v>134</v>
      </c>
      <c r="Z175" t="n">
        <v>121</v>
      </c>
      <c r="AA175" t="n">
        <v>313</v>
      </c>
      <c r="AB175" t="n">
        <v>3</v>
      </c>
      <c r="AC175" t="n">
        <v>6</v>
      </c>
      <c r="AD175" t="n">
        <v>0</v>
      </c>
      <c r="AE175" t="n">
        <v>3</v>
      </c>
      <c r="AF175" t="n">
        <v>0</v>
      </c>
      <c r="AG175" t="n">
        <v>0</v>
      </c>
      <c r="AH175" t="n">
        <v>0</v>
      </c>
      <c r="AI175" t="n">
        <v>1</v>
      </c>
      <c r="AJ175" t="n">
        <v>0</v>
      </c>
      <c r="AK175" t="n">
        <v>1</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HYPERLINK("https://creighton-primo.hosted.exlibrisgroup.com/primo-explore/search?tab=default_tab&amp;search_scope=EVERYTHING&amp;vid=01CRU&amp;lang=en_US&amp;offset=0&amp;query=any,contains,991003797459702656","Catalog Record")</f>
        <v/>
      </c>
      <c r="AT175">
        <f>HYPERLINK("http://www.worldcat.org/oclc/48391753","WorldCat Record")</f>
        <v/>
      </c>
      <c r="AU175" t="inlineStr">
        <is>
          <t>23215599:eng</t>
        </is>
      </c>
      <c r="AV175" t="inlineStr">
        <is>
          <t>48391753</t>
        </is>
      </c>
      <c r="AW175" t="inlineStr">
        <is>
          <t>991003797459702656</t>
        </is>
      </c>
      <c r="AX175" t="inlineStr">
        <is>
          <t>991003797459702656</t>
        </is>
      </c>
      <c r="AY175" t="inlineStr">
        <is>
          <t>2258973330002656</t>
        </is>
      </c>
      <c r="AZ175" t="inlineStr">
        <is>
          <t>BOOK</t>
        </is>
      </c>
      <c r="BB175" t="inlineStr">
        <is>
          <t>9780806955094</t>
        </is>
      </c>
      <c r="BC175" t="inlineStr">
        <is>
          <t>32285004486709</t>
        </is>
      </c>
      <c r="BD175" t="inlineStr">
        <is>
          <t>893718082</t>
        </is>
      </c>
    </row>
    <row r="176">
      <c r="A176" t="inlineStr">
        <is>
          <t>No</t>
        </is>
      </c>
      <c r="B176" t="inlineStr">
        <is>
          <t>ND207 .F55 1982</t>
        </is>
      </c>
      <c r="C176" t="inlineStr">
        <is>
          <t>0                      ND 0207000F  55          1982</t>
        </is>
      </c>
      <c r="D176" t="inlineStr">
        <is>
          <t>America's old masters / James Thomas Flexner.</t>
        </is>
      </c>
      <c r="F176" t="inlineStr">
        <is>
          <t>No</t>
        </is>
      </c>
      <c r="G176" t="inlineStr">
        <is>
          <t>1</t>
        </is>
      </c>
      <c r="H176" t="inlineStr">
        <is>
          <t>No</t>
        </is>
      </c>
      <c r="I176" t="inlineStr">
        <is>
          <t>No</t>
        </is>
      </c>
      <c r="J176" t="inlineStr">
        <is>
          <t>0</t>
        </is>
      </c>
      <c r="K176" t="inlineStr">
        <is>
          <t>Flexner, James Thomas, 1908-2003.</t>
        </is>
      </c>
      <c r="L176" t="inlineStr">
        <is>
          <t>New York : McGraw-Hill, 1982, c1980.</t>
        </is>
      </c>
      <c r="M176" t="inlineStr">
        <is>
          <t>1982</t>
        </is>
      </c>
      <c r="N176" t="inlineStr">
        <is>
          <t>Rev. ed. with a new foreword.</t>
        </is>
      </c>
      <c r="O176" t="inlineStr">
        <is>
          <t>eng</t>
        </is>
      </c>
      <c r="P176" t="inlineStr">
        <is>
          <t>nyu</t>
        </is>
      </c>
      <c r="R176" t="inlineStr">
        <is>
          <t xml:space="preserve">ND </t>
        </is>
      </c>
      <c r="S176" t="n">
        <v>5</v>
      </c>
      <c r="T176" t="n">
        <v>5</v>
      </c>
      <c r="U176" t="inlineStr">
        <is>
          <t>1993-12-09</t>
        </is>
      </c>
      <c r="V176" t="inlineStr">
        <is>
          <t>1993-12-09</t>
        </is>
      </c>
      <c r="W176" t="inlineStr">
        <is>
          <t>1993-05-20</t>
        </is>
      </c>
      <c r="X176" t="inlineStr">
        <is>
          <t>1993-05-20</t>
        </is>
      </c>
      <c r="Y176" t="n">
        <v>165</v>
      </c>
      <c r="Z176" t="n">
        <v>159</v>
      </c>
      <c r="AA176" t="n">
        <v>162</v>
      </c>
      <c r="AB176" t="n">
        <v>2</v>
      </c>
      <c r="AC176" t="n">
        <v>2</v>
      </c>
      <c r="AD176" t="n">
        <v>4</v>
      </c>
      <c r="AE176" t="n">
        <v>4</v>
      </c>
      <c r="AF176" t="n">
        <v>1</v>
      </c>
      <c r="AG176" t="n">
        <v>1</v>
      </c>
      <c r="AH176" t="n">
        <v>1</v>
      </c>
      <c r="AI176" t="n">
        <v>1</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HYPERLINK("https://creighton-primo.hosted.exlibrisgroup.com/primo-explore/search?tab=default_tab&amp;search_scope=EVERYTHING&amp;vid=01CRU&amp;lang=en_US&amp;offset=0&amp;query=any,contains,991005136059702656","Catalog Record")</f>
        <v/>
      </c>
      <c r="AT176">
        <f>HYPERLINK("http://www.worldcat.org/oclc/7577229","WorldCat Record")</f>
        <v/>
      </c>
      <c r="AU176" t="inlineStr">
        <is>
          <t>2070267931:eng</t>
        </is>
      </c>
      <c r="AV176" t="inlineStr">
        <is>
          <t>7577229</t>
        </is>
      </c>
      <c r="AW176" t="inlineStr">
        <is>
          <t>991005136059702656</t>
        </is>
      </c>
      <c r="AX176" t="inlineStr">
        <is>
          <t>991005136059702656</t>
        </is>
      </c>
      <c r="AY176" t="inlineStr">
        <is>
          <t>2263024870002656</t>
        </is>
      </c>
      <c r="AZ176" t="inlineStr">
        <is>
          <t>BOOK</t>
        </is>
      </c>
      <c r="BB176" t="inlineStr">
        <is>
          <t>9780070212855</t>
        </is>
      </c>
      <c r="BC176" t="inlineStr">
        <is>
          <t>32285001691053</t>
        </is>
      </c>
      <c r="BD176" t="inlineStr">
        <is>
          <t>893628567</t>
        </is>
      </c>
    </row>
    <row r="177">
      <c r="A177" t="inlineStr">
        <is>
          <t>No</t>
        </is>
      </c>
      <c r="B177" t="inlineStr">
        <is>
          <t>ND207 .F58 1969</t>
        </is>
      </c>
      <c r="C177" t="inlineStr">
        <is>
          <t>0                      ND 0207000F  58          1969</t>
        </is>
      </c>
      <c r="D177" t="inlineStr">
        <is>
          <t>The light of distant skies, 1760-1835 / by James Thomas Flexner.</t>
        </is>
      </c>
      <c r="F177" t="inlineStr">
        <is>
          <t>No</t>
        </is>
      </c>
      <c r="G177" t="inlineStr">
        <is>
          <t>1</t>
        </is>
      </c>
      <c r="H177" t="inlineStr">
        <is>
          <t>No</t>
        </is>
      </c>
      <c r="I177" t="inlineStr">
        <is>
          <t>No</t>
        </is>
      </c>
      <c r="J177" t="inlineStr">
        <is>
          <t>0</t>
        </is>
      </c>
      <c r="K177" t="inlineStr">
        <is>
          <t>Flexner, James Thomas, 1908-2003.</t>
        </is>
      </c>
      <c r="L177" t="inlineStr">
        <is>
          <t>New York : Dover Publications, [1969]</t>
        </is>
      </c>
      <c r="M177" t="inlineStr">
        <is>
          <t>1969</t>
        </is>
      </c>
      <c r="O177" t="inlineStr">
        <is>
          <t>eng</t>
        </is>
      </c>
      <c r="P177" t="inlineStr">
        <is>
          <t>nyu</t>
        </is>
      </c>
      <c r="Q177" t="inlineStr">
        <is>
          <t>His American painting, 2</t>
        </is>
      </c>
      <c r="R177" t="inlineStr">
        <is>
          <t xml:space="preserve">ND </t>
        </is>
      </c>
      <c r="S177" t="n">
        <v>4</v>
      </c>
      <c r="T177" t="n">
        <v>4</v>
      </c>
      <c r="U177" t="inlineStr">
        <is>
          <t>1993-12-09</t>
        </is>
      </c>
      <c r="V177" t="inlineStr">
        <is>
          <t>1993-12-09</t>
        </is>
      </c>
      <c r="W177" t="inlineStr">
        <is>
          <t>1993-05-20</t>
        </is>
      </c>
      <c r="X177" t="inlineStr">
        <is>
          <t>1993-05-20</t>
        </is>
      </c>
      <c r="Y177" t="n">
        <v>521</v>
      </c>
      <c r="Z177" t="n">
        <v>470</v>
      </c>
      <c r="AA177" t="n">
        <v>475</v>
      </c>
      <c r="AB177" t="n">
        <v>3</v>
      </c>
      <c r="AC177" t="n">
        <v>3</v>
      </c>
      <c r="AD177" t="n">
        <v>22</v>
      </c>
      <c r="AE177" t="n">
        <v>22</v>
      </c>
      <c r="AF177" t="n">
        <v>12</v>
      </c>
      <c r="AG177" t="n">
        <v>12</v>
      </c>
      <c r="AH177" t="n">
        <v>2</v>
      </c>
      <c r="AI177" t="n">
        <v>2</v>
      </c>
      <c r="AJ177" t="n">
        <v>11</v>
      </c>
      <c r="AK177" t="n">
        <v>11</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HYPERLINK("https://creighton-primo.hosted.exlibrisgroup.com/primo-explore/search?tab=default_tab&amp;search_scope=EVERYTHING&amp;vid=01CRU&amp;lang=en_US&amp;offset=0&amp;query=any,contains,991000001989702656","Catalog Record")</f>
        <v/>
      </c>
      <c r="AT177">
        <f>HYPERLINK("http://www.worldcat.org/oclc/10843","WorldCat Record")</f>
        <v/>
      </c>
      <c r="AU177" t="inlineStr">
        <is>
          <t>10678331200:eng</t>
        </is>
      </c>
      <c r="AV177" t="inlineStr">
        <is>
          <t>10843</t>
        </is>
      </c>
      <c r="AW177" t="inlineStr">
        <is>
          <t>991000001989702656</t>
        </is>
      </c>
      <c r="AX177" t="inlineStr">
        <is>
          <t>991000001989702656</t>
        </is>
      </c>
      <c r="AY177" t="inlineStr">
        <is>
          <t>2268025930002656</t>
        </is>
      </c>
      <c r="AZ177" t="inlineStr">
        <is>
          <t>BOOK</t>
        </is>
      </c>
      <c r="BB177" t="inlineStr">
        <is>
          <t>9780486221793</t>
        </is>
      </c>
      <c r="BC177" t="inlineStr">
        <is>
          <t>32285001691061</t>
        </is>
      </c>
      <c r="BD177" t="inlineStr">
        <is>
          <t>893224652</t>
        </is>
      </c>
    </row>
    <row r="178">
      <c r="A178" t="inlineStr">
        <is>
          <t>No</t>
        </is>
      </c>
      <c r="B178" t="inlineStr">
        <is>
          <t>ND207 .W5 1971</t>
        </is>
      </c>
      <c r="C178" t="inlineStr">
        <is>
          <t>0                      ND 0207000W  5           1971</t>
        </is>
      </c>
      <c r="D178" t="inlineStr">
        <is>
          <t>American painting to 1776, a reappraisal / edited by Ian M. G. Quimby.</t>
        </is>
      </c>
      <c r="F178" t="inlineStr">
        <is>
          <t>No</t>
        </is>
      </c>
      <c r="G178" t="inlineStr">
        <is>
          <t>1</t>
        </is>
      </c>
      <c r="H178" t="inlineStr">
        <is>
          <t>No</t>
        </is>
      </c>
      <c r="I178" t="inlineStr">
        <is>
          <t>No</t>
        </is>
      </c>
      <c r="J178" t="inlineStr">
        <is>
          <t>0</t>
        </is>
      </c>
      <c r="K178" t="inlineStr">
        <is>
          <t>Winterthur Conference (17th : 1971)</t>
        </is>
      </c>
      <c r="L178" t="inlineStr">
        <is>
          <t>Charlottesville : Published for the Henry Francis du Pont Winterthur Museum [by] the University Press of Virginia, [1971]</t>
        </is>
      </c>
      <c r="M178" t="inlineStr">
        <is>
          <t>1971</t>
        </is>
      </c>
      <c r="O178" t="inlineStr">
        <is>
          <t>eng</t>
        </is>
      </c>
      <c r="P178" t="inlineStr">
        <is>
          <t>vau</t>
        </is>
      </c>
      <c r="Q178" t="inlineStr">
        <is>
          <t>Winterthur Conference report, 1971</t>
        </is>
      </c>
      <c r="R178" t="inlineStr">
        <is>
          <t xml:space="preserve">ND </t>
        </is>
      </c>
      <c r="S178" t="n">
        <v>5</v>
      </c>
      <c r="T178" t="n">
        <v>5</v>
      </c>
      <c r="U178" t="inlineStr">
        <is>
          <t>1999-06-26</t>
        </is>
      </c>
      <c r="V178" t="inlineStr">
        <is>
          <t>1999-06-26</t>
        </is>
      </c>
      <c r="W178" t="inlineStr">
        <is>
          <t>1993-05-20</t>
        </is>
      </c>
      <c r="X178" t="inlineStr">
        <is>
          <t>1993-05-20</t>
        </is>
      </c>
      <c r="Y178" t="n">
        <v>429</v>
      </c>
      <c r="Z178" t="n">
        <v>393</v>
      </c>
      <c r="AA178" t="n">
        <v>395</v>
      </c>
      <c r="AB178" t="n">
        <v>3</v>
      </c>
      <c r="AC178" t="n">
        <v>3</v>
      </c>
      <c r="AD178" t="n">
        <v>19</v>
      </c>
      <c r="AE178" t="n">
        <v>19</v>
      </c>
      <c r="AF178" t="n">
        <v>8</v>
      </c>
      <c r="AG178" t="n">
        <v>8</v>
      </c>
      <c r="AH178" t="n">
        <v>2</v>
      </c>
      <c r="AI178" t="n">
        <v>2</v>
      </c>
      <c r="AJ178" t="n">
        <v>11</v>
      </c>
      <c r="AK178" t="n">
        <v>11</v>
      </c>
      <c r="AL178" t="n">
        <v>2</v>
      </c>
      <c r="AM178" t="n">
        <v>2</v>
      </c>
      <c r="AN178" t="n">
        <v>0</v>
      </c>
      <c r="AO178" t="n">
        <v>0</v>
      </c>
      <c r="AP178" t="inlineStr">
        <is>
          <t>No</t>
        </is>
      </c>
      <c r="AQ178" t="inlineStr">
        <is>
          <t>Yes</t>
        </is>
      </c>
      <c r="AR178">
        <f>HYPERLINK("http://catalog.hathitrust.org/Record/007053327","HathiTrust Record")</f>
        <v/>
      </c>
      <c r="AS178">
        <f>HYPERLINK("https://creighton-primo.hosted.exlibrisgroup.com/primo-explore/search?tab=default_tab&amp;search_scope=EVERYTHING&amp;vid=01CRU&amp;lang=en_US&amp;offset=0&amp;query=any,contains,991001927369702656","Catalog Record")</f>
        <v/>
      </c>
      <c r="AT178">
        <f>HYPERLINK("http://www.worldcat.org/oclc/247311","WorldCat Record")</f>
        <v/>
      </c>
      <c r="AU178" t="inlineStr">
        <is>
          <t>1404743:eng</t>
        </is>
      </c>
      <c r="AV178" t="inlineStr">
        <is>
          <t>247311</t>
        </is>
      </c>
      <c r="AW178" t="inlineStr">
        <is>
          <t>991001927369702656</t>
        </is>
      </c>
      <c r="AX178" t="inlineStr">
        <is>
          <t>991001927369702656</t>
        </is>
      </c>
      <c r="AY178" t="inlineStr">
        <is>
          <t>2257906000002656</t>
        </is>
      </c>
      <c r="AZ178" t="inlineStr">
        <is>
          <t>BOOK</t>
        </is>
      </c>
      <c r="BB178" t="inlineStr">
        <is>
          <t>9780813903781</t>
        </is>
      </c>
      <c r="BC178" t="inlineStr">
        <is>
          <t>32285001583235</t>
        </is>
      </c>
      <c r="BD178" t="inlineStr">
        <is>
          <t>893779204</t>
        </is>
      </c>
    </row>
    <row r="179">
      <c r="A179" t="inlineStr">
        <is>
          <t>No</t>
        </is>
      </c>
      <c r="B179" t="inlineStr">
        <is>
          <t>ND2071 .A33 1975</t>
        </is>
      </c>
      <c r="C179" t="inlineStr">
        <is>
          <t>0                      ND 2071000A  33          1975</t>
        </is>
      </c>
      <c r="D179" t="inlineStr">
        <is>
          <t>Nanga paintings : [collected by Robert G. Sawers] / catalogue by Stephen Addiss.</t>
        </is>
      </c>
      <c r="F179" t="inlineStr">
        <is>
          <t>No</t>
        </is>
      </c>
      <c r="G179" t="inlineStr">
        <is>
          <t>1</t>
        </is>
      </c>
      <c r="H179" t="inlineStr">
        <is>
          <t>No</t>
        </is>
      </c>
      <c r="I179" t="inlineStr">
        <is>
          <t>No</t>
        </is>
      </c>
      <c r="J179" t="inlineStr">
        <is>
          <t>0</t>
        </is>
      </c>
      <c r="K179" t="inlineStr">
        <is>
          <t>Addiss, Stephen, 1935-</t>
        </is>
      </c>
      <c r="L179" t="inlineStr">
        <is>
          <t>London : Sawers, c1975.</t>
        </is>
      </c>
      <c r="M179" t="inlineStr">
        <is>
          <t>1975</t>
        </is>
      </c>
      <c r="O179" t="inlineStr">
        <is>
          <t>eng</t>
        </is>
      </c>
      <c r="P179" t="inlineStr">
        <is>
          <t>enk</t>
        </is>
      </c>
      <c r="R179" t="inlineStr">
        <is>
          <t xml:space="preserve">ND </t>
        </is>
      </c>
      <c r="S179" t="n">
        <v>1</v>
      </c>
      <c r="T179" t="n">
        <v>1</v>
      </c>
      <c r="U179" t="inlineStr">
        <is>
          <t>2007-02-01</t>
        </is>
      </c>
      <c r="V179" t="inlineStr">
        <is>
          <t>2007-02-01</t>
        </is>
      </c>
      <c r="W179" t="inlineStr">
        <is>
          <t>2007-02-01</t>
        </is>
      </c>
      <c r="X179" t="inlineStr">
        <is>
          <t>2007-02-01</t>
        </is>
      </c>
      <c r="Y179" t="n">
        <v>121</v>
      </c>
      <c r="Z179" t="n">
        <v>85</v>
      </c>
      <c r="AA179" t="n">
        <v>90</v>
      </c>
      <c r="AB179" t="n">
        <v>2</v>
      </c>
      <c r="AC179" t="n">
        <v>2</v>
      </c>
      <c r="AD179" t="n">
        <v>2</v>
      </c>
      <c r="AE179" t="n">
        <v>2</v>
      </c>
      <c r="AF179" t="n">
        <v>1</v>
      </c>
      <c r="AG179" t="n">
        <v>1</v>
      </c>
      <c r="AH179" t="n">
        <v>1</v>
      </c>
      <c r="AI179" t="n">
        <v>1</v>
      </c>
      <c r="AJ179" t="n">
        <v>1</v>
      </c>
      <c r="AK179" t="n">
        <v>1</v>
      </c>
      <c r="AL179" t="n">
        <v>0</v>
      </c>
      <c r="AM179" t="n">
        <v>0</v>
      </c>
      <c r="AN179" t="n">
        <v>0</v>
      </c>
      <c r="AO179" t="n">
        <v>0</v>
      </c>
      <c r="AP179" t="inlineStr">
        <is>
          <t>No</t>
        </is>
      </c>
      <c r="AQ179" t="inlineStr">
        <is>
          <t>Yes</t>
        </is>
      </c>
      <c r="AR179">
        <f>HYPERLINK("http://catalog.hathitrust.org/Record/000721955","HathiTrust Record")</f>
        <v/>
      </c>
      <c r="AS179">
        <f>HYPERLINK("https://creighton-primo.hosted.exlibrisgroup.com/primo-explore/search?tab=default_tab&amp;search_scope=EVERYTHING&amp;vid=01CRU&amp;lang=en_US&amp;offset=0&amp;query=any,contains,991005008509702656","Catalog Record")</f>
        <v/>
      </c>
      <c r="AT179">
        <f>HYPERLINK("http://www.worldcat.org/oclc/4230694","WorldCat Record")</f>
        <v/>
      </c>
      <c r="AU179" t="inlineStr">
        <is>
          <t>14573815:eng</t>
        </is>
      </c>
      <c r="AV179" t="inlineStr">
        <is>
          <t>4230694</t>
        </is>
      </c>
      <c r="AW179" t="inlineStr">
        <is>
          <t>991005008509702656</t>
        </is>
      </c>
      <c r="AX179" t="inlineStr">
        <is>
          <t>991005008509702656</t>
        </is>
      </c>
      <c r="AY179" t="inlineStr">
        <is>
          <t>2263405170002656</t>
        </is>
      </c>
      <c r="AZ179" t="inlineStr">
        <is>
          <t>BOOK</t>
        </is>
      </c>
      <c r="BC179" t="inlineStr">
        <is>
          <t>32285005274674</t>
        </is>
      </c>
      <c r="BD179" t="inlineStr">
        <is>
          <t>893338369</t>
        </is>
      </c>
    </row>
    <row r="180">
      <c r="A180" t="inlineStr">
        <is>
          <t>No</t>
        </is>
      </c>
      <c r="B180" t="inlineStr">
        <is>
          <t>ND210 .A724 1999</t>
        </is>
      </c>
      <c r="C180" t="inlineStr">
        <is>
          <t>0                      ND 0210000A  724         1999</t>
        </is>
      </c>
      <c r="D180" t="inlineStr">
        <is>
          <t>America : the New World in 19th-century painting / edited by Stephan Koja ; with contributions by Nicolai Cikovsky, Jr. ... [et al.].</t>
        </is>
      </c>
      <c r="F180" t="inlineStr">
        <is>
          <t>No</t>
        </is>
      </c>
      <c r="G180" t="inlineStr">
        <is>
          <t>1</t>
        </is>
      </c>
      <c r="H180" t="inlineStr">
        <is>
          <t>No</t>
        </is>
      </c>
      <c r="I180" t="inlineStr">
        <is>
          <t>No</t>
        </is>
      </c>
      <c r="J180" t="inlineStr">
        <is>
          <t>0</t>
        </is>
      </c>
      <c r="L180" t="inlineStr">
        <is>
          <t>Munich ; New York : Prestel, c1999.</t>
        </is>
      </c>
      <c r="M180" t="inlineStr">
        <is>
          <t>1999</t>
        </is>
      </c>
      <c r="O180" t="inlineStr">
        <is>
          <t>eng</t>
        </is>
      </c>
      <c r="P180" t="inlineStr">
        <is>
          <t xml:space="preserve">gw </t>
        </is>
      </c>
      <c r="R180" t="inlineStr">
        <is>
          <t xml:space="preserve">ND </t>
        </is>
      </c>
      <c r="S180" t="n">
        <v>2</v>
      </c>
      <c r="T180" t="n">
        <v>2</v>
      </c>
      <c r="U180" t="inlineStr">
        <is>
          <t>2005-02-09</t>
        </is>
      </c>
      <c r="V180" t="inlineStr">
        <is>
          <t>2005-02-09</t>
        </is>
      </c>
      <c r="W180" t="inlineStr">
        <is>
          <t>2000-07-17</t>
        </is>
      </c>
      <c r="X180" t="inlineStr">
        <is>
          <t>2000-07-17</t>
        </is>
      </c>
      <c r="Y180" t="n">
        <v>672</v>
      </c>
      <c r="Z180" t="n">
        <v>607</v>
      </c>
      <c r="AA180" t="n">
        <v>609</v>
      </c>
      <c r="AB180" t="n">
        <v>4</v>
      </c>
      <c r="AC180" t="n">
        <v>4</v>
      </c>
      <c r="AD180" t="n">
        <v>24</v>
      </c>
      <c r="AE180" t="n">
        <v>24</v>
      </c>
      <c r="AF180" t="n">
        <v>11</v>
      </c>
      <c r="AG180" t="n">
        <v>11</v>
      </c>
      <c r="AH180" t="n">
        <v>6</v>
      </c>
      <c r="AI180" t="n">
        <v>6</v>
      </c>
      <c r="AJ180" t="n">
        <v>13</v>
      </c>
      <c r="AK180" t="n">
        <v>13</v>
      </c>
      <c r="AL180" t="n">
        <v>2</v>
      </c>
      <c r="AM180" t="n">
        <v>2</v>
      </c>
      <c r="AN180" t="n">
        <v>0</v>
      </c>
      <c r="AO180" t="n">
        <v>0</v>
      </c>
      <c r="AP180" t="inlineStr">
        <is>
          <t>No</t>
        </is>
      </c>
      <c r="AQ180" t="inlineStr">
        <is>
          <t>Yes</t>
        </is>
      </c>
      <c r="AR180">
        <f>HYPERLINK("http://catalog.hathitrust.org/Record/004043954","HathiTrust Record")</f>
        <v/>
      </c>
      <c r="AS180">
        <f>HYPERLINK("https://creighton-primo.hosted.exlibrisgroup.com/primo-explore/search?tab=default_tab&amp;search_scope=EVERYTHING&amp;vid=01CRU&amp;lang=en_US&amp;offset=0&amp;query=any,contains,991003203559702656","Catalog Record")</f>
        <v/>
      </c>
      <c r="AT180">
        <f>HYPERLINK("http://www.worldcat.org/oclc/40926263","WorldCat Record")</f>
        <v/>
      </c>
      <c r="AU180" t="inlineStr">
        <is>
          <t>836932010:eng</t>
        </is>
      </c>
      <c r="AV180" t="inlineStr">
        <is>
          <t>40926263</t>
        </is>
      </c>
      <c r="AW180" t="inlineStr">
        <is>
          <t>991003203559702656</t>
        </is>
      </c>
      <c r="AX180" t="inlineStr">
        <is>
          <t>991003203559702656</t>
        </is>
      </c>
      <c r="AY180" t="inlineStr">
        <is>
          <t>2262304160002656</t>
        </is>
      </c>
      <c r="AZ180" t="inlineStr">
        <is>
          <t>BOOK</t>
        </is>
      </c>
      <c r="BB180" t="inlineStr">
        <is>
          <t>9783791320519</t>
        </is>
      </c>
      <c r="BC180" t="inlineStr">
        <is>
          <t>32285003714879</t>
        </is>
      </c>
      <c r="BD180" t="inlineStr">
        <is>
          <t>893342321</t>
        </is>
      </c>
    </row>
    <row r="181">
      <c r="A181" t="inlineStr">
        <is>
          <t>No</t>
        </is>
      </c>
      <c r="B181" t="inlineStr">
        <is>
          <t>ND210 .C83 1972</t>
        </is>
      </c>
      <c r="C181" t="inlineStr">
        <is>
          <t>0                      ND 0210000C  83          1972</t>
        </is>
      </c>
      <c r="D181" t="inlineStr">
        <is>
          <t>The American West : painters from Catlin to Russell / Larry Curry ; with a foreword by Archibald Hanna.</t>
        </is>
      </c>
      <c r="F181" t="inlineStr">
        <is>
          <t>No</t>
        </is>
      </c>
      <c r="G181" t="inlineStr">
        <is>
          <t>1</t>
        </is>
      </c>
      <c r="H181" t="inlineStr">
        <is>
          <t>No</t>
        </is>
      </c>
      <c r="I181" t="inlineStr">
        <is>
          <t>No</t>
        </is>
      </c>
      <c r="J181" t="inlineStr">
        <is>
          <t>0</t>
        </is>
      </c>
      <c r="K181" t="inlineStr">
        <is>
          <t>Curry, Larry.</t>
        </is>
      </c>
      <c r="L181" t="inlineStr">
        <is>
          <t>[New York] : Viking Press, [1972]</t>
        </is>
      </c>
      <c r="M181" t="inlineStr">
        <is>
          <t>1972</t>
        </is>
      </c>
      <c r="O181" t="inlineStr">
        <is>
          <t>eng</t>
        </is>
      </c>
      <c r="P181" t="inlineStr">
        <is>
          <t>nyu</t>
        </is>
      </c>
      <c r="R181" t="inlineStr">
        <is>
          <t xml:space="preserve">ND </t>
        </is>
      </c>
      <c r="S181" t="n">
        <v>1</v>
      </c>
      <c r="T181" t="n">
        <v>1</v>
      </c>
      <c r="U181" t="inlineStr">
        <is>
          <t>2006-03-13</t>
        </is>
      </c>
      <c r="V181" t="inlineStr">
        <is>
          <t>2006-03-13</t>
        </is>
      </c>
      <c r="W181" t="inlineStr">
        <is>
          <t>2006-03-13</t>
        </is>
      </c>
      <c r="X181" t="inlineStr">
        <is>
          <t>2006-03-13</t>
        </is>
      </c>
      <c r="Y181" t="n">
        <v>972</v>
      </c>
      <c r="Z181" t="n">
        <v>913</v>
      </c>
      <c r="AA181" t="n">
        <v>921</v>
      </c>
      <c r="AB181" t="n">
        <v>11</v>
      </c>
      <c r="AC181" t="n">
        <v>11</v>
      </c>
      <c r="AD181" t="n">
        <v>23</v>
      </c>
      <c r="AE181" t="n">
        <v>23</v>
      </c>
      <c r="AF181" t="n">
        <v>9</v>
      </c>
      <c r="AG181" t="n">
        <v>9</v>
      </c>
      <c r="AH181" t="n">
        <v>4</v>
      </c>
      <c r="AI181" t="n">
        <v>4</v>
      </c>
      <c r="AJ181" t="n">
        <v>9</v>
      </c>
      <c r="AK181" t="n">
        <v>9</v>
      </c>
      <c r="AL181" t="n">
        <v>6</v>
      </c>
      <c r="AM181" t="n">
        <v>6</v>
      </c>
      <c r="AN181" t="n">
        <v>0</v>
      </c>
      <c r="AO181" t="n">
        <v>0</v>
      </c>
      <c r="AP181" t="inlineStr">
        <is>
          <t>No</t>
        </is>
      </c>
      <c r="AQ181" t="inlineStr">
        <is>
          <t>Yes</t>
        </is>
      </c>
      <c r="AR181">
        <f>HYPERLINK("http://catalog.hathitrust.org/Record/000347010","HathiTrust Record")</f>
        <v/>
      </c>
      <c r="AS181">
        <f>HYPERLINK("https://creighton-primo.hosted.exlibrisgroup.com/primo-explore/search?tab=default_tab&amp;search_scope=EVERYTHING&amp;vid=01CRU&amp;lang=en_US&amp;offset=0&amp;query=any,contains,991004764389702656","Catalog Record")</f>
        <v/>
      </c>
      <c r="AT181">
        <f>HYPERLINK("http://www.worldcat.org/oclc/482209","WorldCat Record")</f>
        <v/>
      </c>
      <c r="AU181" t="inlineStr">
        <is>
          <t>1810855142:eng</t>
        </is>
      </c>
      <c r="AV181" t="inlineStr">
        <is>
          <t>482209</t>
        </is>
      </c>
      <c r="AW181" t="inlineStr">
        <is>
          <t>991004764389702656</t>
        </is>
      </c>
      <c r="AX181" t="inlineStr">
        <is>
          <t>991004764389702656</t>
        </is>
      </c>
      <c r="AY181" t="inlineStr">
        <is>
          <t>2258976070002656</t>
        </is>
      </c>
      <c r="AZ181" t="inlineStr">
        <is>
          <t>BOOK</t>
        </is>
      </c>
      <c r="BB181" t="inlineStr">
        <is>
          <t>9780289703236</t>
        </is>
      </c>
      <c r="BC181" t="inlineStr">
        <is>
          <t>32285005164644</t>
        </is>
      </c>
      <c r="BD181" t="inlineStr">
        <is>
          <t>893876554</t>
        </is>
      </c>
    </row>
    <row r="182">
      <c r="A182" t="inlineStr">
        <is>
          <t>No</t>
        </is>
      </c>
      <c r="B182" t="inlineStr">
        <is>
          <t>ND210 .F55 1970</t>
        </is>
      </c>
      <c r="C182" t="inlineStr">
        <is>
          <t>0                      ND 0210000F  55          1970</t>
        </is>
      </c>
      <c r="D182" t="inlineStr">
        <is>
          <t>Nineteenth century American painting.</t>
        </is>
      </c>
      <c r="F182" t="inlineStr">
        <is>
          <t>No</t>
        </is>
      </c>
      <c r="G182" t="inlineStr">
        <is>
          <t>1</t>
        </is>
      </c>
      <c r="H182" t="inlineStr">
        <is>
          <t>No</t>
        </is>
      </c>
      <c r="I182" t="inlineStr">
        <is>
          <t>No</t>
        </is>
      </c>
      <c r="J182" t="inlineStr">
        <is>
          <t>0</t>
        </is>
      </c>
      <c r="K182" t="inlineStr">
        <is>
          <t>Flexner, James Thomas, 1908-2003.</t>
        </is>
      </c>
      <c r="L182" t="inlineStr">
        <is>
          <t>New York : Putnam, [1970]</t>
        </is>
      </c>
      <c r="M182" t="inlineStr">
        <is>
          <t>1970</t>
        </is>
      </c>
      <c r="N182" t="inlineStr">
        <is>
          <t>[1st ed.]</t>
        </is>
      </c>
      <c r="O182" t="inlineStr">
        <is>
          <t>eng</t>
        </is>
      </c>
      <c r="P182" t="inlineStr">
        <is>
          <t>nyu</t>
        </is>
      </c>
      <c r="R182" t="inlineStr">
        <is>
          <t xml:space="preserve">ND </t>
        </is>
      </c>
      <c r="S182" t="n">
        <v>4</v>
      </c>
      <c r="T182" t="n">
        <v>4</v>
      </c>
      <c r="U182" t="inlineStr">
        <is>
          <t>1996-12-01</t>
        </is>
      </c>
      <c r="V182" t="inlineStr">
        <is>
          <t>1996-12-01</t>
        </is>
      </c>
      <c r="W182" t="inlineStr">
        <is>
          <t>1991-12-10</t>
        </is>
      </c>
      <c r="X182" t="inlineStr">
        <is>
          <t>1991-12-10</t>
        </is>
      </c>
      <c r="Y182" t="n">
        <v>1095</v>
      </c>
      <c r="Z182" t="n">
        <v>1040</v>
      </c>
      <c r="AA182" t="n">
        <v>1048</v>
      </c>
      <c r="AB182" t="n">
        <v>7</v>
      </c>
      <c r="AC182" t="n">
        <v>7</v>
      </c>
      <c r="AD182" t="n">
        <v>34</v>
      </c>
      <c r="AE182" t="n">
        <v>34</v>
      </c>
      <c r="AF182" t="n">
        <v>12</v>
      </c>
      <c r="AG182" t="n">
        <v>12</v>
      </c>
      <c r="AH182" t="n">
        <v>8</v>
      </c>
      <c r="AI182" t="n">
        <v>8</v>
      </c>
      <c r="AJ182" t="n">
        <v>15</v>
      </c>
      <c r="AK182" t="n">
        <v>15</v>
      </c>
      <c r="AL182" t="n">
        <v>5</v>
      </c>
      <c r="AM182" t="n">
        <v>5</v>
      </c>
      <c r="AN182" t="n">
        <v>0</v>
      </c>
      <c r="AO182" t="n">
        <v>0</v>
      </c>
      <c r="AP182" t="inlineStr">
        <is>
          <t>No</t>
        </is>
      </c>
      <c r="AQ182" t="inlineStr">
        <is>
          <t>Yes</t>
        </is>
      </c>
      <c r="AR182">
        <f>HYPERLINK("http://catalog.hathitrust.org/Record/000347007","HathiTrust Record")</f>
        <v/>
      </c>
      <c r="AS182">
        <f>HYPERLINK("https://creighton-primo.hosted.exlibrisgroup.com/primo-explore/search?tab=default_tab&amp;search_scope=EVERYTHING&amp;vid=01CRU&amp;lang=en_US&amp;offset=0&amp;query=any,contains,991000906149702656","Catalog Record")</f>
        <v/>
      </c>
      <c r="AT182">
        <f>HYPERLINK("http://www.worldcat.org/oclc/157237","WorldCat Record")</f>
        <v/>
      </c>
      <c r="AU182" t="inlineStr">
        <is>
          <t>1193077:eng</t>
        </is>
      </c>
      <c r="AV182" t="inlineStr">
        <is>
          <t>157237</t>
        </is>
      </c>
      <c r="AW182" t="inlineStr">
        <is>
          <t>991000906149702656</t>
        </is>
      </c>
      <c r="AX182" t="inlineStr">
        <is>
          <t>991000906149702656</t>
        </is>
      </c>
      <c r="AY182" t="inlineStr">
        <is>
          <t>2255670630002656</t>
        </is>
      </c>
      <c r="AZ182" t="inlineStr">
        <is>
          <t>BOOK</t>
        </is>
      </c>
      <c r="BC182" t="inlineStr">
        <is>
          <t>32285000849116</t>
        </is>
      </c>
      <c r="BD182" t="inlineStr">
        <is>
          <t>893321471</t>
        </is>
      </c>
    </row>
    <row r="183">
      <c r="A183" t="inlineStr">
        <is>
          <t>No</t>
        </is>
      </c>
      <c r="B183" t="inlineStr">
        <is>
          <t>ND210 .F6</t>
        </is>
      </c>
      <c r="C183" t="inlineStr">
        <is>
          <t>0                      ND 0210000F  6</t>
        </is>
      </c>
      <c r="D183" t="inlineStr">
        <is>
          <t>That wilder image; the painting of America's native school from Thomas Cole to Winslow Homer.</t>
        </is>
      </c>
      <c r="F183" t="inlineStr">
        <is>
          <t>No</t>
        </is>
      </c>
      <c r="G183" t="inlineStr">
        <is>
          <t>1</t>
        </is>
      </c>
      <c r="H183" t="inlineStr">
        <is>
          <t>No</t>
        </is>
      </c>
      <c r="I183" t="inlineStr">
        <is>
          <t>No</t>
        </is>
      </c>
      <c r="J183" t="inlineStr">
        <is>
          <t>0</t>
        </is>
      </c>
      <c r="K183" t="inlineStr">
        <is>
          <t>Flexner, James Thomas, 1908-2003.</t>
        </is>
      </c>
      <c r="L183" t="inlineStr">
        <is>
          <t>Boston, Little, Brown [1962]</t>
        </is>
      </c>
      <c r="M183" t="inlineStr">
        <is>
          <t>1962</t>
        </is>
      </c>
      <c r="N183" t="inlineStr">
        <is>
          <t>[1st ed.]</t>
        </is>
      </c>
      <c r="O183" t="inlineStr">
        <is>
          <t>eng</t>
        </is>
      </c>
      <c r="P183" t="inlineStr">
        <is>
          <t>mau</t>
        </is>
      </c>
      <c r="R183" t="inlineStr">
        <is>
          <t xml:space="preserve">ND </t>
        </is>
      </c>
      <c r="S183" t="n">
        <v>2</v>
      </c>
      <c r="T183" t="n">
        <v>2</v>
      </c>
      <c r="U183" t="inlineStr">
        <is>
          <t>2000-03-23</t>
        </is>
      </c>
      <c r="V183" t="inlineStr">
        <is>
          <t>2000-03-23</t>
        </is>
      </c>
      <c r="W183" t="inlineStr">
        <is>
          <t>1997-07-21</t>
        </is>
      </c>
      <c r="X183" t="inlineStr">
        <is>
          <t>1997-07-21</t>
        </is>
      </c>
      <c r="Y183" t="n">
        <v>1019</v>
      </c>
      <c r="Z183" t="n">
        <v>951</v>
      </c>
      <c r="AA183" t="n">
        <v>1359</v>
      </c>
      <c r="AB183" t="n">
        <v>10</v>
      </c>
      <c r="AC183" t="n">
        <v>11</v>
      </c>
      <c r="AD183" t="n">
        <v>33</v>
      </c>
      <c r="AE183" t="n">
        <v>42</v>
      </c>
      <c r="AF183" t="n">
        <v>12</v>
      </c>
      <c r="AG183" t="n">
        <v>18</v>
      </c>
      <c r="AH183" t="n">
        <v>6</v>
      </c>
      <c r="AI183" t="n">
        <v>7</v>
      </c>
      <c r="AJ183" t="n">
        <v>13</v>
      </c>
      <c r="AK183" t="n">
        <v>18</v>
      </c>
      <c r="AL183" t="n">
        <v>8</v>
      </c>
      <c r="AM183" t="n">
        <v>9</v>
      </c>
      <c r="AN183" t="n">
        <v>0</v>
      </c>
      <c r="AO183" t="n">
        <v>0</v>
      </c>
      <c r="AP183" t="inlineStr">
        <is>
          <t>No</t>
        </is>
      </c>
      <c r="AQ183" t="inlineStr">
        <is>
          <t>No</t>
        </is>
      </c>
      <c r="AR183">
        <f>HYPERLINK("http://catalog.hathitrust.org/Record/000347329","HathiTrust Record")</f>
        <v/>
      </c>
      <c r="AS183">
        <f>HYPERLINK("https://creighton-primo.hosted.exlibrisgroup.com/primo-explore/search?tab=default_tab&amp;search_scope=EVERYTHING&amp;vid=01CRU&amp;lang=en_US&amp;offset=0&amp;query=any,contains,991002901659702656","Catalog Record")</f>
        <v/>
      </c>
      <c r="AT183">
        <f>HYPERLINK("http://www.worldcat.org/oclc/517576","WorldCat Record")</f>
        <v/>
      </c>
      <c r="AU183" t="inlineStr">
        <is>
          <t>1150896018:eng</t>
        </is>
      </c>
      <c r="AV183" t="inlineStr">
        <is>
          <t>517576</t>
        </is>
      </c>
      <c r="AW183" t="inlineStr">
        <is>
          <t>991002901659702656</t>
        </is>
      </c>
      <c r="AX183" t="inlineStr">
        <is>
          <t>991002901659702656</t>
        </is>
      </c>
      <c r="AY183" t="inlineStr">
        <is>
          <t>2255096780002656</t>
        </is>
      </c>
      <c r="AZ183" t="inlineStr">
        <is>
          <t>BOOK</t>
        </is>
      </c>
      <c r="BC183" t="inlineStr">
        <is>
          <t>32285002966272</t>
        </is>
      </c>
      <c r="BD183" t="inlineStr">
        <is>
          <t>893710824</t>
        </is>
      </c>
    </row>
    <row r="184">
      <c r="A184" t="inlineStr">
        <is>
          <t>No</t>
        </is>
      </c>
      <c r="B184" t="inlineStr">
        <is>
          <t>ND210 .L83 1994</t>
        </is>
      </c>
      <c r="C184" t="inlineStr">
        <is>
          <t>0                      ND 0210000L  83          1994</t>
        </is>
      </c>
      <c r="D184" t="inlineStr">
        <is>
          <t>Picturing a nation : art and social change in nineteenth-century America / David M. Lubin.</t>
        </is>
      </c>
      <c r="F184" t="inlineStr">
        <is>
          <t>No</t>
        </is>
      </c>
      <c r="G184" t="inlineStr">
        <is>
          <t>1</t>
        </is>
      </c>
      <c r="H184" t="inlineStr">
        <is>
          <t>No</t>
        </is>
      </c>
      <c r="I184" t="inlineStr">
        <is>
          <t>No</t>
        </is>
      </c>
      <c r="J184" t="inlineStr">
        <is>
          <t>0</t>
        </is>
      </c>
      <c r="K184" t="inlineStr">
        <is>
          <t>Lubin, David M.</t>
        </is>
      </c>
      <c r="L184" t="inlineStr">
        <is>
          <t>New Haven : Yale University Press, c1994.</t>
        </is>
      </c>
      <c r="M184" t="inlineStr">
        <is>
          <t>1994</t>
        </is>
      </c>
      <c r="O184" t="inlineStr">
        <is>
          <t>eng</t>
        </is>
      </c>
      <c r="P184" t="inlineStr">
        <is>
          <t>ctu</t>
        </is>
      </c>
      <c r="R184" t="inlineStr">
        <is>
          <t xml:space="preserve">ND </t>
        </is>
      </c>
      <c r="S184" t="n">
        <v>2</v>
      </c>
      <c r="T184" t="n">
        <v>2</v>
      </c>
      <c r="U184" t="inlineStr">
        <is>
          <t>1995-01-18</t>
        </is>
      </c>
      <c r="V184" t="inlineStr">
        <is>
          <t>1995-01-18</t>
        </is>
      </c>
      <c r="W184" t="inlineStr">
        <is>
          <t>1994-12-15</t>
        </is>
      </c>
      <c r="X184" t="inlineStr">
        <is>
          <t>1994-12-15</t>
        </is>
      </c>
      <c r="Y184" t="n">
        <v>959</v>
      </c>
      <c r="Z184" t="n">
        <v>838</v>
      </c>
      <c r="AA184" t="n">
        <v>844</v>
      </c>
      <c r="AB184" t="n">
        <v>4</v>
      </c>
      <c r="AC184" t="n">
        <v>4</v>
      </c>
      <c r="AD184" t="n">
        <v>34</v>
      </c>
      <c r="AE184" t="n">
        <v>34</v>
      </c>
      <c r="AF184" t="n">
        <v>17</v>
      </c>
      <c r="AG184" t="n">
        <v>17</v>
      </c>
      <c r="AH184" t="n">
        <v>8</v>
      </c>
      <c r="AI184" t="n">
        <v>8</v>
      </c>
      <c r="AJ184" t="n">
        <v>18</v>
      </c>
      <c r="AK184" t="n">
        <v>18</v>
      </c>
      <c r="AL184" t="n">
        <v>2</v>
      </c>
      <c r="AM184" t="n">
        <v>2</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HYPERLINK("https://creighton-primo.hosted.exlibrisgroup.com/primo-explore/search?tab=default_tab&amp;search_scope=EVERYTHING&amp;vid=01CRU&amp;lang=en_US&amp;offset=0&amp;query=any,contains,991002173159702656","Catalog Record")</f>
        <v/>
      </c>
      <c r="AT184">
        <f>HYPERLINK("http://www.worldcat.org/oclc/27974828","WorldCat Record")</f>
        <v/>
      </c>
      <c r="AU184" t="inlineStr">
        <is>
          <t>836739511:eng</t>
        </is>
      </c>
      <c r="AV184" t="inlineStr">
        <is>
          <t>27974828</t>
        </is>
      </c>
      <c r="AW184" t="inlineStr">
        <is>
          <t>991002173159702656</t>
        </is>
      </c>
      <c r="AX184" t="inlineStr">
        <is>
          <t>991002173159702656</t>
        </is>
      </c>
      <c r="AY184" t="inlineStr">
        <is>
          <t>2261951120002656</t>
        </is>
      </c>
      <c r="AZ184" t="inlineStr">
        <is>
          <t>BOOK</t>
        </is>
      </c>
      <c r="BB184" t="inlineStr">
        <is>
          <t>9780300057324</t>
        </is>
      </c>
      <c r="BC184" t="inlineStr">
        <is>
          <t>32285001977684</t>
        </is>
      </c>
      <c r="BD184" t="inlineStr">
        <is>
          <t>893873192</t>
        </is>
      </c>
    </row>
    <row r="185">
      <c r="A185" t="inlineStr">
        <is>
          <t>No</t>
        </is>
      </c>
      <c r="B185" t="inlineStr">
        <is>
          <t>ND210.5.I4 B68</t>
        </is>
      </c>
      <c r="C185" t="inlineStr">
        <is>
          <t>0                      ND 0210500I  4                  B  68</t>
        </is>
      </c>
      <c r="D185" t="inlineStr">
        <is>
          <t>American impressionism / Richard J. Boyle.</t>
        </is>
      </c>
      <c r="F185" t="inlineStr">
        <is>
          <t>No</t>
        </is>
      </c>
      <c r="G185" t="inlineStr">
        <is>
          <t>1</t>
        </is>
      </c>
      <c r="H185" t="inlineStr">
        <is>
          <t>No</t>
        </is>
      </c>
      <c r="I185" t="inlineStr">
        <is>
          <t>No</t>
        </is>
      </c>
      <c r="J185" t="inlineStr">
        <is>
          <t>0</t>
        </is>
      </c>
      <c r="K185" t="inlineStr">
        <is>
          <t>Boyle, Richard J.</t>
        </is>
      </c>
      <c r="L185" t="inlineStr">
        <is>
          <t>Boston : New York Graphic Society, 1974.</t>
        </is>
      </c>
      <c r="M185" t="inlineStr">
        <is>
          <t>1974</t>
        </is>
      </c>
      <c r="O185" t="inlineStr">
        <is>
          <t>eng</t>
        </is>
      </c>
      <c r="P185" t="inlineStr">
        <is>
          <t>mau</t>
        </is>
      </c>
      <c r="R185" t="inlineStr">
        <is>
          <t xml:space="preserve">ND </t>
        </is>
      </c>
      <c r="S185" t="n">
        <v>6</v>
      </c>
      <c r="T185" t="n">
        <v>6</v>
      </c>
      <c r="U185" t="inlineStr">
        <is>
          <t>1999-04-12</t>
        </is>
      </c>
      <c r="V185" t="inlineStr">
        <is>
          <t>1999-04-12</t>
        </is>
      </c>
      <c r="W185" t="inlineStr">
        <is>
          <t>1993-12-15</t>
        </is>
      </c>
      <c r="X185" t="inlineStr">
        <is>
          <t>1993-12-15</t>
        </is>
      </c>
      <c r="Y185" t="n">
        <v>1360</v>
      </c>
      <c r="Z185" t="n">
        <v>1232</v>
      </c>
      <c r="AA185" t="n">
        <v>1359</v>
      </c>
      <c r="AB185" t="n">
        <v>8</v>
      </c>
      <c r="AC185" t="n">
        <v>8</v>
      </c>
      <c r="AD185" t="n">
        <v>38</v>
      </c>
      <c r="AE185" t="n">
        <v>40</v>
      </c>
      <c r="AF185" t="n">
        <v>16</v>
      </c>
      <c r="AG185" t="n">
        <v>16</v>
      </c>
      <c r="AH185" t="n">
        <v>7</v>
      </c>
      <c r="AI185" t="n">
        <v>8</v>
      </c>
      <c r="AJ185" t="n">
        <v>17</v>
      </c>
      <c r="AK185" t="n">
        <v>19</v>
      </c>
      <c r="AL185" t="n">
        <v>5</v>
      </c>
      <c r="AM185" t="n">
        <v>5</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HYPERLINK("https://creighton-primo.hosted.exlibrisgroup.com/primo-explore/search?tab=default_tab&amp;search_scope=EVERYTHING&amp;vid=01CRU&amp;lang=en_US&amp;offset=0&amp;query=any,contains,991003614039702656","Catalog Record")</f>
        <v/>
      </c>
      <c r="AT185">
        <f>HYPERLINK("http://www.worldcat.org/oclc/1196633","WorldCat Record")</f>
        <v/>
      </c>
      <c r="AU185" t="inlineStr">
        <is>
          <t>485134:eng</t>
        </is>
      </c>
      <c r="AV185" t="inlineStr">
        <is>
          <t>1196633</t>
        </is>
      </c>
      <c r="AW185" t="inlineStr">
        <is>
          <t>991003614039702656</t>
        </is>
      </c>
      <c r="AX185" t="inlineStr">
        <is>
          <t>991003614039702656</t>
        </is>
      </c>
      <c r="AY185" t="inlineStr">
        <is>
          <t>2261785620002656</t>
        </is>
      </c>
      <c r="AZ185" t="inlineStr">
        <is>
          <t>BOOK</t>
        </is>
      </c>
      <c r="BB185" t="inlineStr">
        <is>
          <t>9780821205976</t>
        </is>
      </c>
      <c r="BC185" t="inlineStr">
        <is>
          <t>32285001808996</t>
        </is>
      </c>
      <c r="BD185" t="inlineStr">
        <is>
          <t>893505766</t>
        </is>
      </c>
    </row>
    <row r="186">
      <c r="A186" t="inlineStr">
        <is>
          <t>No</t>
        </is>
      </c>
      <c r="B186" t="inlineStr">
        <is>
          <t>ND210.5.I4 G474 1984</t>
        </is>
      </c>
      <c r="C186" t="inlineStr">
        <is>
          <t>0                      ND 0210500I  4                  G  474         1984</t>
        </is>
      </c>
      <c r="D186" t="inlineStr">
        <is>
          <t>American impressionism / William H. Gerdts.</t>
        </is>
      </c>
      <c r="F186" t="inlineStr">
        <is>
          <t>No</t>
        </is>
      </c>
      <c r="G186" t="inlineStr">
        <is>
          <t>1</t>
        </is>
      </c>
      <c r="H186" t="inlineStr">
        <is>
          <t>No</t>
        </is>
      </c>
      <c r="I186" t="inlineStr">
        <is>
          <t>No</t>
        </is>
      </c>
      <c r="J186" t="inlineStr">
        <is>
          <t>0</t>
        </is>
      </c>
      <c r="K186" t="inlineStr">
        <is>
          <t>Gerdts, William H.</t>
        </is>
      </c>
      <c r="L186" t="inlineStr">
        <is>
          <t>New York : Abbeville Press, c1984.</t>
        </is>
      </c>
      <c r="M186" t="inlineStr">
        <is>
          <t>1984</t>
        </is>
      </c>
      <c r="N186" t="inlineStr">
        <is>
          <t>1st ed.</t>
        </is>
      </c>
      <c r="O186" t="inlineStr">
        <is>
          <t>eng</t>
        </is>
      </c>
      <c r="P186" t="inlineStr">
        <is>
          <t>nyu</t>
        </is>
      </c>
      <c r="R186" t="inlineStr">
        <is>
          <t xml:space="preserve">ND </t>
        </is>
      </c>
      <c r="S186" t="n">
        <v>15</v>
      </c>
      <c r="T186" t="n">
        <v>15</v>
      </c>
      <c r="U186" t="inlineStr">
        <is>
          <t>1999-04-12</t>
        </is>
      </c>
      <c r="V186" t="inlineStr">
        <is>
          <t>1999-04-12</t>
        </is>
      </c>
      <c r="W186" t="inlineStr">
        <is>
          <t>1993-04-27</t>
        </is>
      </c>
      <c r="X186" t="inlineStr">
        <is>
          <t>1993-04-27</t>
        </is>
      </c>
      <c r="Y186" t="n">
        <v>1528</v>
      </c>
      <c r="Z186" t="n">
        <v>1413</v>
      </c>
      <c r="AA186" t="n">
        <v>1456</v>
      </c>
      <c r="AB186" t="n">
        <v>10</v>
      </c>
      <c r="AC186" t="n">
        <v>10</v>
      </c>
      <c r="AD186" t="n">
        <v>40</v>
      </c>
      <c r="AE186" t="n">
        <v>40</v>
      </c>
      <c r="AF186" t="n">
        <v>18</v>
      </c>
      <c r="AG186" t="n">
        <v>18</v>
      </c>
      <c r="AH186" t="n">
        <v>8</v>
      </c>
      <c r="AI186" t="n">
        <v>8</v>
      </c>
      <c r="AJ186" t="n">
        <v>16</v>
      </c>
      <c r="AK186" t="n">
        <v>16</v>
      </c>
      <c r="AL186" t="n">
        <v>7</v>
      </c>
      <c r="AM186" t="n">
        <v>7</v>
      </c>
      <c r="AN186" t="n">
        <v>0</v>
      </c>
      <c r="AO186" t="n">
        <v>0</v>
      </c>
      <c r="AP186" t="inlineStr">
        <is>
          <t>No</t>
        </is>
      </c>
      <c r="AQ186" t="inlineStr">
        <is>
          <t>Yes</t>
        </is>
      </c>
      <c r="AR186">
        <f>HYPERLINK("http://catalog.hathitrust.org/Record/000600779","HathiTrust Record")</f>
        <v/>
      </c>
      <c r="AS186">
        <f>HYPERLINK("https://creighton-primo.hosted.exlibrisgroup.com/primo-explore/search?tab=default_tab&amp;search_scope=EVERYTHING&amp;vid=01CRU&amp;lang=en_US&amp;offset=0&amp;query=any,contains,991000407189702656","Catalog Record")</f>
        <v/>
      </c>
      <c r="AT186">
        <f>HYPERLINK("http://www.worldcat.org/oclc/10695230","WorldCat Record")</f>
        <v/>
      </c>
      <c r="AU186" t="inlineStr">
        <is>
          <t>3397381:eng</t>
        </is>
      </c>
      <c r="AV186" t="inlineStr">
        <is>
          <t>10695230</t>
        </is>
      </c>
      <c r="AW186" t="inlineStr">
        <is>
          <t>991000407189702656</t>
        </is>
      </c>
      <c r="AX186" t="inlineStr">
        <is>
          <t>991000407189702656</t>
        </is>
      </c>
      <c r="AY186" t="inlineStr">
        <is>
          <t>2267034860002656</t>
        </is>
      </c>
      <c r="AZ186" t="inlineStr">
        <is>
          <t>BOOK</t>
        </is>
      </c>
      <c r="BB186" t="inlineStr">
        <is>
          <t>9780896594517</t>
        </is>
      </c>
      <c r="BC186" t="inlineStr">
        <is>
          <t>32285001627685</t>
        </is>
      </c>
      <c r="BD186" t="inlineStr">
        <is>
          <t>893231084</t>
        </is>
      </c>
    </row>
    <row r="187">
      <c r="A187" t="inlineStr">
        <is>
          <t>No</t>
        </is>
      </c>
      <c r="B187" t="inlineStr">
        <is>
          <t>ND210.5.I4 G4745 2003</t>
        </is>
      </c>
      <c r="C187" t="inlineStr">
        <is>
          <t>0                      ND 0210500I  4                  G  4745        2003</t>
        </is>
      </c>
      <c r="D187" t="inlineStr">
        <is>
          <t>The golden age of American impressionism / by William H. Gerdts ; with essays by Carol Lowrey.</t>
        </is>
      </c>
      <c r="F187" t="inlineStr">
        <is>
          <t>No</t>
        </is>
      </c>
      <c r="G187" t="inlineStr">
        <is>
          <t>1</t>
        </is>
      </c>
      <c r="H187" t="inlineStr">
        <is>
          <t>No</t>
        </is>
      </c>
      <c r="I187" t="inlineStr">
        <is>
          <t>No</t>
        </is>
      </c>
      <c r="J187" t="inlineStr">
        <is>
          <t>0</t>
        </is>
      </c>
      <c r="K187" t="inlineStr">
        <is>
          <t>Gerdts, William H.</t>
        </is>
      </c>
      <c r="L187" t="inlineStr">
        <is>
          <t>New York, N.Y. : Watson-Guptill Publications, 2003.</t>
        </is>
      </c>
      <c r="M187" t="inlineStr">
        <is>
          <t>2003</t>
        </is>
      </c>
      <c r="O187" t="inlineStr">
        <is>
          <t>eng</t>
        </is>
      </c>
      <c r="P187" t="inlineStr">
        <is>
          <t>nyu</t>
        </is>
      </c>
      <c r="R187" t="inlineStr">
        <is>
          <t xml:space="preserve">ND </t>
        </is>
      </c>
      <c r="S187" t="n">
        <v>1</v>
      </c>
      <c r="T187" t="n">
        <v>1</v>
      </c>
      <c r="U187" t="inlineStr">
        <is>
          <t>2004-05-19</t>
        </is>
      </c>
      <c r="V187" t="inlineStr">
        <is>
          <t>2004-05-19</t>
        </is>
      </c>
      <c r="W187" t="inlineStr">
        <is>
          <t>2004-05-19</t>
        </is>
      </c>
      <c r="X187" t="inlineStr">
        <is>
          <t>2004-05-19</t>
        </is>
      </c>
      <c r="Y187" t="n">
        <v>647</v>
      </c>
      <c r="Z187" t="n">
        <v>585</v>
      </c>
      <c r="AA187" t="n">
        <v>586</v>
      </c>
      <c r="AB187" t="n">
        <v>3</v>
      </c>
      <c r="AC187" t="n">
        <v>3</v>
      </c>
      <c r="AD187" t="n">
        <v>15</v>
      </c>
      <c r="AE187" t="n">
        <v>15</v>
      </c>
      <c r="AF187" t="n">
        <v>6</v>
      </c>
      <c r="AG187" t="n">
        <v>6</v>
      </c>
      <c r="AH187" t="n">
        <v>5</v>
      </c>
      <c r="AI187" t="n">
        <v>5</v>
      </c>
      <c r="AJ187" t="n">
        <v>4</v>
      </c>
      <c r="AK187" t="n">
        <v>4</v>
      </c>
      <c r="AL187" t="n">
        <v>2</v>
      </c>
      <c r="AM187" t="n">
        <v>2</v>
      </c>
      <c r="AN187" t="n">
        <v>0</v>
      </c>
      <c r="AO187" t="n">
        <v>0</v>
      </c>
      <c r="AP187" t="inlineStr">
        <is>
          <t>No</t>
        </is>
      </c>
      <c r="AQ187" t="inlineStr">
        <is>
          <t>Yes</t>
        </is>
      </c>
      <c r="AR187">
        <f>HYPERLINK("http://catalog.hathitrust.org/Record/004352926","HathiTrust Record")</f>
        <v/>
      </c>
      <c r="AS187">
        <f>HYPERLINK("https://creighton-primo.hosted.exlibrisgroup.com/primo-explore/search?tab=default_tab&amp;search_scope=EVERYTHING&amp;vid=01CRU&amp;lang=en_US&amp;offset=0&amp;query=any,contains,991004261609702656","Catalog Record")</f>
        <v/>
      </c>
      <c r="AT187">
        <f>HYPERLINK("http://www.worldcat.org/oclc/52271402","WorldCat Record")</f>
        <v/>
      </c>
      <c r="AU187" t="inlineStr">
        <is>
          <t>714543:eng</t>
        </is>
      </c>
      <c r="AV187" t="inlineStr">
        <is>
          <t>52271402</t>
        </is>
      </c>
      <c r="AW187" t="inlineStr">
        <is>
          <t>991004261609702656</t>
        </is>
      </c>
      <c r="AX187" t="inlineStr">
        <is>
          <t>991004261609702656</t>
        </is>
      </c>
      <c r="AY187" t="inlineStr">
        <is>
          <t>2271523820002656</t>
        </is>
      </c>
      <c r="AZ187" t="inlineStr">
        <is>
          <t>BOOK</t>
        </is>
      </c>
      <c r="BB187" t="inlineStr">
        <is>
          <t>9780823020935</t>
        </is>
      </c>
      <c r="BC187" t="inlineStr">
        <is>
          <t>32285004906714</t>
        </is>
      </c>
      <c r="BD187" t="inlineStr">
        <is>
          <t>893782036</t>
        </is>
      </c>
    </row>
    <row r="188">
      <c r="A188" t="inlineStr">
        <is>
          <t>No</t>
        </is>
      </c>
      <c r="B188" t="inlineStr">
        <is>
          <t>ND210.5.I4 H6</t>
        </is>
      </c>
      <c r="C188" t="inlineStr">
        <is>
          <t>0                      ND 0210500I  4                  H  6</t>
        </is>
      </c>
      <c r="D188" t="inlineStr">
        <is>
          <t>The American impressionists / by Donelson F. Hoopes.</t>
        </is>
      </c>
      <c r="F188" t="inlineStr">
        <is>
          <t>No</t>
        </is>
      </c>
      <c r="G188" t="inlineStr">
        <is>
          <t>1</t>
        </is>
      </c>
      <c r="H188" t="inlineStr">
        <is>
          <t>No</t>
        </is>
      </c>
      <c r="I188" t="inlineStr">
        <is>
          <t>No</t>
        </is>
      </c>
      <c r="J188" t="inlineStr">
        <is>
          <t>0</t>
        </is>
      </c>
      <c r="K188" t="inlineStr">
        <is>
          <t>Hoopes, Donelson F.</t>
        </is>
      </c>
      <c r="L188" t="inlineStr">
        <is>
          <t>New York : Watson-Guptill Publications, 1972.</t>
        </is>
      </c>
      <c r="M188" t="inlineStr">
        <is>
          <t>1972</t>
        </is>
      </c>
      <c r="O188" t="inlineStr">
        <is>
          <t>eng</t>
        </is>
      </c>
      <c r="P188" t="inlineStr">
        <is>
          <t>nyu</t>
        </is>
      </c>
      <c r="R188" t="inlineStr">
        <is>
          <t xml:space="preserve">ND </t>
        </is>
      </c>
      <c r="S188" t="n">
        <v>15</v>
      </c>
      <c r="T188" t="n">
        <v>15</v>
      </c>
      <c r="U188" t="inlineStr">
        <is>
          <t>1999-04-12</t>
        </is>
      </c>
      <c r="V188" t="inlineStr">
        <is>
          <t>1999-04-12</t>
        </is>
      </c>
      <c r="W188" t="inlineStr">
        <is>
          <t>1992-05-06</t>
        </is>
      </c>
      <c r="X188" t="inlineStr">
        <is>
          <t>1992-05-06</t>
        </is>
      </c>
      <c r="Y188" t="n">
        <v>1608</v>
      </c>
      <c r="Z188" t="n">
        <v>1500</v>
      </c>
      <c r="AA188" t="n">
        <v>1510</v>
      </c>
      <c r="AB188" t="n">
        <v>11</v>
      </c>
      <c r="AC188" t="n">
        <v>11</v>
      </c>
      <c r="AD188" t="n">
        <v>36</v>
      </c>
      <c r="AE188" t="n">
        <v>36</v>
      </c>
      <c r="AF188" t="n">
        <v>15</v>
      </c>
      <c r="AG188" t="n">
        <v>15</v>
      </c>
      <c r="AH188" t="n">
        <v>5</v>
      </c>
      <c r="AI188" t="n">
        <v>5</v>
      </c>
      <c r="AJ188" t="n">
        <v>16</v>
      </c>
      <c r="AK188" t="n">
        <v>16</v>
      </c>
      <c r="AL188" t="n">
        <v>6</v>
      </c>
      <c r="AM188" t="n">
        <v>6</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HYPERLINK("https://creighton-primo.hosted.exlibrisgroup.com/primo-explore/search?tab=default_tab&amp;search_scope=EVERYTHING&amp;vid=01CRU&amp;lang=en_US&amp;offset=0&amp;query=any,contains,991002394719702656","Catalog Record")</f>
        <v/>
      </c>
      <c r="AT188">
        <f>HYPERLINK("http://www.worldcat.org/oclc/334060","WorldCat Record")</f>
        <v/>
      </c>
      <c r="AU188" t="inlineStr">
        <is>
          <t>1446195:eng</t>
        </is>
      </c>
      <c r="AV188" t="inlineStr">
        <is>
          <t>334060</t>
        </is>
      </c>
      <c r="AW188" t="inlineStr">
        <is>
          <t>991002394719702656</t>
        </is>
      </c>
      <c r="AX188" t="inlineStr">
        <is>
          <t>991002394719702656</t>
        </is>
      </c>
      <c r="AY188" t="inlineStr">
        <is>
          <t>2257605440002656</t>
        </is>
      </c>
      <c r="AZ188" t="inlineStr">
        <is>
          <t>BOOK</t>
        </is>
      </c>
      <c r="BB188" t="inlineStr">
        <is>
          <t>9780823002122</t>
        </is>
      </c>
      <c r="BC188" t="inlineStr">
        <is>
          <t>32285001120970</t>
        </is>
      </c>
      <c r="BD188" t="inlineStr">
        <is>
          <t>893697716</t>
        </is>
      </c>
    </row>
    <row r="189">
      <c r="A189" t="inlineStr">
        <is>
          <t>No</t>
        </is>
      </c>
      <c r="B189" t="inlineStr">
        <is>
          <t>ND210.5.I4 P5</t>
        </is>
      </c>
      <c r="C189" t="inlineStr">
        <is>
          <t>0                      ND 0210500I  4                  P  5</t>
        </is>
      </c>
      <c r="D189" t="inlineStr">
        <is>
          <t>The ten : Frank W. Benson, Joseph R. DeCamp, Thomas W. Dewing, Childe Hassam, Willard L. Metcalf, Robert Reid, Edward Simmons, Edmund C. Tarbell, John H. Twachtman, J. Alden Weir and William Merritt Chase (who replaced Twachtman, 1902) / written by Patricia Jobe Pierce ; introduction, Richard H. Love.</t>
        </is>
      </c>
      <c r="F189" t="inlineStr">
        <is>
          <t>No</t>
        </is>
      </c>
      <c r="G189" t="inlineStr">
        <is>
          <t>1</t>
        </is>
      </c>
      <c r="H189" t="inlineStr">
        <is>
          <t>No</t>
        </is>
      </c>
      <c r="I189" t="inlineStr">
        <is>
          <t>No</t>
        </is>
      </c>
      <c r="J189" t="inlineStr">
        <is>
          <t>0</t>
        </is>
      </c>
      <c r="K189" t="inlineStr">
        <is>
          <t>Pierce, Patricia Jobe.</t>
        </is>
      </c>
      <c r="L189" t="inlineStr">
        <is>
          <t>Concord, N.H. : Rumford Press ; North Abington, Mass. : distributed by Pierce Galleries, 1976.</t>
        </is>
      </c>
      <c r="M189" t="inlineStr">
        <is>
          <t>1976</t>
        </is>
      </c>
      <c r="O189" t="inlineStr">
        <is>
          <t>eng</t>
        </is>
      </c>
      <c r="P189" t="inlineStr">
        <is>
          <t>nhu</t>
        </is>
      </c>
      <c r="R189" t="inlineStr">
        <is>
          <t xml:space="preserve">ND </t>
        </is>
      </c>
      <c r="S189" t="n">
        <v>8</v>
      </c>
      <c r="T189" t="n">
        <v>8</v>
      </c>
      <c r="U189" t="inlineStr">
        <is>
          <t>1997-04-29</t>
        </is>
      </c>
      <c r="V189" t="inlineStr">
        <is>
          <t>1997-04-29</t>
        </is>
      </c>
      <c r="W189" t="inlineStr">
        <is>
          <t>1990-03-26</t>
        </is>
      </c>
      <c r="X189" t="inlineStr">
        <is>
          <t>1990-03-26</t>
        </is>
      </c>
      <c r="Y189" t="n">
        <v>302</v>
      </c>
      <c r="Z189" t="n">
        <v>287</v>
      </c>
      <c r="AA189" t="n">
        <v>289</v>
      </c>
      <c r="AB189" t="n">
        <v>3</v>
      </c>
      <c r="AC189" t="n">
        <v>3</v>
      </c>
      <c r="AD189" t="n">
        <v>8</v>
      </c>
      <c r="AE189" t="n">
        <v>8</v>
      </c>
      <c r="AF189" t="n">
        <v>3</v>
      </c>
      <c r="AG189" t="n">
        <v>3</v>
      </c>
      <c r="AH189" t="n">
        <v>0</v>
      </c>
      <c r="AI189" t="n">
        <v>0</v>
      </c>
      <c r="AJ189" t="n">
        <v>5</v>
      </c>
      <c r="AK189" t="n">
        <v>5</v>
      </c>
      <c r="AL189" t="n">
        <v>2</v>
      </c>
      <c r="AM189" t="n">
        <v>2</v>
      </c>
      <c r="AN189" t="n">
        <v>0</v>
      </c>
      <c r="AO189" t="n">
        <v>0</v>
      </c>
      <c r="AP189" t="inlineStr">
        <is>
          <t>No</t>
        </is>
      </c>
      <c r="AQ189" t="inlineStr">
        <is>
          <t>Yes</t>
        </is>
      </c>
      <c r="AR189">
        <f>HYPERLINK("http://catalog.hathitrust.org/Record/008511139","HathiTrust Record")</f>
        <v/>
      </c>
      <c r="AS189">
        <f>HYPERLINK("https://creighton-primo.hosted.exlibrisgroup.com/primo-explore/search?tab=default_tab&amp;search_scope=EVERYTHING&amp;vid=01CRU&amp;lang=en_US&amp;offset=0&amp;query=any,contains,991004243699702656","Catalog Record")</f>
        <v/>
      </c>
      <c r="AT189">
        <f>HYPERLINK("http://www.worldcat.org/oclc/2797400","WorldCat Record")</f>
        <v/>
      </c>
      <c r="AU189" t="inlineStr">
        <is>
          <t>6337161:eng</t>
        </is>
      </c>
      <c r="AV189" t="inlineStr">
        <is>
          <t>2797400</t>
        </is>
      </c>
      <c r="AW189" t="inlineStr">
        <is>
          <t>991004243699702656</t>
        </is>
      </c>
      <c r="AX189" t="inlineStr">
        <is>
          <t>991004243699702656</t>
        </is>
      </c>
      <c r="AY189" t="inlineStr">
        <is>
          <t>2265779430002656</t>
        </is>
      </c>
      <c r="AZ189" t="inlineStr">
        <is>
          <t>BOOK</t>
        </is>
      </c>
      <c r="BC189" t="inlineStr">
        <is>
          <t>32285000096213</t>
        </is>
      </c>
      <c r="BD189" t="inlineStr">
        <is>
          <t>893882239</t>
        </is>
      </c>
    </row>
    <row r="190">
      <c r="A190" t="inlineStr">
        <is>
          <t>No</t>
        </is>
      </c>
      <c r="B190" t="inlineStr">
        <is>
          <t>ND210.5.R4 Y68 1981</t>
        </is>
      </c>
      <c r="C190" t="inlineStr">
        <is>
          <t>0                      ND 0210500R  4                  Y  68          1981</t>
        </is>
      </c>
      <c r="D190" t="inlineStr">
        <is>
          <t>American realists, Homer to Hopper / by Mahonri Sharp Young.</t>
        </is>
      </c>
      <c r="F190" t="inlineStr">
        <is>
          <t>No</t>
        </is>
      </c>
      <c r="G190" t="inlineStr">
        <is>
          <t>1</t>
        </is>
      </c>
      <c r="H190" t="inlineStr">
        <is>
          <t>No</t>
        </is>
      </c>
      <c r="I190" t="inlineStr">
        <is>
          <t>No</t>
        </is>
      </c>
      <c r="J190" t="inlineStr">
        <is>
          <t>0</t>
        </is>
      </c>
      <c r="K190" t="inlineStr">
        <is>
          <t>Young, Mahonri Sharp, 1911-1996.</t>
        </is>
      </c>
      <c r="L190" t="inlineStr">
        <is>
          <t>New York : Galahad Books, 1981.</t>
        </is>
      </c>
      <c r="M190" t="inlineStr">
        <is>
          <t>1981</t>
        </is>
      </c>
      <c r="O190" t="inlineStr">
        <is>
          <t>eng</t>
        </is>
      </c>
      <c r="P190" t="inlineStr">
        <is>
          <t>nyu</t>
        </is>
      </c>
      <c r="R190" t="inlineStr">
        <is>
          <t xml:space="preserve">ND </t>
        </is>
      </c>
      <c r="S190" t="n">
        <v>12</v>
      </c>
      <c r="T190" t="n">
        <v>12</v>
      </c>
      <c r="U190" t="inlineStr">
        <is>
          <t>2001-05-03</t>
        </is>
      </c>
      <c r="V190" t="inlineStr">
        <is>
          <t>2001-05-03</t>
        </is>
      </c>
      <c r="W190" t="inlineStr">
        <is>
          <t>1992-01-17</t>
        </is>
      </c>
      <c r="X190" t="inlineStr">
        <is>
          <t>1992-01-17</t>
        </is>
      </c>
      <c r="Y190" t="n">
        <v>300</v>
      </c>
      <c r="Z190" t="n">
        <v>280</v>
      </c>
      <c r="AA190" t="n">
        <v>825</v>
      </c>
      <c r="AB190" t="n">
        <v>3</v>
      </c>
      <c r="AC190" t="n">
        <v>5</v>
      </c>
      <c r="AD190" t="n">
        <v>9</v>
      </c>
      <c r="AE190" t="n">
        <v>20</v>
      </c>
      <c r="AF190" t="n">
        <v>3</v>
      </c>
      <c r="AG190" t="n">
        <v>5</v>
      </c>
      <c r="AH190" t="n">
        <v>1</v>
      </c>
      <c r="AI190" t="n">
        <v>5</v>
      </c>
      <c r="AJ190" t="n">
        <v>4</v>
      </c>
      <c r="AK190" t="n">
        <v>11</v>
      </c>
      <c r="AL190" t="n">
        <v>1</v>
      </c>
      <c r="AM190" t="n">
        <v>3</v>
      </c>
      <c r="AN190" t="n">
        <v>0</v>
      </c>
      <c r="AO190" t="n">
        <v>0</v>
      </c>
      <c r="AP190" t="inlineStr">
        <is>
          <t>No</t>
        </is>
      </c>
      <c r="AQ190" t="inlineStr">
        <is>
          <t>Yes</t>
        </is>
      </c>
      <c r="AR190">
        <f>HYPERLINK("http://catalog.hathitrust.org/Record/004504026","HathiTrust Record")</f>
        <v/>
      </c>
      <c r="AS190">
        <f>HYPERLINK("https://creighton-primo.hosted.exlibrisgroup.com/primo-explore/search?tab=default_tab&amp;search_scope=EVERYTHING&amp;vid=01CRU&amp;lang=en_US&amp;offset=0&amp;query=any,contains,991005215079702656","Catalog Record")</f>
        <v/>
      </c>
      <c r="AT190">
        <f>HYPERLINK("http://www.worldcat.org/oclc/8178905","WorldCat Record")</f>
        <v/>
      </c>
      <c r="AU190" t="inlineStr">
        <is>
          <t>53599079:eng</t>
        </is>
      </c>
      <c r="AV190" t="inlineStr">
        <is>
          <t>8178905</t>
        </is>
      </c>
      <c r="AW190" t="inlineStr">
        <is>
          <t>991005215079702656</t>
        </is>
      </c>
      <c r="AX190" t="inlineStr">
        <is>
          <t>991005215079702656</t>
        </is>
      </c>
      <c r="AY190" t="inlineStr">
        <is>
          <t>2255085520002656</t>
        </is>
      </c>
      <c r="AZ190" t="inlineStr">
        <is>
          <t>BOOK</t>
        </is>
      </c>
      <c r="BB190" t="inlineStr">
        <is>
          <t>9780883655603</t>
        </is>
      </c>
      <c r="BC190" t="inlineStr">
        <is>
          <t>32285000915347</t>
        </is>
      </c>
      <c r="BD190" t="inlineStr">
        <is>
          <t>893514243</t>
        </is>
      </c>
    </row>
    <row r="191">
      <c r="A191" t="inlineStr">
        <is>
          <t>No</t>
        </is>
      </c>
      <c r="B191" t="inlineStr">
        <is>
          <t>ND212 .B28</t>
        </is>
      </c>
      <c r="C191" t="inlineStr">
        <is>
          <t>0                      ND 0212000B  28</t>
        </is>
      </c>
      <c r="D191" t="inlineStr">
        <is>
          <t>The American scene : American painting of the 1930's.</t>
        </is>
      </c>
      <c r="F191" t="inlineStr">
        <is>
          <t>No</t>
        </is>
      </c>
      <c r="G191" t="inlineStr">
        <is>
          <t>1</t>
        </is>
      </c>
      <c r="H191" t="inlineStr">
        <is>
          <t>No</t>
        </is>
      </c>
      <c r="I191" t="inlineStr">
        <is>
          <t>No</t>
        </is>
      </c>
      <c r="J191" t="inlineStr">
        <is>
          <t>0</t>
        </is>
      </c>
      <c r="K191" t="inlineStr">
        <is>
          <t>Baigell, Matthew.</t>
        </is>
      </c>
      <c r="L191" t="inlineStr">
        <is>
          <t>New York : Praeger, [1974]</t>
        </is>
      </c>
      <c r="M191" t="inlineStr">
        <is>
          <t>1974</t>
        </is>
      </c>
      <c r="O191" t="inlineStr">
        <is>
          <t>eng</t>
        </is>
      </c>
      <c r="P191" t="inlineStr">
        <is>
          <t>nyu</t>
        </is>
      </c>
      <c r="Q191" t="inlineStr">
        <is>
          <t>American art &amp; artists</t>
        </is>
      </c>
      <c r="R191" t="inlineStr">
        <is>
          <t xml:space="preserve">ND </t>
        </is>
      </c>
      <c r="S191" t="n">
        <v>5</v>
      </c>
      <c r="T191" t="n">
        <v>5</v>
      </c>
      <c r="U191" t="inlineStr">
        <is>
          <t>1994-09-12</t>
        </is>
      </c>
      <c r="V191" t="inlineStr">
        <is>
          <t>1994-09-12</t>
        </is>
      </c>
      <c r="W191" t="inlineStr">
        <is>
          <t>1991-04-09</t>
        </is>
      </c>
      <c r="X191" t="inlineStr">
        <is>
          <t>1991-04-09</t>
        </is>
      </c>
      <c r="Y191" t="n">
        <v>1288</v>
      </c>
      <c r="Z191" t="n">
        <v>1184</v>
      </c>
      <c r="AA191" t="n">
        <v>1190</v>
      </c>
      <c r="AB191" t="n">
        <v>9</v>
      </c>
      <c r="AC191" t="n">
        <v>9</v>
      </c>
      <c r="AD191" t="n">
        <v>34</v>
      </c>
      <c r="AE191" t="n">
        <v>34</v>
      </c>
      <c r="AF191" t="n">
        <v>13</v>
      </c>
      <c r="AG191" t="n">
        <v>13</v>
      </c>
      <c r="AH191" t="n">
        <v>6</v>
      </c>
      <c r="AI191" t="n">
        <v>6</v>
      </c>
      <c r="AJ191" t="n">
        <v>17</v>
      </c>
      <c r="AK191" t="n">
        <v>17</v>
      </c>
      <c r="AL191" t="n">
        <v>6</v>
      </c>
      <c r="AM191" t="n">
        <v>6</v>
      </c>
      <c r="AN191" t="n">
        <v>0</v>
      </c>
      <c r="AO191" t="n">
        <v>0</v>
      </c>
      <c r="AP191" t="inlineStr">
        <is>
          <t>No</t>
        </is>
      </c>
      <c r="AQ191" t="inlineStr">
        <is>
          <t>Yes</t>
        </is>
      </c>
      <c r="AR191">
        <f>HYPERLINK("http://catalog.hathitrust.org/Record/000013820","HathiTrust Record")</f>
        <v/>
      </c>
      <c r="AS191">
        <f>HYPERLINK("https://creighton-primo.hosted.exlibrisgroup.com/primo-explore/search?tab=default_tab&amp;search_scope=EVERYTHING&amp;vid=01CRU&amp;lang=en_US&amp;offset=0&amp;query=any,contains,991003352589702656","Catalog Record")</f>
        <v/>
      </c>
      <c r="AT191">
        <f>HYPERLINK("http://www.worldcat.org/oclc/886103","WorldCat Record")</f>
        <v/>
      </c>
      <c r="AU191" t="inlineStr">
        <is>
          <t>1865469:eng</t>
        </is>
      </c>
      <c r="AV191" t="inlineStr">
        <is>
          <t>886103</t>
        </is>
      </c>
      <c r="AW191" t="inlineStr">
        <is>
          <t>991003352589702656</t>
        </is>
      </c>
      <c r="AX191" t="inlineStr">
        <is>
          <t>991003352589702656</t>
        </is>
      </c>
      <c r="AY191" t="inlineStr">
        <is>
          <t>2257264690002656</t>
        </is>
      </c>
      <c r="AZ191" t="inlineStr">
        <is>
          <t>BOOK</t>
        </is>
      </c>
      <c r="BB191" t="inlineStr">
        <is>
          <t>9780275466206</t>
        </is>
      </c>
      <c r="BC191" t="inlineStr">
        <is>
          <t>32285000550672</t>
        </is>
      </c>
      <c r="BD191" t="inlineStr">
        <is>
          <t>893518408</t>
        </is>
      </c>
    </row>
    <row r="192">
      <c r="A192" t="inlineStr">
        <is>
          <t>No</t>
        </is>
      </c>
      <c r="B192" t="inlineStr">
        <is>
          <t>ND212 .N395 1969</t>
        </is>
      </c>
      <c r="C192" t="inlineStr">
        <is>
          <t>0                      ND 0212000N  395         1969</t>
        </is>
      </c>
      <c r="D192" t="inlineStr">
        <is>
          <t>Abstract painting and sculpture in America / by Andrew Carnduff Ritchie.</t>
        </is>
      </c>
      <c r="F192" t="inlineStr">
        <is>
          <t>No</t>
        </is>
      </c>
      <c r="G192" t="inlineStr">
        <is>
          <t>1</t>
        </is>
      </c>
      <c r="H192" t="inlineStr">
        <is>
          <t>No</t>
        </is>
      </c>
      <c r="I192" t="inlineStr">
        <is>
          <t>No</t>
        </is>
      </c>
      <c r="J192" t="inlineStr">
        <is>
          <t>0</t>
        </is>
      </c>
      <c r="K192" t="inlineStr">
        <is>
          <t>Museum of Modern Art (New York, N.Y.)</t>
        </is>
      </c>
      <c r="L192" t="inlineStr">
        <is>
          <t>[New York] : Published for the Museum of Modern Art by Arno Press, 1969 [c1951]</t>
        </is>
      </c>
      <c r="M192" t="inlineStr">
        <is>
          <t>1969</t>
        </is>
      </c>
      <c r="N192" t="inlineStr">
        <is>
          <t>Reprint ed.</t>
        </is>
      </c>
      <c r="O192" t="inlineStr">
        <is>
          <t>eng</t>
        </is>
      </c>
      <c r="P192" t="inlineStr">
        <is>
          <t>nyu</t>
        </is>
      </c>
      <c r="R192" t="inlineStr">
        <is>
          <t xml:space="preserve">ND </t>
        </is>
      </c>
      <c r="S192" t="n">
        <v>8</v>
      </c>
      <c r="T192" t="n">
        <v>8</v>
      </c>
      <c r="U192" t="inlineStr">
        <is>
          <t>2010-02-01</t>
        </is>
      </c>
      <c r="V192" t="inlineStr">
        <is>
          <t>2010-02-01</t>
        </is>
      </c>
      <c r="W192" t="inlineStr">
        <is>
          <t>1990-04-02</t>
        </is>
      </c>
      <c r="X192" t="inlineStr">
        <is>
          <t>1990-04-02</t>
        </is>
      </c>
      <c r="Y192" t="n">
        <v>365</v>
      </c>
      <c r="Z192" t="n">
        <v>311</v>
      </c>
      <c r="AA192" t="n">
        <v>313</v>
      </c>
      <c r="AB192" t="n">
        <v>3</v>
      </c>
      <c r="AC192" t="n">
        <v>3</v>
      </c>
      <c r="AD192" t="n">
        <v>14</v>
      </c>
      <c r="AE192" t="n">
        <v>14</v>
      </c>
      <c r="AF192" t="n">
        <v>4</v>
      </c>
      <c r="AG192" t="n">
        <v>4</v>
      </c>
      <c r="AH192" t="n">
        <v>4</v>
      </c>
      <c r="AI192" t="n">
        <v>4</v>
      </c>
      <c r="AJ192" t="n">
        <v>8</v>
      </c>
      <c r="AK192" t="n">
        <v>8</v>
      </c>
      <c r="AL192" t="n">
        <v>2</v>
      </c>
      <c r="AM192" t="n">
        <v>2</v>
      </c>
      <c r="AN192" t="n">
        <v>0</v>
      </c>
      <c r="AO192" t="n">
        <v>0</v>
      </c>
      <c r="AP192" t="inlineStr">
        <is>
          <t>No</t>
        </is>
      </c>
      <c r="AQ192" t="inlineStr">
        <is>
          <t>Yes</t>
        </is>
      </c>
      <c r="AR192">
        <f>HYPERLINK("http://catalog.hathitrust.org/Record/004504033","HathiTrust Record")</f>
        <v/>
      </c>
      <c r="AS192">
        <f>HYPERLINK("https://creighton-primo.hosted.exlibrisgroup.com/primo-explore/search?tab=default_tab&amp;search_scope=EVERYTHING&amp;vid=01CRU&amp;lang=en_US&amp;offset=0&amp;query=any,contains,991000519789702656","Catalog Record")</f>
        <v/>
      </c>
      <c r="AT192">
        <f>HYPERLINK("http://www.worldcat.org/oclc/87583","WorldCat Record")</f>
        <v/>
      </c>
      <c r="AU192" t="inlineStr">
        <is>
          <t>5620908743:eng</t>
        </is>
      </c>
      <c r="AV192" t="inlineStr">
        <is>
          <t>87583</t>
        </is>
      </c>
      <c r="AW192" t="inlineStr">
        <is>
          <t>991000519789702656</t>
        </is>
      </c>
      <c r="AX192" t="inlineStr">
        <is>
          <t>991000519789702656</t>
        </is>
      </c>
      <c r="AY192" t="inlineStr">
        <is>
          <t>2268859350002656</t>
        </is>
      </c>
      <c r="AZ192" t="inlineStr">
        <is>
          <t>BOOK</t>
        </is>
      </c>
      <c r="BC192" t="inlineStr">
        <is>
          <t>32285000100213</t>
        </is>
      </c>
      <c r="BD192" t="inlineStr">
        <is>
          <t>893607986</t>
        </is>
      </c>
    </row>
    <row r="193">
      <c r="A193" t="inlineStr">
        <is>
          <t>No</t>
        </is>
      </c>
      <c r="B193" t="inlineStr">
        <is>
          <t>ND212 .R38 1996</t>
        </is>
      </c>
      <c r="C193" t="inlineStr">
        <is>
          <t>0                      ND 0212000R  38          1996</t>
        </is>
      </c>
      <c r="D193" t="inlineStr">
        <is>
          <t>The fate of a gesture : Jackson Pollock and post-war American art / Carter Ratcliff.</t>
        </is>
      </c>
      <c r="F193" t="inlineStr">
        <is>
          <t>No</t>
        </is>
      </c>
      <c r="G193" t="inlineStr">
        <is>
          <t>1</t>
        </is>
      </c>
      <c r="H193" t="inlineStr">
        <is>
          <t>No</t>
        </is>
      </c>
      <c r="I193" t="inlineStr">
        <is>
          <t>No</t>
        </is>
      </c>
      <c r="J193" t="inlineStr">
        <is>
          <t>0</t>
        </is>
      </c>
      <c r="K193" t="inlineStr">
        <is>
          <t>Ratcliff, Carter.</t>
        </is>
      </c>
      <c r="L193" t="inlineStr">
        <is>
          <t>New York : Farrar, Straus, Giroux, 1996.</t>
        </is>
      </c>
      <c r="M193" t="inlineStr">
        <is>
          <t>1996</t>
        </is>
      </c>
      <c r="N193" t="inlineStr">
        <is>
          <t>1st ed.</t>
        </is>
      </c>
      <c r="O193" t="inlineStr">
        <is>
          <t>eng</t>
        </is>
      </c>
      <c r="P193" t="inlineStr">
        <is>
          <t>nyu</t>
        </is>
      </c>
      <c r="R193" t="inlineStr">
        <is>
          <t xml:space="preserve">ND </t>
        </is>
      </c>
      <c r="S193" t="n">
        <v>15</v>
      </c>
      <c r="T193" t="n">
        <v>15</v>
      </c>
      <c r="U193" t="inlineStr">
        <is>
          <t>2009-02-26</t>
        </is>
      </c>
      <c r="V193" t="inlineStr">
        <is>
          <t>2009-02-26</t>
        </is>
      </c>
      <c r="W193" t="inlineStr">
        <is>
          <t>1997-03-21</t>
        </is>
      </c>
      <c r="X193" t="inlineStr">
        <is>
          <t>1997-03-21</t>
        </is>
      </c>
      <c r="Y193" t="n">
        <v>675</v>
      </c>
      <c r="Z193" t="n">
        <v>596</v>
      </c>
      <c r="AA193" t="n">
        <v>683</v>
      </c>
      <c r="AB193" t="n">
        <v>8</v>
      </c>
      <c r="AC193" t="n">
        <v>8</v>
      </c>
      <c r="AD193" t="n">
        <v>20</v>
      </c>
      <c r="AE193" t="n">
        <v>22</v>
      </c>
      <c r="AF193" t="n">
        <v>6</v>
      </c>
      <c r="AG193" t="n">
        <v>8</v>
      </c>
      <c r="AH193" t="n">
        <v>5</v>
      </c>
      <c r="AI193" t="n">
        <v>5</v>
      </c>
      <c r="AJ193" t="n">
        <v>9</v>
      </c>
      <c r="AK193" t="n">
        <v>10</v>
      </c>
      <c r="AL193" t="n">
        <v>4</v>
      </c>
      <c r="AM193" t="n">
        <v>4</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HYPERLINK("https://creighton-primo.hosted.exlibrisgroup.com/primo-explore/search?tab=default_tab&amp;search_scope=EVERYTHING&amp;vid=01CRU&amp;lang=en_US&amp;offset=0&amp;query=any,contains,991002475089702656","Catalog Record")</f>
        <v/>
      </c>
      <c r="AT193">
        <f>HYPERLINK("http://www.worldcat.org/oclc/32236025","WorldCat Record")</f>
        <v/>
      </c>
      <c r="AU193" t="inlineStr">
        <is>
          <t>2758145:eng</t>
        </is>
      </c>
      <c r="AV193" t="inlineStr">
        <is>
          <t>32236025</t>
        </is>
      </c>
      <c r="AW193" t="inlineStr">
        <is>
          <t>991002475089702656</t>
        </is>
      </c>
      <c r="AX193" t="inlineStr">
        <is>
          <t>991002475089702656</t>
        </is>
      </c>
      <c r="AY193" t="inlineStr">
        <is>
          <t>2266402750002656</t>
        </is>
      </c>
      <c r="AZ193" t="inlineStr">
        <is>
          <t>BOOK</t>
        </is>
      </c>
      <c r="BB193" t="inlineStr">
        <is>
          <t>9780374153816</t>
        </is>
      </c>
      <c r="BC193" t="inlineStr">
        <is>
          <t>32285002475720</t>
        </is>
      </c>
      <c r="BD193" t="inlineStr">
        <is>
          <t>893329131</t>
        </is>
      </c>
    </row>
    <row r="194">
      <c r="A194" t="inlineStr">
        <is>
          <t>No</t>
        </is>
      </c>
      <c r="B194" t="inlineStr">
        <is>
          <t>ND212 .R62</t>
        </is>
      </c>
      <c r="C194" t="inlineStr">
        <is>
          <t>0                      ND 0212000R  62</t>
        </is>
      </c>
      <c r="D194" t="inlineStr">
        <is>
          <t>American painting: the 20th century.</t>
        </is>
      </c>
      <c r="F194" t="inlineStr">
        <is>
          <t>No</t>
        </is>
      </c>
      <c r="G194" t="inlineStr">
        <is>
          <t>1</t>
        </is>
      </c>
      <c r="H194" t="inlineStr">
        <is>
          <t>No</t>
        </is>
      </c>
      <c r="I194" t="inlineStr">
        <is>
          <t>No</t>
        </is>
      </c>
      <c r="J194" t="inlineStr">
        <is>
          <t>0</t>
        </is>
      </c>
      <c r="K194" t="inlineStr">
        <is>
          <t>Rose, Barbara.</t>
        </is>
      </c>
      <c r="L194" t="inlineStr">
        <is>
          <t>[Lausanne] SKIRA [1969]</t>
        </is>
      </c>
      <c r="M194" t="inlineStr">
        <is>
          <t>1969</t>
        </is>
      </c>
      <c r="O194" t="inlineStr">
        <is>
          <t>eng</t>
        </is>
      </c>
      <c r="P194" t="inlineStr">
        <is>
          <t xml:space="preserve">sz </t>
        </is>
      </c>
      <c r="Q194" t="inlineStr">
        <is>
          <t>Painting, color, history</t>
        </is>
      </c>
      <c r="R194" t="inlineStr">
        <is>
          <t xml:space="preserve">ND </t>
        </is>
      </c>
      <c r="S194" t="n">
        <v>1</v>
      </c>
      <c r="T194" t="n">
        <v>1</v>
      </c>
      <c r="U194" t="inlineStr">
        <is>
          <t>2001-05-03</t>
        </is>
      </c>
      <c r="V194" t="inlineStr">
        <is>
          <t>2001-05-03</t>
        </is>
      </c>
      <c r="W194" t="inlineStr">
        <is>
          <t>1997-07-23</t>
        </is>
      </c>
      <c r="X194" t="inlineStr">
        <is>
          <t>1997-07-23</t>
        </is>
      </c>
      <c r="Y194" t="n">
        <v>832</v>
      </c>
      <c r="Z194" t="n">
        <v>775</v>
      </c>
      <c r="AA194" t="n">
        <v>1207</v>
      </c>
      <c r="AB194" t="n">
        <v>3</v>
      </c>
      <c r="AC194" t="n">
        <v>6</v>
      </c>
      <c r="AD194" t="n">
        <v>25</v>
      </c>
      <c r="AE194" t="n">
        <v>33</v>
      </c>
      <c r="AF194" t="n">
        <v>12</v>
      </c>
      <c r="AG194" t="n">
        <v>15</v>
      </c>
      <c r="AH194" t="n">
        <v>7</v>
      </c>
      <c r="AI194" t="n">
        <v>8</v>
      </c>
      <c r="AJ194" t="n">
        <v>12</v>
      </c>
      <c r="AK194" t="n">
        <v>15</v>
      </c>
      <c r="AL194" t="n">
        <v>1</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HYPERLINK("https://creighton-primo.hosted.exlibrisgroup.com/primo-explore/search?tab=default_tab&amp;search_scope=EVERYTHING&amp;vid=01CRU&amp;lang=en_US&amp;offset=0&amp;query=any,contains,991000137669702656","Catalog Record")</f>
        <v/>
      </c>
      <c r="AT194">
        <f>HYPERLINK("http://www.worldcat.org/oclc/57018","WorldCat Record")</f>
        <v/>
      </c>
      <c r="AU194" t="inlineStr">
        <is>
          <t>306993236:eng</t>
        </is>
      </c>
      <c r="AV194" t="inlineStr">
        <is>
          <t>57018</t>
        </is>
      </c>
      <c r="AW194" t="inlineStr">
        <is>
          <t>991000137669702656</t>
        </is>
      </c>
      <c r="AX194" t="inlineStr">
        <is>
          <t>991000137669702656</t>
        </is>
      </c>
      <c r="AY194" t="inlineStr">
        <is>
          <t>2261600460002656</t>
        </is>
      </c>
      <c r="AZ194" t="inlineStr">
        <is>
          <t>BOOK</t>
        </is>
      </c>
      <c r="BC194" t="inlineStr">
        <is>
          <t>32285005243018</t>
        </is>
      </c>
      <c r="BD194" t="inlineStr">
        <is>
          <t>893406966</t>
        </is>
      </c>
    </row>
    <row r="195">
      <c r="A195" t="inlineStr">
        <is>
          <t>No</t>
        </is>
      </c>
      <c r="B195" t="inlineStr">
        <is>
          <t>ND212 .T5</t>
        </is>
      </c>
      <c r="C195" t="inlineStr">
        <is>
          <t>0                      ND 0212000T  5</t>
        </is>
      </c>
      <c r="D195" t="inlineStr">
        <is>
          <t>American painting, 1900-1970 / by the editors of Time-Life Books.</t>
        </is>
      </c>
      <c r="F195" t="inlineStr">
        <is>
          <t>No</t>
        </is>
      </c>
      <c r="G195" t="inlineStr">
        <is>
          <t>1</t>
        </is>
      </c>
      <c r="H195" t="inlineStr">
        <is>
          <t>No</t>
        </is>
      </c>
      <c r="I195" t="inlineStr">
        <is>
          <t>No</t>
        </is>
      </c>
      <c r="J195" t="inlineStr">
        <is>
          <t>0</t>
        </is>
      </c>
      <c r="K195" t="inlineStr">
        <is>
          <t>Time-Life Books.</t>
        </is>
      </c>
      <c r="M195" t="inlineStr">
        <is>
          <t>1970</t>
        </is>
      </c>
      <c r="O195" t="inlineStr">
        <is>
          <t>eng</t>
        </is>
      </c>
      <c r="P195" t="inlineStr">
        <is>
          <t>nyu</t>
        </is>
      </c>
      <c r="Q195" t="inlineStr">
        <is>
          <t>Time-Life library of art</t>
        </is>
      </c>
      <c r="R195" t="inlineStr">
        <is>
          <t xml:space="preserve">ND </t>
        </is>
      </c>
      <c r="S195" t="n">
        <v>8</v>
      </c>
      <c r="T195" t="n">
        <v>8</v>
      </c>
      <c r="U195" t="inlineStr">
        <is>
          <t>1997-05-04</t>
        </is>
      </c>
      <c r="V195" t="inlineStr">
        <is>
          <t>1997-05-04</t>
        </is>
      </c>
      <c r="W195" t="inlineStr">
        <is>
          <t>1992-03-17</t>
        </is>
      </c>
      <c r="X195" t="inlineStr">
        <is>
          <t>1992-03-17</t>
        </is>
      </c>
      <c r="Y195" t="n">
        <v>1947</v>
      </c>
      <c r="Z195" t="n">
        <v>1833</v>
      </c>
      <c r="AA195" t="n">
        <v>2026</v>
      </c>
      <c r="AB195" t="n">
        <v>17</v>
      </c>
      <c r="AC195" t="n">
        <v>20</v>
      </c>
      <c r="AD195" t="n">
        <v>33</v>
      </c>
      <c r="AE195" t="n">
        <v>36</v>
      </c>
      <c r="AF195" t="n">
        <v>10</v>
      </c>
      <c r="AG195" t="n">
        <v>12</v>
      </c>
      <c r="AH195" t="n">
        <v>5</v>
      </c>
      <c r="AI195" t="n">
        <v>6</v>
      </c>
      <c r="AJ195" t="n">
        <v>19</v>
      </c>
      <c r="AK195" t="n">
        <v>19</v>
      </c>
      <c r="AL195" t="n">
        <v>6</v>
      </c>
      <c r="AM195" t="n">
        <v>6</v>
      </c>
      <c r="AN195" t="n">
        <v>0</v>
      </c>
      <c r="AO195" t="n">
        <v>0</v>
      </c>
      <c r="AP195" t="inlineStr">
        <is>
          <t>No</t>
        </is>
      </c>
      <c r="AQ195" t="inlineStr">
        <is>
          <t>Yes</t>
        </is>
      </c>
      <c r="AR195">
        <f>HYPERLINK("http://catalog.hathitrust.org/Record/000812558","HathiTrust Record")</f>
        <v/>
      </c>
      <c r="AS195">
        <f>HYPERLINK("https://creighton-primo.hosted.exlibrisgroup.com/primo-explore/search?tab=default_tab&amp;search_scope=EVERYTHING&amp;vid=01CRU&amp;lang=en_US&amp;offset=0&amp;query=any,contains,991000802229702656","Catalog Record")</f>
        <v/>
      </c>
      <c r="AT195">
        <f>HYPERLINK("http://www.worldcat.org/oclc/139384","WorldCat Record")</f>
        <v/>
      </c>
      <c r="AU195" t="inlineStr">
        <is>
          <t>467306:eng</t>
        </is>
      </c>
      <c r="AV195" t="inlineStr">
        <is>
          <t>139384</t>
        </is>
      </c>
      <c r="AW195" t="inlineStr">
        <is>
          <t>991000802229702656</t>
        </is>
      </c>
      <c r="AX195" t="inlineStr">
        <is>
          <t>991000802229702656</t>
        </is>
      </c>
      <c r="AY195" t="inlineStr">
        <is>
          <t>2261100440002656</t>
        </is>
      </c>
      <c r="AZ195" t="inlineStr">
        <is>
          <t>BOOK</t>
        </is>
      </c>
      <c r="BC195" t="inlineStr">
        <is>
          <t>32285001022168</t>
        </is>
      </c>
      <c r="BD195" t="inlineStr">
        <is>
          <t>893534314</t>
        </is>
      </c>
    </row>
    <row r="196">
      <c r="A196" t="inlineStr">
        <is>
          <t>No</t>
        </is>
      </c>
      <c r="B196" t="inlineStr">
        <is>
          <t>ND212.5.A25 A45 1993</t>
        </is>
      </c>
      <c r="C196" t="inlineStr">
        <is>
          <t>0                      ND 0212500A  25                 A  45          1993</t>
        </is>
      </c>
      <c r="D196" t="inlineStr">
        <is>
          <t>American abstract expressionism / editor David Thistlewood ; critical forum coordinator Anne Macphee.</t>
        </is>
      </c>
      <c r="F196" t="inlineStr">
        <is>
          <t>No</t>
        </is>
      </c>
      <c r="G196" t="inlineStr">
        <is>
          <t>1</t>
        </is>
      </c>
      <c r="H196" t="inlineStr">
        <is>
          <t>No</t>
        </is>
      </c>
      <c r="I196" t="inlineStr">
        <is>
          <t>No</t>
        </is>
      </c>
      <c r="J196" t="inlineStr">
        <is>
          <t>0</t>
        </is>
      </c>
      <c r="L196" t="inlineStr">
        <is>
          <t>Liverpool : Liverpool University Press and Tate Gallery Liverpool, 1993.</t>
        </is>
      </c>
      <c r="M196" t="inlineStr">
        <is>
          <t>1993</t>
        </is>
      </c>
      <c r="O196" t="inlineStr">
        <is>
          <t>eng</t>
        </is>
      </c>
      <c r="P196" t="inlineStr">
        <is>
          <t>enk</t>
        </is>
      </c>
      <c r="Q196" t="inlineStr">
        <is>
          <t>Tate Gallery Liverpool critical forum ; v. 1</t>
        </is>
      </c>
      <c r="R196" t="inlineStr">
        <is>
          <t xml:space="preserve">ND </t>
        </is>
      </c>
      <c r="S196" t="n">
        <v>10</v>
      </c>
      <c r="T196" t="n">
        <v>10</v>
      </c>
      <c r="U196" t="inlineStr">
        <is>
          <t>2005-03-22</t>
        </is>
      </c>
      <c r="V196" t="inlineStr">
        <is>
          <t>2005-03-22</t>
        </is>
      </c>
      <c r="W196" t="inlineStr">
        <is>
          <t>1996-12-16</t>
        </is>
      </c>
      <c r="X196" t="inlineStr">
        <is>
          <t>1996-12-16</t>
        </is>
      </c>
      <c r="Y196" t="n">
        <v>195</v>
      </c>
      <c r="Z196" t="n">
        <v>97</v>
      </c>
      <c r="AA196" t="n">
        <v>98</v>
      </c>
      <c r="AB196" t="n">
        <v>2</v>
      </c>
      <c r="AC196" t="n">
        <v>2</v>
      </c>
      <c r="AD196" t="n">
        <v>1</v>
      </c>
      <c r="AE196" t="n">
        <v>1</v>
      </c>
      <c r="AF196" t="n">
        <v>0</v>
      </c>
      <c r="AG196" t="n">
        <v>0</v>
      </c>
      <c r="AH196" t="n">
        <v>1</v>
      </c>
      <c r="AI196" t="n">
        <v>1</v>
      </c>
      <c r="AJ196" t="n">
        <v>1</v>
      </c>
      <c r="AK196" t="n">
        <v>1</v>
      </c>
      <c r="AL196" t="n">
        <v>0</v>
      </c>
      <c r="AM196" t="n">
        <v>0</v>
      </c>
      <c r="AN196" t="n">
        <v>0</v>
      </c>
      <c r="AO196" t="n">
        <v>0</v>
      </c>
      <c r="AP196" t="inlineStr">
        <is>
          <t>No</t>
        </is>
      </c>
      <c r="AQ196" t="inlineStr">
        <is>
          <t>Yes</t>
        </is>
      </c>
      <c r="AR196">
        <f>HYPERLINK("http://catalog.hathitrust.org/Record/002912016","HathiTrust Record")</f>
        <v/>
      </c>
      <c r="AS196">
        <f>HYPERLINK("https://creighton-primo.hosted.exlibrisgroup.com/primo-explore/search?tab=default_tab&amp;search_scope=EVERYTHING&amp;vid=01CRU&amp;lang=en_US&amp;offset=0&amp;query=any,contains,991002298839702656","Catalog Record")</f>
        <v/>
      </c>
      <c r="AT196">
        <f>HYPERLINK("http://www.worldcat.org/oclc/29843852","WorldCat Record")</f>
        <v/>
      </c>
      <c r="AU196" t="inlineStr">
        <is>
          <t>32410701:eng</t>
        </is>
      </c>
      <c r="AV196" t="inlineStr">
        <is>
          <t>29843852</t>
        </is>
      </c>
      <c r="AW196" t="inlineStr">
        <is>
          <t>991002298839702656</t>
        </is>
      </c>
      <c r="AX196" t="inlineStr">
        <is>
          <t>991002298839702656</t>
        </is>
      </c>
      <c r="AY196" t="inlineStr">
        <is>
          <t>2266234110002656</t>
        </is>
      </c>
      <c r="AZ196" t="inlineStr">
        <is>
          <t>BOOK</t>
        </is>
      </c>
      <c r="BB196" t="inlineStr">
        <is>
          <t>9780853233381</t>
        </is>
      </c>
      <c r="BC196" t="inlineStr">
        <is>
          <t>32285002393352</t>
        </is>
      </c>
      <c r="BD196" t="inlineStr">
        <is>
          <t>893873345</t>
        </is>
      </c>
    </row>
    <row r="197">
      <c r="A197" t="inlineStr">
        <is>
          <t>No</t>
        </is>
      </c>
      <c r="B197" t="inlineStr">
        <is>
          <t>ND212.5.A25 C69 1982</t>
        </is>
      </c>
      <c r="C197" t="inlineStr">
        <is>
          <t>0                      ND 0212500A  25                 C  69          1982</t>
        </is>
      </c>
      <c r="D197" t="inlineStr">
        <is>
          <t>Art-as-politics : the abstract expressionist avant-garde and society / by Annette Cox.</t>
        </is>
      </c>
      <c r="F197" t="inlineStr">
        <is>
          <t>No</t>
        </is>
      </c>
      <c r="G197" t="inlineStr">
        <is>
          <t>1</t>
        </is>
      </c>
      <c r="H197" t="inlineStr">
        <is>
          <t>No</t>
        </is>
      </c>
      <c r="I197" t="inlineStr">
        <is>
          <t>No</t>
        </is>
      </c>
      <c r="J197" t="inlineStr">
        <is>
          <t>0</t>
        </is>
      </c>
      <c r="K197" t="inlineStr">
        <is>
          <t>Cox, Annette.</t>
        </is>
      </c>
      <c r="L197" t="inlineStr">
        <is>
          <t>Ann Arbor, Mich. : UMI Research Press, c1982.</t>
        </is>
      </c>
      <c r="M197" t="inlineStr">
        <is>
          <t>1982</t>
        </is>
      </c>
      <c r="O197" t="inlineStr">
        <is>
          <t>eng</t>
        </is>
      </c>
      <c r="P197" t="inlineStr">
        <is>
          <t>miu</t>
        </is>
      </c>
      <c r="Q197" t="inlineStr">
        <is>
          <t>Studies in fine arts. The avant-garde ; no. 26</t>
        </is>
      </c>
      <c r="R197" t="inlineStr">
        <is>
          <t xml:space="preserve">ND </t>
        </is>
      </c>
      <c r="S197" t="n">
        <v>8</v>
      </c>
      <c r="T197" t="n">
        <v>8</v>
      </c>
      <c r="U197" t="inlineStr">
        <is>
          <t>2004-11-29</t>
        </is>
      </c>
      <c r="V197" t="inlineStr">
        <is>
          <t>2004-11-29</t>
        </is>
      </c>
      <c r="W197" t="inlineStr">
        <is>
          <t>1993-05-20</t>
        </is>
      </c>
      <c r="X197" t="inlineStr">
        <is>
          <t>1993-05-20</t>
        </is>
      </c>
      <c r="Y197" t="n">
        <v>538</v>
      </c>
      <c r="Z197" t="n">
        <v>432</v>
      </c>
      <c r="AA197" t="n">
        <v>440</v>
      </c>
      <c r="AB197" t="n">
        <v>6</v>
      </c>
      <c r="AC197" t="n">
        <v>6</v>
      </c>
      <c r="AD197" t="n">
        <v>22</v>
      </c>
      <c r="AE197" t="n">
        <v>22</v>
      </c>
      <c r="AF197" t="n">
        <v>11</v>
      </c>
      <c r="AG197" t="n">
        <v>11</v>
      </c>
      <c r="AH197" t="n">
        <v>4</v>
      </c>
      <c r="AI197" t="n">
        <v>4</v>
      </c>
      <c r="AJ197" t="n">
        <v>9</v>
      </c>
      <c r="AK197" t="n">
        <v>9</v>
      </c>
      <c r="AL197" t="n">
        <v>4</v>
      </c>
      <c r="AM197" t="n">
        <v>4</v>
      </c>
      <c r="AN197" t="n">
        <v>0</v>
      </c>
      <c r="AO197" t="n">
        <v>0</v>
      </c>
      <c r="AP197" t="inlineStr">
        <is>
          <t>No</t>
        </is>
      </c>
      <c r="AQ197" t="inlineStr">
        <is>
          <t>Yes</t>
        </is>
      </c>
      <c r="AR197">
        <f>HYPERLINK("http://catalog.hathitrust.org/Record/000189134","HathiTrust Record")</f>
        <v/>
      </c>
      <c r="AS197">
        <f>HYPERLINK("https://creighton-primo.hosted.exlibrisgroup.com/primo-explore/search?tab=default_tab&amp;search_scope=EVERYTHING&amp;vid=01CRU&amp;lang=en_US&amp;offset=0&amp;query=any,contains,991005229239702656","Catalog Record")</f>
        <v/>
      </c>
      <c r="AT197">
        <f>HYPERLINK("http://www.worldcat.org/oclc/8306420","WorldCat Record")</f>
        <v/>
      </c>
      <c r="AU197" t="inlineStr">
        <is>
          <t>219965342:eng</t>
        </is>
      </c>
      <c r="AV197" t="inlineStr">
        <is>
          <t>8306420</t>
        </is>
      </c>
      <c r="AW197" t="inlineStr">
        <is>
          <t>991005229239702656</t>
        </is>
      </c>
      <c r="AX197" t="inlineStr">
        <is>
          <t>991005229239702656</t>
        </is>
      </c>
      <c r="AY197" t="inlineStr">
        <is>
          <t>2269229950002656</t>
        </is>
      </c>
      <c r="AZ197" t="inlineStr">
        <is>
          <t>BOOK</t>
        </is>
      </c>
      <c r="BB197" t="inlineStr">
        <is>
          <t>9780835713184</t>
        </is>
      </c>
      <c r="BC197" t="inlineStr">
        <is>
          <t>32285001691095</t>
        </is>
      </c>
      <c r="BD197" t="inlineStr">
        <is>
          <t>893795820</t>
        </is>
      </c>
    </row>
    <row r="198">
      <c r="A198" t="inlineStr">
        <is>
          <t>No</t>
        </is>
      </c>
      <c r="B198" t="inlineStr">
        <is>
          <t>ND212.5.A25 H63</t>
        </is>
      </c>
      <c r="C198" t="inlineStr">
        <is>
          <t>0                      ND 0212500A  25                 H  63</t>
        </is>
      </c>
      <c r="D198" t="inlineStr">
        <is>
          <t>Abstract expressionism, the formative years / by Robert Carleton Hobbs and Gail Levin.</t>
        </is>
      </c>
      <c r="F198" t="inlineStr">
        <is>
          <t>No</t>
        </is>
      </c>
      <c r="G198" t="inlineStr">
        <is>
          <t>1</t>
        </is>
      </c>
      <c r="H198" t="inlineStr">
        <is>
          <t>No</t>
        </is>
      </c>
      <c r="I198" t="inlineStr">
        <is>
          <t>No</t>
        </is>
      </c>
      <c r="J198" t="inlineStr">
        <is>
          <t>0</t>
        </is>
      </c>
      <c r="K198" t="inlineStr">
        <is>
          <t>Hobbs, Robert Carleton, 1946-</t>
        </is>
      </c>
      <c r="L198" t="inlineStr">
        <is>
          <t>Ithaca, N.Y. : Herbert F. Johnson Museum of Art, Cornell University, c1978.</t>
        </is>
      </c>
      <c r="M198" t="inlineStr">
        <is>
          <t>1978</t>
        </is>
      </c>
      <c r="O198" t="inlineStr">
        <is>
          <t>eng</t>
        </is>
      </c>
      <c r="P198" t="inlineStr">
        <is>
          <t>nyu</t>
        </is>
      </c>
      <c r="R198" t="inlineStr">
        <is>
          <t xml:space="preserve">ND </t>
        </is>
      </c>
      <c r="S198" t="n">
        <v>14</v>
      </c>
      <c r="T198" t="n">
        <v>14</v>
      </c>
      <c r="U198" t="inlineStr">
        <is>
          <t>2004-11-29</t>
        </is>
      </c>
      <c r="V198" t="inlineStr">
        <is>
          <t>2004-11-29</t>
        </is>
      </c>
      <c r="W198" t="inlineStr">
        <is>
          <t>1990-03-20</t>
        </is>
      </c>
      <c r="X198" t="inlineStr">
        <is>
          <t>1990-03-20</t>
        </is>
      </c>
      <c r="Y198" t="n">
        <v>298</v>
      </c>
      <c r="Z198" t="n">
        <v>258</v>
      </c>
      <c r="AA198" t="n">
        <v>263</v>
      </c>
      <c r="AB198" t="n">
        <v>3</v>
      </c>
      <c r="AC198" t="n">
        <v>3</v>
      </c>
      <c r="AD198" t="n">
        <v>7</v>
      </c>
      <c r="AE198" t="n">
        <v>7</v>
      </c>
      <c r="AF198" t="n">
        <v>1</v>
      </c>
      <c r="AG198" t="n">
        <v>1</v>
      </c>
      <c r="AH198" t="n">
        <v>3</v>
      </c>
      <c r="AI198" t="n">
        <v>3</v>
      </c>
      <c r="AJ198" t="n">
        <v>2</v>
      </c>
      <c r="AK198" t="n">
        <v>2</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HYPERLINK("https://creighton-primo.hosted.exlibrisgroup.com/primo-explore/search?tab=default_tab&amp;search_scope=EVERYTHING&amp;vid=01CRU&amp;lang=en_US&amp;offset=0&amp;query=any,contains,991004664569702656","Catalog Record")</f>
        <v/>
      </c>
      <c r="AT198">
        <f>HYPERLINK("http://www.worldcat.org/oclc/4499943","WorldCat Record")</f>
        <v/>
      </c>
      <c r="AU198" t="inlineStr">
        <is>
          <t>8421750:eng</t>
        </is>
      </c>
      <c r="AV198" t="inlineStr">
        <is>
          <t>4499943</t>
        </is>
      </c>
      <c r="AW198" t="inlineStr">
        <is>
          <t>991004664569702656</t>
        </is>
      </c>
      <c r="AX198" t="inlineStr">
        <is>
          <t>991004664569702656</t>
        </is>
      </c>
      <c r="AY198" t="inlineStr">
        <is>
          <t>2265908350002656</t>
        </is>
      </c>
      <c r="AZ198" t="inlineStr">
        <is>
          <t>BOOK</t>
        </is>
      </c>
      <c r="BB198" t="inlineStr">
        <is>
          <t>9780874270174</t>
        </is>
      </c>
      <c r="BC198" t="inlineStr">
        <is>
          <t>32285000088277</t>
        </is>
      </c>
      <c r="BD198" t="inlineStr">
        <is>
          <t>893712881</t>
        </is>
      </c>
    </row>
    <row r="199">
      <c r="A199" t="inlineStr">
        <is>
          <t>No</t>
        </is>
      </c>
      <c r="B199" t="inlineStr">
        <is>
          <t>ND212.5.A25 K56 1992</t>
        </is>
      </c>
      <c r="C199" t="inlineStr">
        <is>
          <t>0                      ND 0212500A  25                 K  56          1992</t>
        </is>
      </c>
      <c r="D199" t="inlineStr">
        <is>
          <t>The turning point : the abstract expressionists and the transformation of American art / April Kingsley.</t>
        </is>
      </c>
      <c r="F199" t="inlineStr">
        <is>
          <t>No</t>
        </is>
      </c>
      <c r="G199" t="inlineStr">
        <is>
          <t>1</t>
        </is>
      </c>
      <c r="H199" t="inlineStr">
        <is>
          <t>No</t>
        </is>
      </c>
      <c r="I199" t="inlineStr">
        <is>
          <t>No</t>
        </is>
      </c>
      <c r="J199" t="inlineStr">
        <is>
          <t>0</t>
        </is>
      </c>
      <c r="K199" t="inlineStr">
        <is>
          <t>Kingsley, April.</t>
        </is>
      </c>
      <c r="L199" t="inlineStr">
        <is>
          <t>New York : Simon &amp; Schuster, c1992.</t>
        </is>
      </c>
      <c r="M199" t="inlineStr">
        <is>
          <t>1992</t>
        </is>
      </c>
      <c r="O199" t="inlineStr">
        <is>
          <t>eng</t>
        </is>
      </c>
      <c r="P199" t="inlineStr">
        <is>
          <t>nyu</t>
        </is>
      </c>
      <c r="R199" t="inlineStr">
        <is>
          <t xml:space="preserve">ND </t>
        </is>
      </c>
      <c r="S199" t="n">
        <v>15</v>
      </c>
      <c r="T199" t="n">
        <v>15</v>
      </c>
      <c r="U199" t="inlineStr">
        <is>
          <t>2004-05-07</t>
        </is>
      </c>
      <c r="V199" t="inlineStr">
        <is>
          <t>2004-05-07</t>
        </is>
      </c>
      <c r="W199" t="inlineStr">
        <is>
          <t>1993-05-06</t>
        </is>
      </c>
      <c r="X199" t="inlineStr">
        <is>
          <t>1993-05-06</t>
        </is>
      </c>
      <c r="Y199" t="n">
        <v>726</v>
      </c>
      <c r="Z199" t="n">
        <v>649</v>
      </c>
      <c r="AA199" t="n">
        <v>654</v>
      </c>
      <c r="AB199" t="n">
        <v>4</v>
      </c>
      <c r="AC199" t="n">
        <v>4</v>
      </c>
      <c r="AD199" t="n">
        <v>25</v>
      </c>
      <c r="AE199" t="n">
        <v>25</v>
      </c>
      <c r="AF199" t="n">
        <v>8</v>
      </c>
      <c r="AG199" t="n">
        <v>8</v>
      </c>
      <c r="AH199" t="n">
        <v>6</v>
      </c>
      <c r="AI199" t="n">
        <v>6</v>
      </c>
      <c r="AJ199" t="n">
        <v>11</v>
      </c>
      <c r="AK199" t="n">
        <v>11</v>
      </c>
      <c r="AL199" t="n">
        <v>3</v>
      </c>
      <c r="AM199" t="n">
        <v>3</v>
      </c>
      <c r="AN199" t="n">
        <v>0</v>
      </c>
      <c r="AO199" t="n">
        <v>0</v>
      </c>
      <c r="AP199" t="inlineStr">
        <is>
          <t>No</t>
        </is>
      </c>
      <c r="AQ199" t="inlineStr">
        <is>
          <t>Yes</t>
        </is>
      </c>
      <c r="AR199">
        <f>HYPERLINK("http://catalog.hathitrust.org/Record/002816016","HathiTrust Record")</f>
        <v/>
      </c>
      <c r="AS199">
        <f>HYPERLINK("https://creighton-primo.hosted.exlibrisgroup.com/primo-explore/search?tab=default_tab&amp;search_scope=EVERYTHING&amp;vid=01CRU&amp;lang=en_US&amp;offset=0&amp;query=any,contains,991002023469702656","Catalog Record")</f>
        <v/>
      </c>
      <c r="AT199">
        <f>HYPERLINK("http://www.worldcat.org/oclc/25746964","WorldCat Record")</f>
        <v/>
      </c>
      <c r="AU199" t="inlineStr">
        <is>
          <t>819951692:eng</t>
        </is>
      </c>
      <c r="AV199" t="inlineStr">
        <is>
          <t>25746964</t>
        </is>
      </c>
      <c r="AW199" t="inlineStr">
        <is>
          <t>991002023469702656</t>
        </is>
      </c>
      <c r="AX199" t="inlineStr">
        <is>
          <t>991002023469702656</t>
        </is>
      </c>
      <c r="AY199" t="inlineStr">
        <is>
          <t>2269344660002656</t>
        </is>
      </c>
      <c r="AZ199" t="inlineStr">
        <is>
          <t>BOOK</t>
        </is>
      </c>
      <c r="BB199" t="inlineStr">
        <is>
          <t>9780671638573</t>
        </is>
      </c>
      <c r="BC199" t="inlineStr">
        <is>
          <t>32285001580983</t>
        </is>
      </c>
      <c r="BD199" t="inlineStr">
        <is>
          <t>893226362</t>
        </is>
      </c>
    </row>
    <row r="200">
      <c r="A200" t="inlineStr">
        <is>
          <t>No</t>
        </is>
      </c>
      <c r="B200" t="inlineStr">
        <is>
          <t>ND212.5.A25 L45 1993</t>
        </is>
      </c>
      <c r="C200" t="inlineStr">
        <is>
          <t>0                      ND 0212500A  25                 L  45          1993</t>
        </is>
      </c>
      <c r="D200" t="inlineStr">
        <is>
          <t>Reframing abstract expressionism : subjectivity and painting in the 1940s / Michael Leja.</t>
        </is>
      </c>
      <c r="F200" t="inlineStr">
        <is>
          <t>No</t>
        </is>
      </c>
      <c r="G200" t="inlineStr">
        <is>
          <t>1</t>
        </is>
      </c>
      <c r="H200" t="inlineStr">
        <is>
          <t>No</t>
        </is>
      </c>
      <c r="I200" t="inlineStr">
        <is>
          <t>No</t>
        </is>
      </c>
      <c r="J200" t="inlineStr">
        <is>
          <t>0</t>
        </is>
      </c>
      <c r="K200" t="inlineStr">
        <is>
          <t>Leja, Michael, 1951-</t>
        </is>
      </c>
      <c r="L200" t="inlineStr">
        <is>
          <t>New Haven, CT : Yale University Press, c1993.</t>
        </is>
      </c>
      <c r="M200" t="inlineStr">
        <is>
          <t>1993</t>
        </is>
      </c>
      <c r="O200" t="inlineStr">
        <is>
          <t>eng</t>
        </is>
      </c>
      <c r="P200" t="inlineStr">
        <is>
          <t>ctu</t>
        </is>
      </c>
      <c r="R200" t="inlineStr">
        <is>
          <t xml:space="preserve">ND </t>
        </is>
      </c>
      <c r="S200" t="n">
        <v>0</v>
      </c>
      <c r="T200" t="n">
        <v>0</v>
      </c>
      <c r="U200" t="inlineStr">
        <is>
          <t>2007-11-08</t>
        </is>
      </c>
      <c r="V200" t="inlineStr">
        <is>
          <t>2007-11-08</t>
        </is>
      </c>
      <c r="W200" t="inlineStr">
        <is>
          <t>2007-09-19</t>
        </is>
      </c>
      <c r="X200" t="inlineStr">
        <is>
          <t>2007-09-19</t>
        </is>
      </c>
      <c r="Y200" t="n">
        <v>887</v>
      </c>
      <c r="Z200" t="n">
        <v>701</v>
      </c>
      <c r="AA200" t="n">
        <v>713</v>
      </c>
      <c r="AB200" t="n">
        <v>6</v>
      </c>
      <c r="AC200" t="n">
        <v>6</v>
      </c>
      <c r="AD200" t="n">
        <v>34</v>
      </c>
      <c r="AE200" t="n">
        <v>34</v>
      </c>
      <c r="AF200" t="n">
        <v>16</v>
      </c>
      <c r="AG200" t="n">
        <v>16</v>
      </c>
      <c r="AH200" t="n">
        <v>7</v>
      </c>
      <c r="AI200" t="n">
        <v>7</v>
      </c>
      <c r="AJ200" t="n">
        <v>15</v>
      </c>
      <c r="AK200" t="n">
        <v>15</v>
      </c>
      <c r="AL200" t="n">
        <v>4</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HYPERLINK("https://creighton-primo.hosted.exlibrisgroup.com/primo-explore/search?tab=default_tab&amp;search_scope=EVERYTHING&amp;vid=01CRU&amp;lang=en_US&amp;offset=0&amp;query=any,contains,991005122029702656","Catalog Record")</f>
        <v/>
      </c>
      <c r="AT200">
        <f>HYPERLINK("http://www.worldcat.org/oclc/26672937","WorldCat Record")</f>
        <v/>
      </c>
      <c r="AU200" t="inlineStr">
        <is>
          <t>20437859:eng</t>
        </is>
      </c>
      <c r="AV200" t="inlineStr">
        <is>
          <t>26672937</t>
        </is>
      </c>
      <c r="AW200" t="inlineStr">
        <is>
          <t>991005122029702656</t>
        </is>
      </c>
      <c r="AX200" t="inlineStr">
        <is>
          <t>991005122029702656</t>
        </is>
      </c>
      <c r="AY200" t="inlineStr">
        <is>
          <t>2268680350002656</t>
        </is>
      </c>
      <c r="AZ200" t="inlineStr">
        <is>
          <t>BOOK</t>
        </is>
      </c>
      <c r="BB200" t="inlineStr">
        <is>
          <t>9780300044614</t>
        </is>
      </c>
      <c r="BC200" t="inlineStr">
        <is>
          <t>32285001787315</t>
        </is>
      </c>
      <c r="BD200" t="inlineStr">
        <is>
          <t>893350751</t>
        </is>
      </c>
    </row>
    <row r="201">
      <c r="A201" t="inlineStr">
        <is>
          <t>No</t>
        </is>
      </c>
      <c r="B201" t="inlineStr">
        <is>
          <t>ND212.5.A25 S2 1970</t>
        </is>
      </c>
      <c r="C201" t="inlineStr">
        <is>
          <t>0                      ND 0212500A  25                 S  2           1970</t>
        </is>
      </c>
      <c r="D201" t="inlineStr">
        <is>
          <t>The triumph of American painting : a history of abstract expressionism.</t>
        </is>
      </c>
      <c r="F201" t="inlineStr">
        <is>
          <t>No</t>
        </is>
      </c>
      <c r="G201" t="inlineStr">
        <is>
          <t>1</t>
        </is>
      </c>
      <c r="H201" t="inlineStr">
        <is>
          <t>No</t>
        </is>
      </c>
      <c r="I201" t="inlineStr">
        <is>
          <t>No</t>
        </is>
      </c>
      <c r="J201" t="inlineStr">
        <is>
          <t>0</t>
        </is>
      </c>
      <c r="K201" t="inlineStr">
        <is>
          <t>Sandler, Irving, 1925-2018.</t>
        </is>
      </c>
      <c r="L201" t="inlineStr">
        <is>
          <t>New York : Praeger Publishers, [1970]</t>
        </is>
      </c>
      <c r="M201" t="inlineStr">
        <is>
          <t>1970</t>
        </is>
      </c>
      <c r="O201" t="inlineStr">
        <is>
          <t>eng</t>
        </is>
      </c>
      <c r="P201" t="inlineStr">
        <is>
          <t>nyu</t>
        </is>
      </c>
      <c r="R201" t="inlineStr">
        <is>
          <t xml:space="preserve">ND </t>
        </is>
      </c>
      <c r="S201" t="n">
        <v>3</v>
      </c>
      <c r="T201" t="n">
        <v>3</v>
      </c>
      <c r="U201" t="inlineStr">
        <is>
          <t>2004-10-24</t>
        </is>
      </c>
      <c r="V201" t="inlineStr">
        <is>
          <t>2004-10-24</t>
        </is>
      </c>
      <c r="W201" t="inlineStr">
        <is>
          <t>1994-03-08</t>
        </is>
      </c>
      <c r="X201" t="inlineStr">
        <is>
          <t>1994-03-08</t>
        </is>
      </c>
      <c r="Y201" t="n">
        <v>1256</v>
      </c>
      <c r="Z201" t="n">
        <v>1170</v>
      </c>
      <c r="AA201" t="n">
        <v>1450</v>
      </c>
      <c r="AB201" t="n">
        <v>10</v>
      </c>
      <c r="AC201" t="n">
        <v>12</v>
      </c>
      <c r="AD201" t="n">
        <v>39</v>
      </c>
      <c r="AE201" t="n">
        <v>49</v>
      </c>
      <c r="AF201" t="n">
        <v>20</v>
      </c>
      <c r="AG201" t="n">
        <v>22</v>
      </c>
      <c r="AH201" t="n">
        <v>6</v>
      </c>
      <c r="AI201" t="n">
        <v>10</v>
      </c>
      <c r="AJ201" t="n">
        <v>18</v>
      </c>
      <c r="AK201" t="n">
        <v>22</v>
      </c>
      <c r="AL201" t="n">
        <v>6</v>
      </c>
      <c r="AM201" t="n">
        <v>8</v>
      </c>
      <c r="AN201" t="n">
        <v>0</v>
      </c>
      <c r="AO201" t="n">
        <v>0</v>
      </c>
      <c r="AP201" t="inlineStr">
        <is>
          <t>No</t>
        </is>
      </c>
      <c r="AQ201" t="inlineStr">
        <is>
          <t>Yes</t>
        </is>
      </c>
      <c r="AR201">
        <f>HYPERLINK("http://catalog.hathitrust.org/Record/000369453","HathiTrust Record")</f>
        <v/>
      </c>
      <c r="AS201">
        <f>HYPERLINK("https://creighton-primo.hosted.exlibrisgroup.com/primo-explore/search?tab=default_tab&amp;search_scope=EVERYTHING&amp;vid=01CRU&amp;lang=en_US&amp;offset=0&amp;query=any,contains,991000611359702656","Catalog Record")</f>
        <v/>
      </c>
      <c r="AT201">
        <f>HYPERLINK("http://www.worldcat.org/oclc/100557","WorldCat Record")</f>
        <v/>
      </c>
      <c r="AU201" t="inlineStr">
        <is>
          <t>404227:eng</t>
        </is>
      </c>
      <c r="AV201" t="inlineStr">
        <is>
          <t>100557</t>
        </is>
      </c>
      <c r="AW201" t="inlineStr">
        <is>
          <t>991000611359702656</t>
        </is>
      </c>
      <c r="AX201" t="inlineStr">
        <is>
          <t>991000611359702656</t>
        </is>
      </c>
      <c r="AY201" t="inlineStr">
        <is>
          <t>2258395890002656</t>
        </is>
      </c>
      <c r="AZ201" t="inlineStr">
        <is>
          <t>BOOK</t>
        </is>
      </c>
      <c r="BC201" t="inlineStr">
        <is>
          <t>32285001852614</t>
        </is>
      </c>
      <c r="BD201" t="inlineStr">
        <is>
          <t>893515431</t>
        </is>
      </c>
    </row>
    <row r="202">
      <c r="A202" t="inlineStr">
        <is>
          <t>No</t>
        </is>
      </c>
      <c r="B202" t="inlineStr">
        <is>
          <t>ND212.5.C6 C37 1974</t>
        </is>
      </c>
      <c r="C202" t="inlineStr">
        <is>
          <t>0                      ND 0212500C  6                  C  37          1974</t>
        </is>
      </c>
      <c r="D202" t="inlineStr">
        <is>
          <t>The great decade of American abstraction; modernist art 1960 to 1970 : inaugural exhibition for the Brown Pavilion, the Museum of Fine Arts, Houston, January 15-March 10, 1974 / with an introductory note by Philippe de Montebello, and text and catalogue by E. A. Carmean, Jr.</t>
        </is>
      </c>
      <c r="F202" t="inlineStr">
        <is>
          <t>No</t>
        </is>
      </c>
      <c r="G202" t="inlineStr">
        <is>
          <t>1</t>
        </is>
      </c>
      <c r="H202" t="inlineStr">
        <is>
          <t>No</t>
        </is>
      </c>
      <c r="I202" t="inlineStr">
        <is>
          <t>No</t>
        </is>
      </c>
      <c r="J202" t="inlineStr">
        <is>
          <t>0</t>
        </is>
      </c>
      <c r="K202" t="inlineStr">
        <is>
          <t>Carmean, E. A.</t>
        </is>
      </c>
      <c r="L202" t="inlineStr">
        <is>
          <t>Houston : Museum of Fine Arts, 1974.</t>
        </is>
      </c>
      <c r="M202" t="inlineStr">
        <is>
          <t>1974</t>
        </is>
      </c>
      <c r="O202" t="inlineStr">
        <is>
          <t>eng</t>
        </is>
      </c>
      <c r="P202" t="inlineStr">
        <is>
          <t>txu</t>
        </is>
      </c>
      <c r="R202" t="inlineStr">
        <is>
          <t xml:space="preserve">ND </t>
        </is>
      </c>
      <c r="S202" t="n">
        <v>4</v>
      </c>
      <c r="T202" t="n">
        <v>4</v>
      </c>
      <c r="U202" t="inlineStr">
        <is>
          <t>1993-09-08</t>
        </is>
      </c>
      <c r="V202" t="inlineStr">
        <is>
          <t>1993-09-08</t>
        </is>
      </c>
      <c r="W202" t="inlineStr">
        <is>
          <t>1993-05-20</t>
        </is>
      </c>
      <c r="X202" t="inlineStr">
        <is>
          <t>1993-05-20</t>
        </is>
      </c>
      <c r="Y202" t="n">
        <v>468</v>
      </c>
      <c r="Z202" t="n">
        <v>404</v>
      </c>
      <c r="AA202" t="n">
        <v>410</v>
      </c>
      <c r="AB202" t="n">
        <v>4</v>
      </c>
      <c r="AC202" t="n">
        <v>4</v>
      </c>
      <c r="AD202" t="n">
        <v>16</v>
      </c>
      <c r="AE202" t="n">
        <v>16</v>
      </c>
      <c r="AF202" t="n">
        <v>4</v>
      </c>
      <c r="AG202" t="n">
        <v>4</v>
      </c>
      <c r="AH202" t="n">
        <v>5</v>
      </c>
      <c r="AI202" t="n">
        <v>5</v>
      </c>
      <c r="AJ202" t="n">
        <v>8</v>
      </c>
      <c r="AK202" t="n">
        <v>8</v>
      </c>
      <c r="AL202" t="n">
        <v>2</v>
      </c>
      <c r="AM202" t="n">
        <v>2</v>
      </c>
      <c r="AN202" t="n">
        <v>0</v>
      </c>
      <c r="AO202" t="n">
        <v>0</v>
      </c>
      <c r="AP202" t="inlineStr">
        <is>
          <t>No</t>
        </is>
      </c>
      <c r="AQ202" t="inlineStr">
        <is>
          <t>Yes</t>
        </is>
      </c>
      <c r="AR202">
        <f>HYPERLINK("http://catalog.hathitrust.org/Record/000776414","HathiTrust Record")</f>
        <v/>
      </c>
      <c r="AS202">
        <f>HYPERLINK("https://creighton-primo.hosted.exlibrisgroup.com/primo-explore/search?tab=default_tab&amp;search_scope=EVERYTHING&amp;vid=01CRU&amp;lang=en_US&amp;offset=0&amp;query=any,contains,991003342659702656","Catalog Record")</f>
        <v/>
      </c>
      <c r="AT202">
        <f>HYPERLINK("http://www.worldcat.org/oclc/873942","WorldCat Record")</f>
        <v/>
      </c>
      <c r="AU202" t="inlineStr">
        <is>
          <t>1846560:eng</t>
        </is>
      </c>
      <c r="AV202" t="inlineStr">
        <is>
          <t>873942</t>
        </is>
      </c>
      <c r="AW202" t="inlineStr">
        <is>
          <t>991003342659702656</t>
        </is>
      </c>
      <c r="AX202" t="inlineStr">
        <is>
          <t>991003342659702656</t>
        </is>
      </c>
      <c r="AY202" t="inlineStr">
        <is>
          <t>2262203310002656</t>
        </is>
      </c>
      <c r="AZ202" t="inlineStr">
        <is>
          <t>BOOK</t>
        </is>
      </c>
      <c r="BC202" t="inlineStr">
        <is>
          <t>32285001691103</t>
        </is>
      </c>
      <c r="BD202" t="inlineStr">
        <is>
          <t>893717563</t>
        </is>
      </c>
    </row>
    <row r="203">
      <c r="A203" t="inlineStr">
        <is>
          <t>No</t>
        </is>
      </c>
      <c r="B203" t="inlineStr">
        <is>
          <t>ND212.5.F5 S77 1983</t>
        </is>
      </c>
      <c r="C203" t="inlineStr">
        <is>
          <t>0                      ND 0212500F  5                  S  77          1983</t>
        </is>
      </c>
      <c r="D203" t="inlineStr">
        <is>
          <t>Art of the real : nine American figurative painters / edited by Mark Strand ; foreword by Robert Hughes ; photographs by Timothy Greenfield-Sanders.</t>
        </is>
      </c>
      <c r="F203" t="inlineStr">
        <is>
          <t>No</t>
        </is>
      </c>
      <c r="G203" t="inlineStr">
        <is>
          <t>1</t>
        </is>
      </c>
      <c r="H203" t="inlineStr">
        <is>
          <t>No</t>
        </is>
      </c>
      <c r="I203" t="inlineStr">
        <is>
          <t>No</t>
        </is>
      </c>
      <c r="J203" t="inlineStr">
        <is>
          <t>0</t>
        </is>
      </c>
      <c r="K203" t="inlineStr">
        <is>
          <t>Strand, Mark, 1934-2014.</t>
        </is>
      </c>
      <c r="L203" t="inlineStr">
        <is>
          <t>New York : C.N. Potter : Distributed by Crown Publishers, 1983.</t>
        </is>
      </c>
      <c r="M203" t="inlineStr">
        <is>
          <t>1983</t>
        </is>
      </c>
      <c r="O203" t="inlineStr">
        <is>
          <t>eng</t>
        </is>
      </c>
      <c r="P203" t="inlineStr">
        <is>
          <t>nyu</t>
        </is>
      </c>
      <c r="R203" t="inlineStr">
        <is>
          <t xml:space="preserve">ND </t>
        </is>
      </c>
      <c r="S203" t="n">
        <v>7</v>
      </c>
      <c r="T203" t="n">
        <v>7</v>
      </c>
      <c r="U203" t="inlineStr">
        <is>
          <t>1997-04-18</t>
        </is>
      </c>
      <c r="V203" t="inlineStr">
        <is>
          <t>1997-04-18</t>
        </is>
      </c>
      <c r="W203" t="inlineStr">
        <is>
          <t>1992-05-29</t>
        </is>
      </c>
      <c r="X203" t="inlineStr">
        <is>
          <t>1992-05-29</t>
        </is>
      </c>
      <c r="Y203" t="n">
        <v>574</v>
      </c>
      <c r="Z203" t="n">
        <v>530</v>
      </c>
      <c r="AA203" t="n">
        <v>545</v>
      </c>
      <c r="AB203" t="n">
        <v>3</v>
      </c>
      <c r="AC203" t="n">
        <v>3</v>
      </c>
      <c r="AD203" t="n">
        <v>10</v>
      </c>
      <c r="AE203" t="n">
        <v>11</v>
      </c>
      <c r="AF203" t="n">
        <v>5</v>
      </c>
      <c r="AG203" t="n">
        <v>5</v>
      </c>
      <c r="AH203" t="n">
        <v>1</v>
      </c>
      <c r="AI203" t="n">
        <v>2</v>
      </c>
      <c r="AJ203" t="n">
        <v>5</v>
      </c>
      <c r="AK203" t="n">
        <v>6</v>
      </c>
      <c r="AL203" t="n">
        <v>2</v>
      </c>
      <c r="AM203" t="n">
        <v>2</v>
      </c>
      <c r="AN203" t="n">
        <v>0</v>
      </c>
      <c r="AO203" t="n">
        <v>0</v>
      </c>
      <c r="AP203" t="inlineStr">
        <is>
          <t>No</t>
        </is>
      </c>
      <c r="AQ203" t="inlineStr">
        <is>
          <t>Yes</t>
        </is>
      </c>
      <c r="AR203">
        <f>HYPERLINK("http://catalog.hathitrust.org/Record/000784880","HathiTrust Record")</f>
        <v/>
      </c>
      <c r="AS203">
        <f>HYPERLINK("https://creighton-primo.hosted.exlibrisgroup.com/primo-explore/search?tab=default_tab&amp;search_scope=EVERYTHING&amp;vid=01CRU&amp;lang=en_US&amp;offset=0&amp;query=any,contains,991000173049702656","Catalog Record")</f>
        <v/>
      </c>
      <c r="AT203">
        <f>HYPERLINK("http://www.worldcat.org/oclc/9325099","WorldCat Record")</f>
        <v/>
      </c>
      <c r="AU203" t="inlineStr">
        <is>
          <t>427950753:eng</t>
        </is>
      </c>
      <c r="AV203" t="inlineStr">
        <is>
          <t>9325099</t>
        </is>
      </c>
      <c r="AW203" t="inlineStr">
        <is>
          <t>991000173049702656</t>
        </is>
      </c>
      <c r="AX203" t="inlineStr">
        <is>
          <t>991000173049702656</t>
        </is>
      </c>
      <c r="AY203" t="inlineStr">
        <is>
          <t>2269961510002656</t>
        </is>
      </c>
      <c r="AZ203" t="inlineStr">
        <is>
          <t>BOOK</t>
        </is>
      </c>
      <c r="BB203" t="inlineStr">
        <is>
          <t>9780517547595</t>
        </is>
      </c>
      <c r="BC203" t="inlineStr">
        <is>
          <t>32285001114361</t>
        </is>
      </c>
      <c r="BD203" t="inlineStr">
        <is>
          <t>893508576</t>
        </is>
      </c>
    </row>
    <row r="204">
      <c r="A204" t="inlineStr">
        <is>
          <t>No</t>
        </is>
      </c>
      <c r="B204" t="inlineStr">
        <is>
          <t>ND212.5.P45 A7 1983</t>
        </is>
      </c>
      <c r="C204" t="inlineStr">
        <is>
          <t>0                      ND 0212500P  45                 A  7           1983</t>
        </is>
      </c>
      <c r="D204" t="inlineStr">
        <is>
          <t>Realists at work / by John Arthur.</t>
        </is>
      </c>
      <c r="F204" t="inlineStr">
        <is>
          <t>No</t>
        </is>
      </c>
      <c r="G204" t="inlineStr">
        <is>
          <t>1</t>
        </is>
      </c>
      <c r="H204" t="inlineStr">
        <is>
          <t>No</t>
        </is>
      </c>
      <c r="I204" t="inlineStr">
        <is>
          <t>No</t>
        </is>
      </c>
      <c r="J204" t="inlineStr">
        <is>
          <t>0</t>
        </is>
      </c>
      <c r="K204" t="inlineStr">
        <is>
          <t>Arthur, John, 1939-</t>
        </is>
      </c>
      <c r="L204" t="inlineStr">
        <is>
          <t>New York : Watson-Guptill, 1983.</t>
        </is>
      </c>
      <c r="M204" t="inlineStr">
        <is>
          <t>1983</t>
        </is>
      </c>
      <c r="O204" t="inlineStr">
        <is>
          <t>eng</t>
        </is>
      </c>
      <c r="P204" t="inlineStr">
        <is>
          <t>nyu</t>
        </is>
      </c>
      <c r="R204" t="inlineStr">
        <is>
          <t xml:space="preserve">ND </t>
        </is>
      </c>
      <c r="S204" t="n">
        <v>13</v>
      </c>
      <c r="T204" t="n">
        <v>13</v>
      </c>
      <c r="U204" t="inlineStr">
        <is>
          <t>2003-06-23</t>
        </is>
      </c>
      <c r="V204" t="inlineStr">
        <is>
          <t>2003-06-23</t>
        </is>
      </c>
      <c r="W204" t="inlineStr">
        <is>
          <t>1992-11-17</t>
        </is>
      </c>
      <c r="X204" t="inlineStr">
        <is>
          <t>1992-11-17</t>
        </is>
      </c>
      <c r="Y204" t="n">
        <v>466</v>
      </c>
      <c r="Z204" t="n">
        <v>395</v>
      </c>
      <c r="AA204" t="n">
        <v>396</v>
      </c>
      <c r="AB204" t="n">
        <v>4</v>
      </c>
      <c r="AC204" t="n">
        <v>4</v>
      </c>
      <c r="AD204" t="n">
        <v>6</v>
      </c>
      <c r="AE204" t="n">
        <v>6</v>
      </c>
      <c r="AF204" t="n">
        <v>2</v>
      </c>
      <c r="AG204" t="n">
        <v>2</v>
      </c>
      <c r="AH204" t="n">
        <v>1</v>
      </c>
      <c r="AI204" t="n">
        <v>1</v>
      </c>
      <c r="AJ204" t="n">
        <v>4</v>
      </c>
      <c r="AK204" t="n">
        <v>4</v>
      </c>
      <c r="AL204" t="n">
        <v>1</v>
      </c>
      <c r="AM204" t="n">
        <v>1</v>
      </c>
      <c r="AN204" t="n">
        <v>0</v>
      </c>
      <c r="AO204" t="n">
        <v>0</v>
      </c>
      <c r="AP204" t="inlineStr">
        <is>
          <t>No</t>
        </is>
      </c>
      <c r="AQ204" t="inlineStr">
        <is>
          <t>Yes</t>
        </is>
      </c>
      <c r="AR204">
        <f>HYPERLINK("http://catalog.hathitrust.org/Record/003450961","HathiTrust Record")</f>
        <v/>
      </c>
      <c r="AS204">
        <f>HYPERLINK("https://creighton-primo.hosted.exlibrisgroup.com/primo-explore/search?tab=default_tab&amp;search_scope=EVERYTHING&amp;vid=01CRU&amp;lang=en_US&amp;offset=0&amp;query=any,contains,991000254289702656","Catalog Record")</f>
        <v/>
      </c>
      <c r="AT204">
        <f>HYPERLINK("http://www.worldcat.org/oclc/9762314","WorldCat Record")</f>
        <v/>
      </c>
      <c r="AU204" t="inlineStr">
        <is>
          <t>152284976:eng</t>
        </is>
      </c>
      <c r="AV204" t="inlineStr">
        <is>
          <t>9762314</t>
        </is>
      </c>
      <c r="AW204" t="inlineStr">
        <is>
          <t>991000254289702656</t>
        </is>
      </c>
      <c r="AX204" t="inlineStr">
        <is>
          <t>991000254289702656</t>
        </is>
      </c>
      <c r="AY204" t="inlineStr">
        <is>
          <t>2260187250002656</t>
        </is>
      </c>
      <c r="AZ204" t="inlineStr">
        <is>
          <t>BOOK</t>
        </is>
      </c>
      <c r="BB204" t="inlineStr">
        <is>
          <t>9780823045105</t>
        </is>
      </c>
      <c r="BC204" t="inlineStr">
        <is>
          <t>32285001405843</t>
        </is>
      </c>
      <c r="BD204" t="inlineStr">
        <is>
          <t>893237196</t>
        </is>
      </c>
    </row>
    <row r="205">
      <c r="A205" t="inlineStr">
        <is>
          <t>No</t>
        </is>
      </c>
      <c r="B205" t="inlineStr">
        <is>
          <t>ND212.5.R4 W36 1989</t>
        </is>
      </c>
      <c r="C205" t="inlineStr">
        <is>
          <t>0                      ND 0212500R  4                  W  36          1989</t>
        </is>
      </c>
      <c r="D205" t="inlineStr">
        <is>
          <t>American realist painting, 1945-1980 / by John L. Ward.</t>
        </is>
      </c>
      <c r="F205" t="inlineStr">
        <is>
          <t>No</t>
        </is>
      </c>
      <c r="G205" t="inlineStr">
        <is>
          <t>1</t>
        </is>
      </c>
      <c r="H205" t="inlineStr">
        <is>
          <t>No</t>
        </is>
      </c>
      <c r="I205" t="inlineStr">
        <is>
          <t>No</t>
        </is>
      </c>
      <c r="J205" t="inlineStr">
        <is>
          <t>0</t>
        </is>
      </c>
      <c r="K205" t="inlineStr">
        <is>
          <t>Ward, John L. (John Lawrence), 1938-</t>
        </is>
      </c>
      <c r="L205" t="inlineStr">
        <is>
          <t>Ann Arbor, Mich. : UMI Research Press, c1989.</t>
        </is>
      </c>
      <c r="M205" t="inlineStr">
        <is>
          <t>1989</t>
        </is>
      </c>
      <c r="O205" t="inlineStr">
        <is>
          <t>eng</t>
        </is>
      </c>
      <c r="P205" t="inlineStr">
        <is>
          <t>miu</t>
        </is>
      </c>
      <c r="Q205" t="inlineStr">
        <is>
          <t>Studies in the fine arts. The Avant-garde ; no. 60</t>
        </is>
      </c>
      <c r="R205" t="inlineStr">
        <is>
          <t xml:space="preserve">ND </t>
        </is>
      </c>
      <c r="S205" t="n">
        <v>5</v>
      </c>
      <c r="T205" t="n">
        <v>5</v>
      </c>
      <c r="U205" t="inlineStr">
        <is>
          <t>1997-04-28</t>
        </is>
      </c>
      <c r="V205" t="inlineStr">
        <is>
          <t>1997-04-28</t>
        </is>
      </c>
      <c r="W205" t="inlineStr">
        <is>
          <t>1990-05-08</t>
        </is>
      </c>
      <c r="X205" t="inlineStr">
        <is>
          <t>1990-05-08</t>
        </is>
      </c>
      <c r="Y205" t="n">
        <v>600</v>
      </c>
      <c r="Z205" t="n">
        <v>535</v>
      </c>
      <c r="AA205" t="n">
        <v>544</v>
      </c>
      <c r="AB205" t="n">
        <v>10</v>
      </c>
      <c r="AC205" t="n">
        <v>10</v>
      </c>
      <c r="AD205" t="n">
        <v>29</v>
      </c>
      <c r="AE205" t="n">
        <v>29</v>
      </c>
      <c r="AF205" t="n">
        <v>12</v>
      </c>
      <c r="AG205" t="n">
        <v>12</v>
      </c>
      <c r="AH205" t="n">
        <v>4</v>
      </c>
      <c r="AI205" t="n">
        <v>4</v>
      </c>
      <c r="AJ205" t="n">
        <v>10</v>
      </c>
      <c r="AK205" t="n">
        <v>10</v>
      </c>
      <c r="AL205" t="n">
        <v>8</v>
      </c>
      <c r="AM205" t="n">
        <v>8</v>
      </c>
      <c r="AN205" t="n">
        <v>0</v>
      </c>
      <c r="AO205" t="n">
        <v>0</v>
      </c>
      <c r="AP205" t="inlineStr">
        <is>
          <t>No</t>
        </is>
      </c>
      <c r="AQ205" t="inlineStr">
        <is>
          <t>Yes</t>
        </is>
      </c>
      <c r="AR205">
        <f>HYPERLINK("http://catalog.hathitrust.org/Record/001091249","HathiTrust Record")</f>
        <v/>
      </c>
      <c r="AS205">
        <f>HYPERLINK("https://creighton-primo.hosted.exlibrisgroup.com/primo-explore/search?tab=default_tab&amp;search_scope=EVERYTHING&amp;vid=01CRU&amp;lang=en_US&amp;offset=0&amp;query=any,contains,991001327679702656","Catalog Record")</f>
        <v/>
      </c>
      <c r="AT205">
        <f>HYPERLINK("http://www.worldcat.org/oclc/18291338","WorldCat Record")</f>
        <v/>
      </c>
      <c r="AU205" t="inlineStr">
        <is>
          <t>12475417:eng</t>
        </is>
      </c>
      <c r="AV205" t="inlineStr">
        <is>
          <t>18291338</t>
        </is>
      </c>
      <c r="AW205" t="inlineStr">
        <is>
          <t>991001327679702656</t>
        </is>
      </c>
      <c r="AX205" t="inlineStr">
        <is>
          <t>991001327679702656</t>
        </is>
      </c>
      <c r="AY205" t="inlineStr">
        <is>
          <t>2264685390002656</t>
        </is>
      </c>
      <c r="AZ205" t="inlineStr">
        <is>
          <t>BOOK</t>
        </is>
      </c>
      <c r="BB205" t="inlineStr">
        <is>
          <t>9780835718677</t>
        </is>
      </c>
      <c r="BC205" t="inlineStr">
        <is>
          <t>32285000135714</t>
        </is>
      </c>
      <c r="BD205" t="inlineStr">
        <is>
          <t>893614983</t>
        </is>
      </c>
    </row>
    <row r="206">
      <c r="A206" t="inlineStr">
        <is>
          <t>No</t>
        </is>
      </c>
      <c r="B206" t="inlineStr">
        <is>
          <t>ND212.5.S75 P55 1995</t>
        </is>
      </c>
      <c r="C206" t="inlineStr">
        <is>
          <t>0                      ND 0212500S  75                 P  55          1995</t>
        </is>
      </c>
      <c r="D206" t="inlineStr">
        <is>
          <t>In the American grain : Arthur Dove, Marsden Hartley, John Marin, Georgia O'Keeffe, and Alfred Stieglitz : the Stieglitz Circle at the Phillips Collection / Elizabeth Hutton Turner.</t>
        </is>
      </c>
      <c r="F206" t="inlineStr">
        <is>
          <t>No</t>
        </is>
      </c>
      <c r="G206" t="inlineStr">
        <is>
          <t>1</t>
        </is>
      </c>
      <c r="H206" t="inlineStr">
        <is>
          <t>No</t>
        </is>
      </c>
      <c r="I206" t="inlineStr">
        <is>
          <t>No</t>
        </is>
      </c>
      <c r="J206" t="inlineStr">
        <is>
          <t>0</t>
        </is>
      </c>
      <c r="K206" t="inlineStr">
        <is>
          <t>Phillips Collection.</t>
        </is>
      </c>
      <c r="L206" t="inlineStr">
        <is>
          <t>Washington, D.C. : Counterpoint ; [Emeryville, Calif.] : Distributed by Publishers Group West, c1995.</t>
        </is>
      </c>
      <c r="M206" t="inlineStr">
        <is>
          <t>1995</t>
        </is>
      </c>
      <c r="O206" t="inlineStr">
        <is>
          <t>eng</t>
        </is>
      </c>
      <c r="P206" t="inlineStr">
        <is>
          <t>dcu</t>
        </is>
      </c>
      <c r="R206" t="inlineStr">
        <is>
          <t xml:space="preserve">ND </t>
        </is>
      </c>
      <c r="S206" t="n">
        <v>2</v>
      </c>
      <c r="T206" t="n">
        <v>2</v>
      </c>
      <c r="U206" t="inlineStr">
        <is>
          <t>2003-04-23</t>
        </is>
      </c>
      <c r="V206" t="inlineStr">
        <is>
          <t>2003-04-23</t>
        </is>
      </c>
      <c r="W206" t="inlineStr">
        <is>
          <t>1997-05-12</t>
        </is>
      </c>
      <c r="X206" t="inlineStr">
        <is>
          <t>1997-05-12</t>
        </is>
      </c>
      <c r="Y206" t="n">
        <v>646</v>
      </c>
      <c r="Z206" t="n">
        <v>600</v>
      </c>
      <c r="AA206" t="n">
        <v>620</v>
      </c>
      <c r="AB206" t="n">
        <v>6</v>
      </c>
      <c r="AC206" t="n">
        <v>6</v>
      </c>
      <c r="AD206" t="n">
        <v>26</v>
      </c>
      <c r="AE206" t="n">
        <v>26</v>
      </c>
      <c r="AF206" t="n">
        <v>9</v>
      </c>
      <c r="AG206" t="n">
        <v>9</v>
      </c>
      <c r="AH206" t="n">
        <v>7</v>
      </c>
      <c r="AI206" t="n">
        <v>7</v>
      </c>
      <c r="AJ206" t="n">
        <v>11</v>
      </c>
      <c r="AK206" t="n">
        <v>11</v>
      </c>
      <c r="AL206" t="n">
        <v>4</v>
      </c>
      <c r="AM206" t="n">
        <v>4</v>
      </c>
      <c r="AN206" t="n">
        <v>0</v>
      </c>
      <c r="AO206" t="n">
        <v>0</v>
      </c>
      <c r="AP206" t="inlineStr">
        <is>
          <t>No</t>
        </is>
      </c>
      <c r="AQ206" t="inlineStr">
        <is>
          <t>Yes</t>
        </is>
      </c>
      <c r="AR206">
        <f>HYPERLINK("http://catalog.hathitrust.org/Record/003048771","HathiTrust Record")</f>
        <v/>
      </c>
      <c r="AS206">
        <f>HYPERLINK("https://creighton-primo.hosted.exlibrisgroup.com/primo-explore/search?tab=default_tab&amp;search_scope=EVERYTHING&amp;vid=01CRU&amp;lang=en_US&amp;offset=0&amp;query=any,contains,991002523979702656","Catalog Record")</f>
        <v/>
      </c>
      <c r="AT206">
        <f>HYPERLINK("http://www.worldcat.org/oclc/32820781","WorldCat Record")</f>
        <v/>
      </c>
      <c r="AU206" t="inlineStr">
        <is>
          <t>141732128:eng</t>
        </is>
      </c>
      <c r="AV206" t="inlineStr">
        <is>
          <t>32820781</t>
        </is>
      </c>
      <c r="AW206" t="inlineStr">
        <is>
          <t>991002523979702656</t>
        </is>
      </c>
      <c r="AX206" t="inlineStr">
        <is>
          <t>991002523979702656</t>
        </is>
      </c>
      <c r="AY206" t="inlineStr">
        <is>
          <t>2263190150002656</t>
        </is>
      </c>
      <c r="AZ206" t="inlineStr">
        <is>
          <t>BOOK</t>
        </is>
      </c>
      <c r="BB206" t="inlineStr">
        <is>
          <t>9781887178013</t>
        </is>
      </c>
      <c r="BC206" t="inlineStr">
        <is>
          <t>32285002607157</t>
        </is>
      </c>
      <c r="BD206" t="inlineStr">
        <is>
          <t>893609955</t>
        </is>
      </c>
    </row>
    <row r="207">
      <c r="A207" t="inlineStr">
        <is>
          <t>No</t>
        </is>
      </c>
      <c r="B207" t="inlineStr">
        <is>
          <t>ND212.5.S9 L48 1978</t>
        </is>
      </c>
      <c r="C207" t="inlineStr">
        <is>
          <t>0                      ND 0212500S  9                  L  48          1978</t>
        </is>
      </c>
      <c r="D207" t="inlineStr">
        <is>
          <t>Synchromism and American color abstraction, 1910-1925 / Gail Levin.</t>
        </is>
      </c>
      <c r="F207" t="inlineStr">
        <is>
          <t>No</t>
        </is>
      </c>
      <c r="G207" t="inlineStr">
        <is>
          <t>1</t>
        </is>
      </c>
      <c r="H207" t="inlineStr">
        <is>
          <t>No</t>
        </is>
      </c>
      <c r="I207" t="inlineStr">
        <is>
          <t>No</t>
        </is>
      </c>
      <c r="J207" t="inlineStr">
        <is>
          <t>0</t>
        </is>
      </c>
      <c r="K207" t="inlineStr">
        <is>
          <t>Levin, Gail, 1948-</t>
        </is>
      </c>
      <c r="L207" t="inlineStr">
        <is>
          <t>New York : G. Braziller, c1978.</t>
        </is>
      </c>
      <c r="M207" t="inlineStr">
        <is>
          <t>1978</t>
        </is>
      </c>
      <c r="N207" t="inlineStr">
        <is>
          <t>1st ed.</t>
        </is>
      </c>
      <c r="O207" t="inlineStr">
        <is>
          <t>eng</t>
        </is>
      </c>
      <c r="P207" t="inlineStr">
        <is>
          <t>nyu</t>
        </is>
      </c>
      <c r="R207" t="inlineStr">
        <is>
          <t xml:space="preserve">ND </t>
        </is>
      </c>
      <c r="S207" t="n">
        <v>5</v>
      </c>
      <c r="T207" t="n">
        <v>5</v>
      </c>
      <c r="U207" t="inlineStr">
        <is>
          <t>2008-08-08</t>
        </is>
      </c>
      <c r="V207" t="inlineStr">
        <is>
          <t>2008-08-08</t>
        </is>
      </c>
      <c r="W207" t="inlineStr">
        <is>
          <t>1993-05-20</t>
        </is>
      </c>
      <c r="X207" t="inlineStr">
        <is>
          <t>1993-05-20</t>
        </is>
      </c>
      <c r="Y207" t="n">
        <v>886</v>
      </c>
      <c r="Z207" t="n">
        <v>778</v>
      </c>
      <c r="AA207" t="n">
        <v>780</v>
      </c>
      <c r="AB207" t="n">
        <v>5</v>
      </c>
      <c r="AC207" t="n">
        <v>5</v>
      </c>
      <c r="AD207" t="n">
        <v>25</v>
      </c>
      <c r="AE207" t="n">
        <v>25</v>
      </c>
      <c r="AF207" t="n">
        <v>10</v>
      </c>
      <c r="AG207" t="n">
        <v>10</v>
      </c>
      <c r="AH207" t="n">
        <v>5</v>
      </c>
      <c r="AI207" t="n">
        <v>5</v>
      </c>
      <c r="AJ207" t="n">
        <v>12</v>
      </c>
      <c r="AK207" t="n">
        <v>12</v>
      </c>
      <c r="AL207" t="n">
        <v>3</v>
      </c>
      <c r="AM207" t="n">
        <v>3</v>
      </c>
      <c r="AN207" t="n">
        <v>0</v>
      </c>
      <c r="AO207" t="n">
        <v>0</v>
      </c>
      <c r="AP207" t="inlineStr">
        <is>
          <t>No</t>
        </is>
      </c>
      <c r="AQ207" t="inlineStr">
        <is>
          <t>Yes</t>
        </is>
      </c>
      <c r="AR207">
        <f>HYPERLINK("http://catalog.hathitrust.org/Record/000749001","HathiTrust Record")</f>
        <v/>
      </c>
      <c r="AS207">
        <f>HYPERLINK("https://creighton-primo.hosted.exlibrisgroup.com/primo-explore/search?tab=default_tab&amp;search_scope=EVERYTHING&amp;vid=01CRU&amp;lang=en_US&amp;offset=0&amp;query=any,contains,991004407259702656","Catalog Record")</f>
        <v/>
      </c>
      <c r="AT207">
        <f>HYPERLINK("http://www.worldcat.org/oclc/3327243","WorldCat Record")</f>
        <v/>
      </c>
      <c r="AU207" t="inlineStr">
        <is>
          <t>464702:eng</t>
        </is>
      </c>
      <c r="AV207" t="inlineStr">
        <is>
          <t>3327243</t>
        </is>
      </c>
      <c r="AW207" t="inlineStr">
        <is>
          <t>991004407259702656</t>
        </is>
      </c>
      <c r="AX207" t="inlineStr">
        <is>
          <t>991004407259702656</t>
        </is>
      </c>
      <c r="AY207" t="inlineStr">
        <is>
          <t>2267475370002656</t>
        </is>
      </c>
      <c r="AZ207" t="inlineStr">
        <is>
          <t>BOOK</t>
        </is>
      </c>
      <c r="BB207" t="inlineStr">
        <is>
          <t>9780807608821</t>
        </is>
      </c>
      <c r="BC207" t="inlineStr">
        <is>
          <t>32285001691111</t>
        </is>
      </c>
      <c r="BD207" t="inlineStr">
        <is>
          <t>893235461</t>
        </is>
      </c>
    </row>
    <row r="208">
      <c r="A208" t="inlineStr">
        <is>
          <t>No</t>
        </is>
      </c>
      <c r="B208" t="inlineStr">
        <is>
          <t>ND2237 .M37 1984</t>
        </is>
      </c>
      <c r="C208" t="inlineStr">
        <is>
          <t>0                      ND 2237000M  37          1984</t>
        </is>
      </c>
      <c r="D208" t="inlineStr">
        <is>
          <t>Painting the spirit of nature / by Maxine Masterfield.</t>
        </is>
      </c>
      <c r="F208" t="inlineStr">
        <is>
          <t>No</t>
        </is>
      </c>
      <c r="G208" t="inlineStr">
        <is>
          <t>1</t>
        </is>
      </c>
      <c r="H208" t="inlineStr">
        <is>
          <t>No</t>
        </is>
      </c>
      <c r="I208" t="inlineStr">
        <is>
          <t>No</t>
        </is>
      </c>
      <c r="J208" t="inlineStr">
        <is>
          <t>0</t>
        </is>
      </c>
      <c r="K208" t="inlineStr">
        <is>
          <t>Masterfield, Maxine.</t>
        </is>
      </c>
      <c r="L208" t="inlineStr">
        <is>
          <t>New York : Watson-Guptill Publications, 1984.</t>
        </is>
      </c>
      <c r="M208" t="inlineStr">
        <is>
          <t>1984</t>
        </is>
      </c>
      <c r="O208" t="inlineStr">
        <is>
          <t>eng</t>
        </is>
      </c>
      <c r="P208" t="inlineStr">
        <is>
          <t>nyu</t>
        </is>
      </c>
      <c r="R208" t="inlineStr">
        <is>
          <t xml:space="preserve">ND </t>
        </is>
      </c>
      <c r="S208" t="n">
        <v>1</v>
      </c>
      <c r="T208" t="n">
        <v>1</v>
      </c>
      <c r="U208" t="inlineStr">
        <is>
          <t>2004-02-27</t>
        </is>
      </c>
      <c r="V208" t="inlineStr">
        <is>
          <t>2004-02-27</t>
        </is>
      </c>
      <c r="W208" t="inlineStr">
        <is>
          <t>1993-05-28</t>
        </is>
      </c>
      <c r="X208" t="inlineStr">
        <is>
          <t>1993-05-28</t>
        </is>
      </c>
      <c r="Y208" t="n">
        <v>468</v>
      </c>
      <c r="Z208" t="n">
        <v>421</v>
      </c>
      <c r="AA208" t="n">
        <v>461</v>
      </c>
      <c r="AB208" t="n">
        <v>4</v>
      </c>
      <c r="AC208" t="n">
        <v>4</v>
      </c>
      <c r="AD208" t="n">
        <v>7</v>
      </c>
      <c r="AE208" t="n">
        <v>8</v>
      </c>
      <c r="AF208" t="n">
        <v>4</v>
      </c>
      <c r="AG208" t="n">
        <v>5</v>
      </c>
      <c r="AH208" t="n">
        <v>0</v>
      </c>
      <c r="AI208" t="n">
        <v>0</v>
      </c>
      <c r="AJ208" t="n">
        <v>2</v>
      </c>
      <c r="AK208" t="n">
        <v>2</v>
      </c>
      <c r="AL208" t="n">
        <v>3</v>
      </c>
      <c r="AM208" t="n">
        <v>3</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HYPERLINK("https://creighton-primo.hosted.exlibrisgroup.com/primo-explore/search?tab=default_tab&amp;search_scope=EVERYTHING&amp;vid=01CRU&amp;lang=en_US&amp;offset=0&amp;query=any,contains,991000348139702656","Catalog Record")</f>
        <v/>
      </c>
      <c r="AT208">
        <f>HYPERLINK("http://www.worldcat.org/oclc/10299290","WorldCat Record")</f>
        <v/>
      </c>
      <c r="AU208" t="inlineStr">
        <is>
          <t>1020249:eng</t>
        </is>
      </c>
      <c r="AV208" t="inlineStr">
        <is>
          <t>10299290</t>
        </is>
      </c>
      <c r="AW208" t="inlineStr">
        <is>
          <t>991000348139702656</t>
        </is>
      </c>
      <c r="AX208" t="inlineStr">
        <is>
          <t>991000348139702656</t>
        </is>
      </c>
      <c r="AY208" t="inlineStr">
        <is>
          <t>2255177440002656</t>
        </is>
      </c>
      <c r="AZ208" t="inlineStr">
        <is>
          <t>BOOK</t>
        </is>
      </c>
      <c r="BB208" t="inlineStr">
        <is>
          <t>9780823038619</t>
        </is>
      </c>
      <c r="BC208" t="inlineStr">
        <is>
          <t>32285001694081</t>
        </is>
      </c>
      <c r="BD208" t="inlineStr">
        <is>
          <t>893702033</t>
        </is>
      </c>
    </row>
    <row r="209">
      <c r="A209" t="inlineStr">
        <is>
          <t>No</t>
        </is>
      </c>
      <c r="B209" t="inlineStr">
        <is>
          <t>ND2240 .S95 1977</t>
        </is>
      </c>
      <c r="C209" t="inlineStr">
        <is>
          <t>0                      ND 2240000S  95          1977</t>
        </is>
      </c>
      <c r="D209" t="inlineStr">
        <is>
          <t>Zoltan Szabo paints landscapes : advanced techniques in watercolor.</t>
        </is>
      </c>
      <c r="F209" t="inlineStr">
        <is>
          <t>No</t>
        </is>
      </c>
      <c r="G209" t="inlineStr">
        <is>
          <t>1</t>
        </is>
      </c>
      <c r="H209" t="inlineStr">
        <is>
          <t>No</t>
        </is>
      </c>
      <c r="I209" t="inlineStr">
        <is>
          <t>No</t>
        </is>
      </c>
      <c r="J209" t="inlineStr">
        <is>
          <t>0</t>
        </is>
      </c>
      <c r="K209" t="inlineStr">
        <is>
          <t>Szabo, Zoltan, 1928-2003.</t>
        </is>
      </c>
      <c r="L209" t="inlineStr">
        <is>
          <t>New York : Watson-Guptill Publications, 1977.</t>
        </is>
      </c>
      <c r="M209" t="inlineStr">
        <is>
          <t>1977</t>
        </is>
      </c>
      <c r="O209" t="inlineStr">
        <is>
          <t>eng</t>
        </is>
      </c>
      <c r="P209" t="inlineStr">
        <is>
          <t>nyu</t>
        </is>
      </c>
      <c r="R209" t="inlineStr">
        <is>
          <t xml:space="preserve">ND </t>
        </is>
      </c>
      <c r="S209" t="n">
        <v>1</v>
      </c>
      <c r="T209" t="n">
        <v>1</v>
      </c>
      <c r="U209" t="inlineStr">
        <is>
          <t>2004-07-06</t>
        </is>
      </c>
      <c r="V209" t="inlineStr">
        <is>
          <t>2004-07-06</t>
        </is>
      </c>
      <c r="W209" t="inlineStr">
        <is>
          <t>1993-05-28</t>
        </is>
      </c>
      <c r="X209" t="inlineStr">
        <is>
          <t>1993-05-28</t>
        </is>
      </c>
      <c r="Y209" t="n">
        <v>733</v>
      </c>
      <c r="Z209" t="n">
        <v>657</v>
      </c>
      <c r="AA209" t="n">
        <v>670</v>
      </c>
      <c r="AB209" t="n">
        <v>8</v>
      </c>
      <c r="AC209" t="n">
        <v>8</v>
      </c>
      <c r="AD209" t="n">
        <v>5</v>
      </c>
      <c r="AE209" t="n">
        <v>5</v>
      </c>
      <c r="AF209" t="n">
        <v>2</v>
      </c>
      <c r="AG209" t="n">
        <v>2</v>
      </c>
      <c r="AH209" t="n">
        <v>0</v>
      </c>
      <c r="AI209" t="n">
        <v>0</v>
      </c>
      <c r="AJ209" t="n">
        <v>1</v>
      </c>
      <c r="AK209" t="n">
        <v>1</v>
      </c>
      <c r="AL209" t="n">
        <v>3</v>
      </c>
      <c r="AM209" t="n">
        <v>3</v>
      </c>
      <c r="AN209" t="n">
        <v>0</v>
      </c>
      <c r="AO209" t="n">
        <v>0</v>
      </c>
      <c r="AP209" t="inlineStr">
        <is>
          <t>No</t>
        </is>
      </c>
      <c r="AQ209" t="inlineStr">
        <is>
          <t>Yes</t>
        </is>
      </c>
      <c r="AR209">
        <f>HYPERLINK("http://catalog.hathitrust.org/Record/008544334","HathiTrust Record")</f>
        <v/>
      </c>
      <c r="AS209">
        <f>HYPERLINK("https://creighton-primo.hosted.exlibrisgroup.com/primo-explore/search?tab=default_tab&amp;search_scope=EVERYTHING&amp;vid=01CRU&amp;lang=en_US&amp;offset=0&amp;query=any,contains,991004248299702656","Catalog Record")</f>
        <v/>
      </c>
      <c r="AT209">
        <f>HYPERLINK("http://www.worldcat.org/oclc/2799234","WorldCat Record")</f>
        <v/>
      </c>
      <c r="AU209" t="inlineStr">
        <is>
          <t>488448:eng</t>
        </is>
      </c>
      <c r="AV209" t="inlineStr">
        <is>
          <t>2799234</t>
        </is>
      </c>
      <c r="AW209" t="inlineStr">
        <is>
          <t>991004248299702656</t>
        </is>
      </c>
      <c r="AX209" t="inlineStr">
        <is>
          <t>991004248299702656</t>
        </is>
      </c>
      <c r="AY209" t="inlineStr">
        <is>
          <t>2271426800002656</t>
        </is>
      </c>
      <c r="AZ209" t="inlineStr">
        <is>
          <t>BOOK</t>
        </is>
      </c>
      <c r="BB209" t="inlineStr">
        <is>
          <t>9780823059805</t>
        </is>
      </c>
      <c r="BC209" t="inlineStr">
        <is>
          <t>32285001694131</t>
        </is>
      </c>
      <c r="BD209" t="inlineStr">
        <is>
          <t>893241200</t>
        </is>
      </c>
    </row>
    <row r="210">
      <c r="A210" t="inlineStr">
        <is>
          <t>No</t>
        </is>
      </c>
      <c r="B210" t="inlineStr">
        <is>
          <t>ND2244 .W37 1984</t>
        </is>
      </c>
      <c r="C210" t="inlineStr">
        <is>
          <t>0                      ND 2244000W  37          1984</t>
        </is>
      </c>
      <c r="D210" t="inlineStr">
        <is>
          <t>The Watercolorist's guide to painting trees / paintings by Ferdinand Petrie ; photographs by John Shaw.</t>
        </is>
      </c>
      <c r="F210" t="inlineStr">
        <is>
          <t>No</t>
        </is>
      </c>
      <c r="G210" t="inlineStr">
        <is>
          <t>1</t>
        </is>
      </c>
      <c r="H210" t="inlineStr">
        <is>
          <t>No</t>
        </is>
      </c>
      <c r="I210" t="inlineStr">
        <is>
          <t>No</t>
        </is>
      </c>
      <c r="J210" t="inlineStr">
        <is>
          <t>0</t>
        </is>
      </c>
      <c r="L210" t="inlineStr">
        <is>
          <t>New York : Watson-Guptill, 1984.</t>
        </is>
      </c>
      <c r="M210" t="inlineStr">
        <is>
          <t>1984</t>
        </is>
      </c>
      <c r="O210" t="inlineStr">
        <is>
          <t>eng</t>
        </is>
      </c>
      <c r="P210" t="inlineStr">
        <is>
          <t>nyu</t>
        </is>
      </c>
      <c r="R210" t="inlineStr">
        <is>
          <t xml:space="preserve">ND </t>
        </is>
      </c>
      <c r="S210" t="n">
        <v>6</v>
      </c>
      <c r="T210" t="n">
        <v>6</v>
      </c>
      <c r="U210" t="inlineStr">
        <is>
          <t>2006-12-13</t>
        </is>
      </c>
      <c r="V210" t="inlineStr">
        <is>
          <t>2006-12-13</t>
        </is>
      </c>
      <c r="W210" t="inlineStr">
        <is>
          <t>1993-05-28</t>
        </is>
      </c>
      <c r="X210" t="inlineStr">
        <is>
          <t>1993-05-28</t>
        </is>
      </c>
      <c r="Y210" t="n">
        <v>366</v>
      </c>
      <c r="Z210" t="n">
        <v>331</v>
      </c>
      <c r="AA210" t="n">
        <v>331</v>
      </c>
      <c r="AB210" t="n">
        <v>2</v>
      </c>
      <c r="AC210" t="n">
        <v>2</v>
      </c>
      <c r="AD210" t="n">
        <v>2</v>
      </c>
      <c r="AE210" t="n">
        <v>2</v>
      </c>
      <c r="AF210" t="n">
        <v>2</v>
      </c>
      <c r="AG210" t="n">
        <v>2</v>
      </c>
      <c r="AH210" t="n">
        <v>0</v>
      </c>
      <c r="AI210" t="n">
        <v>0</v>
      </c>
      <c r="AJ210" t="n">
        <v>0</v>
      </c>
      <c r="AK210" t="n">
        <v>0</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HYPERLINK("https://creighton-primo.hosted.exlibrisgroup.com/primo-explore/search?tab=default_tab&amp;search_scope=EVERYTHING&amp;vid=01CRU&amp;lang=en_US&amp;offset=0&amp;query=any,contains,991000379669702656","Catalog Record")</f>
        <v/>
      </c>
      <c r="AT210">
        <f>HYPERLINK("http://www.worldcat.org/oclc/10483997","WorldCat Record")</f>
        <v/>
      </c>
      <c r="AU210" t="inlineStr">
        <is>
          <t>3901074203:eng</t>
        </is>
      </c>
      <c r="AV210" t="inlineStr">
        <is>
          <t>10483997</t>
        </is>
      </c>
      <c r="AW210" t="inlineStr">
        <is>
          <t>991000379669702656</t>
        </is>
      </c>
      <c r="AX210" t="inlineStr">
        <is>
          <t>991000379669702656</t>
        </is>
      </c>
      <c r="AY210" t="inlineStr">
        <is>
          <t>2259955940002656</t>
        </is>
      </c>
      <c r="AZ210" t="inlineStr">
        <is>
          <t>BOOK</t>
        </is>
      </c>
      <c r="BB210" t="inlineStr">
        <is>
          <t>9780823021598</t>
        </is>
      </c>
      <c r="BC210" t="inlineStr">
        <is>
          <t>32285001694123</t>
        </is>
      </c>
      <c r="BD210" t="inlineStr">
        <is>
          <t>893790448</t>
        </is>
      </c>
    </row>
    <row r="211">
      <c r="A211" t="inlineStr">
        <is>
          <t>No</t>
        </is>
      </c>
      <c r="B211" t="inlineStr">
        <is>
          <t>ND225 .A617 1983</t>
        </is>
      </c>
      <c r="C211" t="inlineStr">
        <is>
          <t>0                      ND 0225000A  617         1983</t>
        </is>
      </c>
      <c r="D211" t="inlineStr">
        <is>
          <t>Masterpieces of the American West : selections from the Anschutz collection.</t>
        </is>
      </c>
      <c r="F211" t="inlineStr">
        <is>
          <t>No</t>
        </is>
      </c>
      <c r="G211" t="inlineStr">
        <is>
          <t>1</t>
        </is>
      </c>
      <c r="H211" t="inlineStr">
        <is>
          <t>No</t>
        </is>
      </c>
      <c r="I211" t="inlineStr">
        <is>
          <t>No</t>
        </is>
      </c>
      <c r="J211" t="inlineStr">
        <is>
          <t>0</t>
        </is>
      </c>
      <c r="L211" t="inlineStr">
        <is>
          <t>[S.l. : s.n.], c1983</t>
        </is>
      </c>
      <c r="M211" t="inlineStr">
        <is>
          <t>1983</t>
        </is>
      </c>
      <c r="O211" t="inlineStr">
        <is>
          <t>eng</t>
        </is>
      </c>
      <c r="P211" t="inlineStr">
        <is>
          <t xml:space="preserve">xx </t>
        </is>
      </c>
      <c r="R211" t="inlineStr">
        <is>
          <t xml:space="preserve">ND </t>
        </is>
      </c>
      <c r="S211" t="n">
        <v>9</v>
      </c>
      <c r="T211" t="n">
        <v>9</v>
      </c>
      <c r="U211" t="inlineStr">
        <is>
          <t>2005-03-16</t>
        </is>
      </c>
      <c r="V211" t="inlineStr">
        <is>
          <t>2005-03-16</t>
        </is>
      </c>
      <c r="W211" t="inlineStr">
        <is>
          <t>1993-05-20</t>
        </is>
      </c>
      <c r="X211" t="inlineStr">
        <is>
          <t>1993-05-20</t>
        </is>
      </c>
      <c r="Y211" t="n">
        <v>189</v>
      </c>
      <c r="Z211" t="n">
        <v>184</v>
      </c>
      <c r="AA211" t="n">
        <v>206</v>
      </c>
      <c r="AB211" t="n">
        <v>3</v>
      </c>
      <c r="AC211" t="n">
        <v>3</v>
      </c>
      <c r="AD211" t="n">
        <v>4</v>
      </c>
      <c r="AE211" t="n">
        <v>4</v>
      </c>
      <c r="AF211" t="n">
        <v>3</v>
      </c>
      <c r="AG211" t="n">
        <v>3</v>
      </c>
      <c r="AH211" t="n">
        <v>0</v>
      </c>
      <c r="AI211" t="n">
        <v>0</v>
      </c>
      <c r="AJ211" t="n">
        <v>0</v>
      </c>
      <c r="AK211" t="n">
        <v>0</v>
      </c>
      <c r="AL211" t="n">
        <v>1</v>
      </c>
      <c r="AM211" t="n">
        <v>1</v>
      </c>
      <c r="AN211" t="n">
        <v>0</v>
      </c>
      <c r="AO211" t="n">
        <v>0</v>
      </c>
      <c r="AP211" t="inlineStr">
        <is>
          <t>No</t>
        </is>
      </c>
      <c r="AQ211" t="inlineStr">
        <is>
          <t>Yes</t>
        </is>
      </c>
      <c r="AR211">
        <f>HYPERLINK("http://catalog.hathitrust.org/Record/001079102","HathiTrust Record")</f>
        <v/>
      </c>
      <c r="AS211">
        <f>HYPERLINK("https://creighton-primo.hosted.exlibrisgroup.com/primo-explore/search?tab=default_tab&amp;search_scope=EVERYTHING&amp;vid=01CRU&amp;lang=en_US&amp;offset=0&amp;query=any,contains,991000356759702656","Catalog Record")</f>
        <v/>
      </c>
      <c r="AT211">
        <f>HYPERLINK("http://www.worldcat.org/oclc/10338221","WorldCat Record")</f>
        <v/>
      </c>
      <c r="AU211" t="inlineStr">
        <is>
          <t>433230860:eng</t>
        </is>
      </c>
      <c r="AV211" t="inlineStr">
        <is>
          <t>10338221</t>
        </is>
      </c>
      <c r="AW211" t="inlineStr">
        <is>
          <t>991000356759702656</t>
        </is>
      </c>
      <c r="AX211" t="inlineStr">
        <is>
          <t>991000356759702656</t>
        </is>
      </c>
      <c r="AY211" t="inlineStr">
        <is>
          <t>2262932210002656</t>
        </is>
      </c>
      <c r="AZ211" t="inlineStr">
        <is>
          <t>BOOK</t>
        </is>
      </c>
      <c r="BC211" t="inlineStr">
        <is>
          <t>32285001583243</t>
        </is>
      </c>
      <c r="BD211" t="inlineStr">
        <is>
          <t>893425611</t>
        </is>
      </c>
    </row>
    <row r="212">
      <c r="A212" t="inlineStr">
        <is>
          <t>No</t>
        </is>
      </c>
      <c r="B212" t="inlineStr">
        <is>
          <t>ND225 .A78 2003</t>
        </is>
      </c>
      <c r="C212" t="inlineStr">
        <is>
          <t>0                      ND 0225000A  78          2003</t>
        </is>
      </c>
      <c r="D212" t="inlineStr">
        <is>
          <t>Artists of the American West 1830-1940 = Khudozhniki amerikanskogo zapada 1830-1940 / J. Brooks Joyner ; with contributions by David C. Hunt, Julie Schimmel, and Marsha V. Gallagher ; The State Russian Museum ; The Pushkin State Museum of Fine Arts in association with Joslyn Art Museum, Omaha, Nebraska and Foundation for International Arts and Education, Bethesda, Maryland ; [editor of the Russian text: Anna Laks ; translation from the English: Irina Tokareva].</t>
        </is>
      </c>
      <c r="F212" t="inlineStr">
        <is>
          <t>No</t>
        </is>
      </c>
      <c r="G212" t="inlineStr">
        <is>
          <t>1</t>
        </is>
      </c>
      <c r="H212" t="inlineStr">
        <is>
          <t>No</t>
        </is>
      </c>
      <c r="I212" t="inlineStr">
        <is>
          <t>No</t>
        </is>
      </c>
      <c r="J212" t="inlineStr">
        <is>
          <t>0</t>
        </is>
      </c>
      <c r="L212" t="inlineStr">
        <is>
          <t>[Bad Breisig] : Palace Editions, 2003.</t>
        </is>
      </c>
      <c r="M212" t="inlineStr">
        <is>
          <t>2003</t>
        </is>
      </c>
      <c r="O212" t="inlineStr">
        <is>
          <t>mul</t>
        </is>
      </c>
      <c r="P212" t="inlineStr">
        <is>
          <t xml:space="preserve">gw </t>
        </is>
      </c>
      <c r="R212" t="inlineStr">
        <is>
          <t xml:space="preserve">ND </t>
        </is>
      </c>
      <c r="S212" t="n">
        <v>2</v>
      </c>
      <c r="T212" t="n">
        <v>2</v>
      </c>
      <c r="U212" t="inlineStr">
        <is>
          <t>2005-03-16</t>
        </is>
      </c>
      <c r="V212" t="inlineStr">
        <is>
          <t>2005-03-16</t>
        </is>
      </c>
      <c r="W212" t="inlineStr">
        <is>
          <t>2004-03-04</t>
        </is>
      </c>
      <c r="X212" t="inlineStr">
        <is>
          <t>2004-03-04</t>
        </is>
      </c>
      <c r="Y212" t="n">
        <v>72</v>
      </c>
      <c r="Z212" t="n">
        <v>69</v>
      </c>
      <c r="AA212" t="n">
        <v>69</v>
      </c>
      <c r="AB212" t="n">
        <v>5</v>
      </c>
      <c r="AC212" t="n">
        <v>5</v>
      </c>
      <c r="AD212" t="n">
        <v>2</v>
      </c>
      <c r="AE212" t="n">
        <v>2</v>
      </c>
      <c r="AF212" t="n">
        <v>0</v>
      </c>
      <c r="AG212" t="n">
        <v>0</v>
      </c>
      <c r="AH212" t="n">
        <v>0</v>
      </c>
      <c r="AI212" t="n">
        <v>0</v>
      </c>
      <c r="AJ212" t="n">
        <v>0</v>
      </c>
      <c r="AK212" t="n">
        <v>0</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HYPERLINK("https://creighton-primo.hosted.exlibrisgroup.com/primo-explore/search?tab=default_tab&amp;search_scope=EVERYTHING&amp;vid=01CRU&amp;lang=en_US&amp;offset=0&amp;query=any,contains,991004248079702656","Catalog Record")</f>
        <v/>
      </c>
      <c r="AT212">
        <f>HYPERLINK("http://www.worldcat.org/oclc/54375347","WorldCat Record")</f>
        <v/>
      </c>
      <c r="AU212" t="inlineStr">
        <is>
          <t>12958584:eng</t>
        </is>
      </c>
      <c r="AV212" t="inlineStr">
        <is>
          <t>54375347</t>
        </is>
      </c>
      <c r="AW212" t="inlineStr">
        <is>
          <t>991004248079702656</t>
        </is>
      </c>
      <c r="AX212" t="inlineStr">
        <is>
          <t>991004248079702656</t>
        </is>
      </c>
      <c r="AY212" t="inlineStr">
        <is>
          <t>2254747330002656</t>
        </is>
      </c>
      <c r="AZ212" t="inlineStr">
        <is>
          <t>BOOK</t>
        </is>
      </c>
      <c r="BB212" t="inlineStr">
        <is>
          <t>9783935298544</t>
        </is>
      </c>
      <c r="BC212" t="inlineStr">
        <is>
          <t>32285004891445</t>
        </is>
      </c>
      <c r="BD212" t="inlineStr">
        <is>
          <t>893628050</t>
        </is>
      </c>
    </row>
    <row r="213">
      <c r="A213" t="inlineStr">
        <is>
          <t>No</t>
        </is>
      </c>
      <c r="B213" t="inlineStr">
        <is>
          <t>ND225 .H35 1987</t>
        </is>
      </c>
      <c r="C213" t="inlineStr">
        <is>
          <t>0                      ND 0225000H  35          1987</t>
        </is>
      </c>
      <c r="D213" t="inlineStr">
        <is>
          <t>History of western American art / Royal B. Hassrick.</t>
        </is>
      </c>
      <c r="F213" t="inlineStr">
        <is>
          <t>No</t>
        </is>
      </c>
      <c r="G213" t="inlineStr">
        <is>
          <t>1</t>
        </is>
      </c>
      <c r="H213" t="inlineStr">
        <is>
          <t>No</t>
        </is>
      </c>
      <c r="I213" t="inlineStr">
        <is>
          <t>No</t>
        </is>
      </c>
      <c r="J213" t="inlineStr">
        <is>
          <t>0</t>
        </is>
      </c>
      <c r="K213" t="inlineStr">
        <is>
          <t>Hassrick, Royal B.</t>
        </is>
      </c>
      <c r="L213" t="inlineStr">
        <is>
          <t>Secaucus, N.J. : Chartwell Books, c1987.</t>
        </is>
      </c>
      <c r="M213" t="inlineStr">
        <is>
          <t>1987</t>
        </is>
      </c>
      <c r="O213" t="inlineStr">
        <is>
          <t>eng</t>
        </is>
      </c>
      <c r="P213" t="inlineStr">
        <is>
          <t>nju</t>
        </is>
      </c>
      <c r="R213" t="inlineStr">
        <is>
          <t xml:space="preserve">ND </t>
        </is>
      </c>
      <c r="S213" t="n">
        <v>7</v>
      </c>
      <c r="T213" t="n">
        <v>7</v>
      </c>
      <c r="U213" t="inlineStr">
        <is>
          <t>2005-03-16</t>
        </is>
      </c>
      <c r="V213" t="inlineStr">
        <is>
          <t>2005-03-16</t>
        </is>
      </c>
      <c r="W213" t="inlineStr">
        <is>
          <t>1996-12-17</t>
        </is>
      </c>
      <c r="X213" t="inlineStr">
        <is>
          <t>1996-12-17</t>
        </is>
      </c>
      <c r="Y213" t="n">
        <v>63</v>
      </c>
      <c r="Z213" t="n">
        <v>60</v>
      </c>
      <c r="AA213" t="n">
        <v>626</v>
      </c>
      <c r="AB213" t="n">
        <v>1</v>
      </c>
      <c r="AC213" t="n">
        <v>12</v>
      </c>
      <c r="AD213" t="n">
        <v>2</v>
      </c>
      <c r="AE213" t="n">
        <v>6</v>
      </c>
      <c r="AF213" t="n">
        <v>0</v>
      </c>
      <c r="AG213" t="n">
        <v>1</v>
      </c>
      <c r="AH213" t="n">
        <v>1</v>
      </c>
      <c r="AI213" t="n">
        <v>1</v>
      </c>
      <c r="AJ213" t="n">
        <v>2</v>
      </c>
      <c r="AK213" t="n">
        <v>3</v>
      </c>
      <c r="AL213" t="n">
        <v>0</v>
      </c>
      <c r="AM213" t="n">
        <v>2</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HYPERLINK("https://creighton-primo.hosted.exlibrisgroup.com/primo-explore/search?tab=default_tab&amp;search_scope=EVERYTHING&amp;vid=01CRU&amp;lang=en_US&amp;offset=0&amp;query=any,contains,991002525169702656","Catalog Record")</f>
        <v/>
      </c>
      <c r="AT213">
        <f>HYPERLINK("http://www.worldcat.org/oclc/32838662","WorldCat Record")</f>
        <v/>
      </c>
      <c r="AU213" t="inlineStr">
        <is>
          <t>14127758:eng</t>
        </is>
      </c>
      <c r="AV213" t="inlineStr">
        <is>
          <t>32838662</t>
        </is>
      </c>
      <c r="AW213" t="inlineStr">
        <is>
          <t>991002525169702656</t>
        </is>
      </c>
      <c r="AX213" t="inlineStr">
        <is>
          <t>991002525169702656</t>
        </is>
      </c>
      <c r="AY213" t="inlineStr">
        <is>
          <t>2263838780002656</t>
        </is>
      </c>
      <c r="AZ213" t="inlineStr">
        <is>
          <t>BOOK</t>
        </is>
      </c>
      <c r="BB213" t="inlineStr">
        <is>
          <t>9780785801924</t>
        </is>
      </c>
      <c r="BC213" t="inlineStr">
        <is>
          <t>32285002394871</t>
        </is>
      </c>
      <c r="BD213" t="inlineStr">
        <is>
          <t>893685445</t>
        </is>
      </c>
    </row>
    <row r="214">
      <c r="A214" t="inlineStr">
        <is>
          <t>No</t>
        </is>
      </c>
      <c r="B214" t="inlineStr">
        <is>
          <t>ND225 .I53 1995</t>
        </is>
      </c>
      <c r="C214" t="inlineStr">
        <is>
          <t>0                      ND 0225000I  53          1995</t>
        </is>
      </c>
      <c r="D214" t="inlineStr">
        <is>
          <t>Independent spirits : women painters of the American West, 1890-1945 / Patricia Trenton, editor ; with essays by Sandra D'Emilio ... et al.].</t>
        </is>
      </c>
      <c r="F214" t="inlineStr">
        <is>
          <t>No</t>
        </is>
      </c>
      <c r="G214" t="inlineStr">
        <is>
          <t>1</t>
        </is>
      </c>
      <c r="H214" t="inlineStr">
        <is>
          <t>No</t>
        </is>
      </c>
      <c r="I214" t="inlineStr">
        <is>
          <t>No</t>
        </is>
      </c>
      <c r="J214" t="inlineStr">
        <is>
          <t>0</t>
        </is>
      </c>
      <c r="L214" t="inlineStr">
        <is>
          <t>Berkeley : Autry Museum of Western Heritage in association with the University of California Press, c1995.</t>
        </is>
      </c>
      <c r="M214" t="inlineStr">
        <is>
          <t>1995</t>
        </is>
      </c>
      <c r="O214" t="inlineStr">
        <is>
          <t>eng</t>
        </is>
      </c>
      <c r="P214" t="inlineStr">
        <is>
          <t>cau</t>
        </is>
      </c>
      <c r="R214" t="inlineStr">
        <is>
          <t xml:space="preserve">ND </t>
        </is>
      </c>
      <c r="S214" t="n">
        <v>22</v>
      </c>
      <c r="T214" t="n">
        <v>22</v>
      </c>
      <c r="U214" t="inlineStr">
        <is>
          <t>2005-03-16</t>
        </is>
      </c>
      <c r="V214" t="inlineStr">
        <is>
          <t>2005-03-16</t>
        </is>
      </c>
      <c r="W214" t="inlineStr">
        <is>
          <t>1996-02-22</t>
        </is>
      </c>
      <c r="X214" t="inlineStr">
        <is>
          <t>1996-02-22</t>
        </is>
      </c>
      <c r="Y214" t="n">
        <v>1348</v>
      </c>
      <c r="Z214" t="n">
        <v>1253</v>
      </c>
      <c r="AA214" t="n">
        <v>1253</v>
      </c>
      <c r="AB214" t="n">
        <v>12</v>
      </c>
      <c r="AC214" t="n">
        <v>12</v>
      </c>
      <c r="AD214" t="n">
        <v>37</v>
      </c>
      <c r="AE214" t="n">
        <v>37</v>
      </c>
      <c r="AF214" t="n">
        <v>15</v>
      </c>
      <c r="AG214" t="n">
        <v>15</v>
      </c>
      <c r="AH214" t="n">
        <v>9</v>
      </c>
      <c r="AI214" t="n">
        <v>9</v>
      </c>
      <c r="AJ214" t="n">
        <v>16</v>
      </c>
      <c r="AK214" t="n">
        <v>16</v>
      </c>
      <c r="AL214" t="n">
        <v>6</v>
      </c>
      <c r="AM214" t="n">
        <v>6</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HYPERLINK("https://creighton-primo.hosted.exlibrisgroup.com/primo-explore/search?tab=default_tab&amp;search_scope=EVERYTHING&amp;vid=01CRU&amp;lang=en_US&amp;offset=0&amp;query=any,contains,991002496779702656","Catalog Record")</f>
        <v/>
      </c>
      <c r="AT214">
        <f>HYPERLINK("http://www.worldcat.org/oclc/32469122","WorldCat Record")</f>
        <v/>
      </c>
      <c r="AU214" t="inlineStr">
        <is>
          <t>836923518:eng</t>
        </is>
      </c>
      <c r="AV214" t="inlineStr">
        <is>
          <t>32469122</t>
        </is>
      </c>
      <c r="AW214" t="inlineStr">
        <is>
          <t>991002496779702656</t>
        </is>
      </c>
      <c r="AX214" t="inlineStr">
        <is>
          <t>991002496779702656</t>
        </is>
      </c>
      <c r="AY214" t="inlineStr">
        <is>
          <t>2264458260002656</t>
        </is>
      </c>
      <c r="AZ214" t="inlineStr">
        <is>
          <t>BOOK</t>
        </is>
      </c>
      <c r="BB214" t="inlineStr">
        <is>
          <t>9780520202023</t>
        </is>
      </c>
      <c r="BC214" t="inlineStr">
        <is>
          <t>32285002137312</t>
        </is>
      </c>
      <c r="BD214" t="inlineStr">
        <is>
          <t>893704148</t>
        </is>
      </c>
    </row>
    <row r="215">
      <c r="A215" t="inlineStr">
        <is>
          <t>No</t>
        </is>
      </c>
      <c r="B215" t="inlineStr">
        <is>
          <t>ND236 .T447 1969</t>
        </is>
      </c>
      <c r="C215" t="inlineStr">
        <is>
          <t>0                      ND 0236000T  447         1969</t>
        </is>
      </c>
      <c r="D215" t="inlineStr">
        <is>
          <t>Three painters of America : Charles Demuth / by Andrew Carnduff Ritchie. Charles Sheeler, with an introduction by William Carlos Williams. Edward Hopper, with texts by Alfred H. Barr, Jr. and Charles Burchfield, and notes by the artist.</t>
        </is>
      </c>
      <c r="F215" t="inlineStr">
        <is>
          <t>No</t>
        </is>
      </c>
      <c r="G215" t="inlineStr">
        <is>
          <t>1</t>
        </is>
      </c>
      <c r="H215" t="inlineStr">
        <is>
          <t>No</t>
        </is>
      </c>
      <c r="I215" t="inlineStr">
        <is>
          <t>No</t>
        </is>
      </c>
      <c r="J215" t="inlineStr">
        <is>
          <t>0</t>
        </is>
      </c>
      <c r="L215" t="inlineStr">
        <is>
          <t>[New York] Published for the Museum of Modern Art by Arno Press, 1969.</t>
        </is>
      </c>
      <c r="M215" t="inlineStr">
        <is>
          <t>1969</t>
        </is>
      </c>
      <c r="N215" t="inlineStr">
        <is>
          <t>Reprint ed.</t>
        </is>
      </c>
      <c r="O215" t="inlineStr">
        <is>
          <t>eng</t>
        </is>
      </c>
      <c r="P215" t="inlineStr">
        <is>
          <t>nyu</t>
        </is>
      </c>
      <c r="R215" t="inlineStr">
        <is>
          <t xml:space="preserve">ND </t>
        </is>
      </c>
      <c r="S215" t="n">
        <v>5</v>
      </c>
      <c r="T215" t="n">
        <v>5</v>
      </c>
      <c r="U215" t="inlineStr">
        <is>
          <t>2003-11-18</t>
        </is>
      </c>
      <c r="V215" t="inlineStr">
        <is>
          <t>2003-11-18</t>
        </is>
      </c>
      <c r="W215" t="inlineStr">
        <is>
          <t>1997-05-28</t>
        </is>
      </c>
      <c r="X215" t="inlineStr">
        <is>
          <t>1997-05-28</t>
        </is>
      </c>
      <c r="Y215" t="n">
        <v>404</v>
      </c>
      <c r="Z215" t="n">
        <v>365</v>
      </c>
      <c r="AA215" t="n">
        <v>366</v>
      </c>
      <c r="AB215" t="n">
        <v>4</v>
      </c>
      <c r="AC215" t="n">
        <v>4</v>
      </c>
      <c r="AD215" t="n">
        <v>14</v>
      </c>
      <c r="AE215" t="n">
        <v>14</v>
      </c>
      <c r="AF215" t="n">
        <v>2</v>
      </c>
      <c r="AG215" t="n">
        <v>2</v>
      </c>
      <c r="AH215" t="n">
        <v>3</v>
      </c>
      <c r="AI215" t="n">
        <v>3</v>
      </c>
      <c r="AJ215" t="n">
        <v>7</v>
      </c>
      <c r="AK215" t="n">
        <v>7</v>
      </c>
      <c r="AL215" t="n">
        <v>3</v>
      </c>
      <c r="AM215" t="n">
        <v>3</v>
      </c>
      <c r="AN215" t="n">
        <v>0</v>
      </c>
      <c r="AO215" t="n">
        <v>0</v>
      </c>
      <c r="AP215" t="inlineStr">
        <is>
          <t>No</t>
        </is>
      </c>
      <c r="AQ215" t="inlineStr">
        <is>
          <t>Yes</t>
        </is>
      </c>
      <c r="AR215">
        <f>HYPERLINK("http://catalog.hathitrust.org/Record/007064919","HathiTrust Record")</f>
        <v/>
      </c>
      <c r="AS215">
        <f>HYPERLINK("https://creighton-primo.hosted.exlibrisgroup.com/primo-explore/search?tab=default_tab&amp;search_scope=EVERYTHING&amp;vid=01CRU&amp;lang=en_US&amp;offset=0&amp;query=any,contains,991000574579702656","Catalog Record")</f>
        <v/>
      </c>
      <c r="AT215">
        <f>HYPERLINK("http://www.worldcat.org/oclc/94889","WorldCat Record")</f>
        <v/>
      </c>
      <c r="AU215" t="inlineStr">
        <is>
          <t>5623764769:eng</t>
        </is>
      </c>
      <c r="AV215" t="inlineStr">
        <is>
          <t>94889</t>
        </is>
      </c>
      <c r="AW215" t="inlineStr">
        <is>
          <t>991000574579702656</t>
        </is>
      </c>
      <c r="AX215" t="inlineStr">
        <is>
          <t>991000574579702656</t>
        </is>
      </c>
      <c r="AY215" t="inlineStr">
        <is>
          <t>2265985420002656</t>
        </is>
      </c>
      <c r="AZ215" t="inlineStr">
        <is>
          <t>BOOK</t>
        </is>
      </c>
      <c r="BC215" t="inlineStr">
        <is>
          <t>32285002698339</t>
        </is>
      </c>
      <c r="BD215" t="inlineStr">
        <is>
          <t>893865495</t>
        </is>
      </c>
    </row>
    <row r="216">
      <c r="A216" t="inlineStr">
        <is>
          <t>No</t>
        </is>
      </c>
      <c r="B216" t="inlineStr">
        <is>
          <t>ND237.A2 B6</t>
        </is>
      </c>
      <c r="C216" t="inlineStr">
        <is>
          <t>0                      ND 0237000A  2                  B  6</t>
        </is>
      </c>
      <c r="D216" t="inlineStr">
        <is>
          <t>A decade of still life.</t>
        </is>
      </c>
      <c r="F216" t="inlineStr">
        <is>
          <t>No</t>
        </is>
      </c>
      <c r="G216" t="inlineStr">
        <is>
          <t>1</t>
        </is>
      </c>
      <c r="H216" t="inlineStr">
        <is>
          <t>No</t>
        </is>
      </c>
      <c r="I216" t="inlineStr">
        <is>
          <t>No</t>
        </is>
      </c>
      <c r="J216" t="inlineStr">
        <is>
          <t>0</t>
        </is>
      </c>
      <c r="K216" t="inlineStr">
        <is>
          <t>Bohrod, Aaron.</t>
        </is>
      </c>
      <c r="L216" t="inlineStr">
        <is>
          <t>Madison, University of Wisconsin Press, 1966.</t>
        </is>
      </c>
      <c r="M216" t="inlineStr">
        <is>
          <t>1966</t>
        </is>
      </c>
      <c r="O216" t="inlineStr">
        <is>
          <t>eng</t>
        </is>
      </c>
      <c r="P216" t="inlineStr">
        <is>
          <t>wiu</t>
        </is>
      </c>
      <c r="R216" t="inlineStr">
        <is>
          <t xml:space="preserve">ND </t>
        </is>
      </c>
      <c r="S216" t="n">
        <v>1</v>
      </c>
      <c r="T216" t="n">
        <v>1</v>
      </c>
      <c r="U216" t="inlineStr">
        <is>
          <t>2006-10-23</t>
        </is>
      </c>
      <c r="V216" t="inlineStr">
        <is>
          <t>2006-10-23</t>
        </is>
      </c>
      <c r="W216" t="inlineStr">
        <is>
          <t>1997-07-23</t>
        </is>
      </c>
      <c r="X216" t="inlineStr">
        <is>
          <t>1997-07-23</t>
        </is>
      </c>
      <c r="Y216" t="n">
        <v>528</v>
      </c>
      <c r="Z216" t="n">
        <v>495</v>
      </c>
      <c r="AA216" t="n">
        <v>498</v>
      </c>
      <c r="AB216" t="n">
        <v>4</v>
      </c>
      <c r="AC216" t="n">
        <v>4</v>
      </c>
      <c r="AD216" t="n">
        <v>11</v>
      </c>
      <c r="AE216" t="n">
        <v>11</v>
      </c>
      <c r="AF216" t="n">
        <v>3</v>
      </c>
      <c r="AG216" t="n">
        <v>3</v>
      </c>
      <c r="AH216" t="n">
        <v>2</v>
      </c>
      <c r="AI216" t="n">
        <v>2</v>
      </c>
      <c r="AJ216" t="n">
        <v>4</v>
      </c>
      <c r="AK216" t="n">
        <v>4</v>
      </c>
      <c r="AL216" t="n">
        <v>3</v>
      </c>
      <c r="AM216" t="n">
        <v>3</v>
      </c>
      <c r="AN216" t="n">
        <v>0</v>
      </c>
      <c r="AO216" t="n">
        <v>0</v>
      </c>
      <c r="AP216" t="inlineStr">
        <is>
          <t>No</t>
        </is>
      </c>
      <c r="AQ216" t="inlineStr">
        <is>
          <t>Yes</t>
        </is>
      </c>
      <c r="AR216">
        <f>HYPERLINK("http://catalog.hathitrust.org/Record/000021152","HathiTrust Record")</f>
        <v/>
      </c>
      <c r="AS216">
        <f>HYPERLINK("https://creighton-primo.hosted.exlibrisgroup.com/primo-explore/search?tab=default_tab&amp;search_scope=EVERYTHING&amp;vid=01CRU&amp;lang=en_US&amp;offset=0&amp;query=any,contains,991003629769702656","Catalog Record")</f>
        <v/>
      </c>
      <c r="AT216">
        <f>HYPERLINK("http://www.worldcat.org/oclc/1220765","WorldCat Record")</f>
        <v/>
      </c>
      <c r="AU216" t="inlineStr">
        <is>
          <t>2116017:eng</t>
        </is>
      </c>
      <c r="AV216" t="inlineStr">
        <is>
          <t>1220765</t>
        </is>
      </c>
      <c r="AW216" t="inlineStr">
        <is>
          <t>991003629769702656</t>
        </is>
      </c>
      <c r="AX216" t="inlineStr">
        <is>
          <t>991003629769702656</t>
        </is>
      </c>
      <c r="AY216" t="inlineStr">
        <is>
          <t>2259997490002656</t>
        </is>
      </c>
      <c r="AZ216" t="inlineStr">
        <is>
          <t>BOOK</t>
        </is>
      </c>
      <c r="BC216" t="inlineStr">
        <is>
          <t>32285002966470</t>
        </is>
      </c>
      <c r="BD216" t="inlineStr">
        <is>
          <t>893774972</t>
        </is>
      </c>
    </row>
    <row r="217">
      <c r="A217" t="inlineStr">
        <is>
          <t>No</t>
        </is>
      </c>
      <c r="B217" t="inlineStr">
        <is>
          <t>ND237.B275 G65 1989</t>
        </is>
      </c>
      <c r="C217" t="inlineStr">
        <is>
          <t>0                      ND 0237000B  275                G  65          1989</t>
        </is>
      </c>
      <c r="D217" t="inlineStr">
        <is>
          <t>Jennifer Bartlett / Marge Goldwater, Roberta Smith, Calvin Tomkins.</t>
        </is>
      </c>
      <c r="F217" t="inlineStr">
        <is>
          <t>No</t>
        </is>
      </c>
      <c r="G217" t="inlineStr">
        <is>
          <t>1</t>
        </is>
      </c>
      <c r="H217" t="inlineStr">
        <is>
          <t>No</t>
        </is>
      </c>
      <c r="I217" t="inlineStr">
        <is>
          <t>No</t>
        </is>
      </c>
      <c r="J217" t="inlineStr">
        <is>
          <t>0</t>
        </is>
      </c>
      <c r="K217" t="inlineStr">
        <is>
          <t>Goldwater, Marge.</t>
        </is>
      </c>
      <c r="L217" t="inlineStr">
        <is>
          <t>Minneapolis : Walker Art Center ; New York : Abbeville Press, [1989]</t>
        </is>
      </c>
      <c r="M217" t="inlineStr">
        <is>
          <t>1989</t>
        </is>
      </c>
      <c r="N217" t="inlineStr">
        <is>
          <t>2nd ed.</t>
        </is>
      </c>
      <c r="O217" t="inlineStr">
        <is>
          <t>eng</t>
        </is>
      </c>
      <c r="P217" t="inlineStr">
        <is>
          <t>nyu</t>
        </is>
      </c>
      <c r="R217" t="inlineStr">
        <is>
          <t xml:space="preserve">ND </t>
        </is>
      </c>
      <c r="S217" t="n">
        <v>6</v>
      </c>
      <c r="T217" t="n">
        <v>6</v>
      </c>
      <c r="U217" t="inlineStr">
        <is>
          <t>1993-08-25</t>
        </is>
      </c>
      <c r="V217" t="inlineStr">
        <is>
          <t>1993-08-25</t>
        </is>
      </c>
      <c r="W217" t="inlineStr">
        <is>
          <t>1991-06-13</t>
        </is>
      </c>
      <c r="X217" t="inlineStr">
        <is>
          <t>1991-06-13</t>
        </is>
      </c>
      <c r="Y217" t="n">
        <v>77</v>
      </c>
      <c r="Z217" t="n">
        <v>74</v>
      </c>
      <c r="AA217" t="n">
        <v>209</v>
      </c>
      <c r="AB217" t="n">
        <v>2</v>
      </c>
      <c r="AC217" t="n">
        <v>4</v>
      </c>
      <c r="AD217" t="n">
        <v>2</v>
      </c>
      <c r="AE217" t="n">
        <v>9</v>
      </c>
      <c r="AF217" t="n">
        <v>2</v>
      </c>
      <c r="AG217" t="n">
        <v>4</v>
      </c>
      <c r="AH217" t="n">
        <v>0</v>
      </c>
      <c r="AI217" t="n">
        <v>1</v>
      </c>
      <c r="AJ217" t="n">
        <v>1</v>
      </c>
      <c r="AK217" t="n">
        <v>5</v>
      </c>
      <c r="AL217" t="n">
        <v>0</v>
      </c>
      <c r="AM217" t="n">
        <v>2</v>
      </c>
      <c r="AN217" t="n">
        <v>0</v>
      </c>
      <c r="AO217" t="n">
        <v>0</v>
      </c>
      <c r="AP217" t="inlineStr">
        <is>
          <t>No</t>
        </is>
      </c>
      <c r="AQ217" t="inlineStr">
        <is>
          <t>Yes</t>
        </is>
      </c>
      <c r="AR217">
        <f>HYPERLINK("http://catalog.hathitrust.org/Record/002230875","HathiTrust Record")</f>
        <v/>
      </c>
      <c r="AS217">
        <f>HYPERLINK("https://creighton-primo.hosted.exlibrisgroup.com/primo-explore/search?tab=default_tab&amp;search_scope=EVERYTHING&amp;vid=01CRU&amp;lang=en_US&amp;offset=0&amp;query=any,contains,991001763599702656","Catalog Record")</f>
        <v/>
      </c>
      <c r="AT217">
        <f>HYPERLINK("http://www.worldcat.org/oclc/22281784","WorldCat Record")</f>
        <v/>
      </c>
      <c r="AU217" t="inlineStr">
        <is>
          <t>3372772825:eng</t>
        </is>
      </c>
      <c r="AV217" t="inlineStr">
        <is>
          <t>22281784</t>
        </is>
      </c>
      <c r="AW217" t="inlineStr">
        <is>
          <t>991001763599702656</t>
        </is>
      </c>
      <c r="AX217" t="inlineStr">
        <is>
          <t>991001763599702656</t>
        </is>
      </c>
      <c r="AY217" t="inlineStr">
        <is>
          <t>2267964820002656</t>
        </is>
      </c>
      <c r="AZ217" t="inlineStr">
        <is>
          <t>BOOK</t>
        </is>
      </c>
      <c r="BC217" t="inlineStr">
        <is>
          <t>32285000656073</t>
        </is>
      </c>
      <c r="BD217" t="inlineStr">
        <is>
          <t>893803873</t>
        </is>
      </c>
    </row>
    <row r="218">
      <c r="A218" t="inlineStr">
        <is>
          <t>No</t>
        </is>
      </c>
      <c r="B218" t="inlineStr">
        <is>
          <t>ND237.B45 D6 1992</t>
        </is>
      </c>
      <c r="C218" t="inlineStr">
        <is>
          <t>0                      ND 0237000B  45                 D  6           1992</t>
        </is>
      </c>
      <c r="D218" t="inlineStr">
        <is>
          <t>George Bellows and urban America / Marianne Doezema.</t>
        </is>
      </c>
      <c r="F218" t="inlineStr">
        <is>
          <t>No</t>
        </is>
      </c>
      <c r="G218" t="inlineStr">
        <is>
          <t>1</t>
        </is>
      </c>
      <c r="H218" t="inlineStr">
        <is>
          <t>No</t>
        </is>
      </c>
      <c r="I218" t="inlineStr">
        <is>
          <t>No</t>
        </is>
      </c>
      <c r="J218" t="inlineStr">
        <is>
          <t>0</t>
        </is>
      </c>
      <c r="K218" t="inlineStr">
        <is>
          <t>Doezema, Marianne, 1950-</t>
        </is>
      </c>
      <c r="L218" t="inlineStr">
        <is>
          <t>New Haven : Yale University Press, c1992.</t>
        </is>
      </c>
      <c r="M218" t="inlineStr">
        <is>
          <t>1992</t>
        </is>
      </c>
      <c r="O218" t="inlineStr">
        <is>
          <t>eng</t>
        </is>
      </c>
      <c r="P218" t="inlineStr">
        <is>
          <t>ctu</t>
        </is>
      </c>
      <c r="R218" t="inlineStr">
        <is>
          <t xml:space="preserve">ND </t>
        </is>
      </c>
      <c r="S218" t="n">
        <v>4</v>
      </c>
      <c r="T218" t="n">
        <v>4</v>
      </c>
      <c r="U218" t="inlineStr">
        <is>
          <t>2008-01-18</t>
        </is>
      </c>
      <c r="V218" t="inlineStr">
        <is>
          <t>2008-01-18</t>
        </is>
      </c>
      <c r="W218" t="inlineStr">
        <is>
          <t>1993-10-26</t>
        </is>
      </c>
      <c r="X218" t="inlineStr">
        <is>
          <t>1993-10-26</t>
        </is>
      </c>
      <c r="Y218" t="n">
        <v>655</v>
      </c>
      <c r="Z218" t="n">
        <v>574</v>
      </c>
      <c r="AA218" t="n">
        <v>575</v>
      </c>
      <c r="AB218" t="n">
        <v>5</v>
      </c>
      <c r="AC218" t="n">
        <v>5</v>
      </c>
      <c r="AD218" t="n">
        <v>26</v>
      </c>
      <c r="AE218" t="n">
        <v>26</v>
      </c>
      <c r="AF218" t="n">
        <v>11</v>
      </c>
      <c r="AG218" t="n">
        <v>11</v>
      </c>
      <c r="AH218" t="n">
        <v>6</v>
      </c>
      <c r="AI218" t="n">
        <v>6</v>
      </c>
      <c r="AJ218" t="n">
        <v>12</v>
      </c>
      <c r="AK218" t="n">
        <v>12</v>
      </c>
      <c r="AL218" t="n">
        <v>3</v>
      </c>
      <c r="AM218" t="n">
        <v>3</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HYPERLINK("https://creighton-primo.hosted.exlibrisgroup.com/primo-explore/search?tab=default_tab&amp;search_scope=EVERYTHING&amp;vid=01CRU&amp;lang=en_US&amp;offset=0&amp;query=any,contains,991001885189702656","Catalog Record")</f>
        <v/>
      </c>
      <c r="AT218">
        <f>HYPERLINK("http://www.worldcat.org/oclc/23766617","WorldCat Record")</f>
        <v/>
      </c>
      <c r="AU218" t="inlineStr">
        <is>
          <t>25041554:eng</t>
        </is>
      </c>
      <c r="AV218" t="inlineStr">
        <is>
          <t>23766617</t>
        </is>
      </c>
      <c r="AW218" t="inlineStr">
        <is>
          <t>991001885189702656</t>
        </is>
      </c>
      <c r="AX218" t="inlineStr">
        <is>
          <t>991001885189702656</t>
        </is>
      </c>
      <c r="AY218" t="inlineStr">
        <is>
          <t>2269464380002656</t>
        </is>
      </c>
      <c r="AZ218" t="inlineStr">
        <is>
          <t>BOOK</t>
        </is>
      </c>
      <c r="BB218" t="inlineStr">
        <is>
          <t>9780300050431</t>
        </is>
      </c>
      <c r="BC218" t="inlineStr">
        <is>
          <t>32285001788602</t>
        </is>
      </c>
      <c r="BD218" t="inlineStr">
        <is>
          <t>893690994</t>
        </is>
      </c>
    </row>
    <row r="219">
      <c r="A219" t="inlineStr">
        <is>
          <t>No</t>
        </is>
      </c>
      <c r="B219" t="inlineStr">
        <is>
          <t>ND237.B45 M6</t>
        </is>
      </c>
      <c r="C219" t="inlineStr">
        <is>
          <t>0                      ND 0237000B  45                 M  6</t>
        </is>
      </c>
      <c r="D219" t="inlineStr">
        <is>
          <t>George Bellows, painter of America [by] Charles H. Morgan. With an introd. by Daniel Catton Rich.</t>
        </is>
      </c>
      <c r="F219" t="inlineStr">
        <is>
          <t>No</t>
        </is>
      </c>
      <c r="G219" t="inlineStr">
        <is>
          <t>1</t>
        </is>
      </c>
      <c r="H219" t="inlineStr">
        <is>
          <t>No</t>
        </is>
      </c>
      <c r="I219" t="inlineStr">
        <is>
          <t>No</t>
        </is>
      </c>
      <c r="J219" t="inlineStr">
        <is>
          <t>0</t>
        </is>
      </c>
      <c r="K219" t="inlineStr">
        <is>
          <t>Morgan, Charles H. (Charles Hill), 1902-1984.</t>
        </is>
      </c>
      <c r="L219" t="inlineStr">
        <is>
          <t>New York, Reynal, 1965.</t>
        </is>
      </c>
      <c r="M219" t="inlineStr">
        <is>
          <t>1965</t>
        </is>
      </c>
      <c r="O219" t="inlineStr">
        <is>
          <t>eng</t>
        </is>
      </c>
      <c r="P219" t="inlineStr">
        <is>
          <t>nyu</t>
        </is>
      </c>
      <c r="R219" t="inlineStr">
        <is>
          <t xml:space="preserve">ND </t>
        </is>
      </c>
      <c r="S219" t="n">
        <v>2</v>
      </c>
      <c r="T219" t="n">
        <v>2</v>
      </c>
      <c r="U219" t="inlineStr">
        <is>
          <t>2008-01-18</t>
        </is>
      </c>
      <c r="V219" t="inlineStr">
        <is>
          <t>2008-01-18</t>
        </is>
      </c>
      <c r="W219" t="inlineStr">
        <is>
          <t>1997-07-23</t>
        </is>
      </c>
      <c r="X219" t="inlineStr">
        <is>
          <t>1997-07-23</t>
        </is>
      </c>
      <c r="Y219" t="n">
        <v>827</v>
      </c>
      <c r="Z219" t="n">
        <v>780</v>
      </c>
      <c r="AA219" t="n">
        <v>878</v>
      </c>
      <c r="AB219" t="n">
        <v>10</v>
      </c>
      <c r="AC219" t="n">
        <v>10</v>
      </c>
      <c r="AD219" t="n">
        <v>27</v>
      </c>
      <c r="AE219" t="n">
        <v>27</v>
      </c>
      <c r="AF219" t="n">
        <v>7</v>
      </c>
      <c r="AG219" t="n">
        <v>7</v>
      </c>
      <c r="AH219" t="n">
        <v>4</v>
      </c>
      <c r="AI219" t="n">
        <v>4</v>
      </c>
      <c r="AJ219" t="n">
        <v>14</v>
      </c>
      <c r="AK219" t="n">
        <v>14</v>
      </c>
      <c r="AL219" t="n">
        <v>6</v>
      </c>
      <c r="AM219" t="n">
        <v>6</v>
      </c>
      <c r="AN219" t="n">
        <v>0</v>
      </c>
      <c r="AO219" t="n">
        <v>0</v>
      </c>
      <c r="AP219" t="inlineStr">
        <is>
          <t>No</t>
        </is>
      </c>
      <c r="AQ219" t="inlineStr">
        <is>
          <t>Yes</t>
        </is>
      </c>
      <c r="AR219">
        <f>HYPERLINK("http://catalog.hathitrust.org/Record/000368859","HathiTrust Record")</f>
        <v/>
      </c>
      <c r="AS219">
        <f>HYPERLINK("https://creighton-primo.hosted.exlibrisgroup.com/primo-explore/search?tab=default_tab&amp;search_scope=EVERYTHING&amp;vid=01CRU&amp;lang=en_US&amp;offset=0&amp;query=any,contains,991002734989702656","Catalog Record")</f>
        <v/>
      </c>
      <c r="AT219">
        <f>HYPERLINK("http://www.worldcat.org/oclc/418809","WorldCat Record")</f>
        <v/>
      </c>
      <c r="AU219" t="inlineStr">
        <is>
          <t>144396451:eng</t>
        </is>
      </c>
      <c r="AV219" t="inlineStr">
        <is>
          <t>418809</t>
        </is>
      </c>
      <c r="AW219" t="inlineStr">
        <is>
          <t>991002734989702656</t>
        </is>
      </c>
      <c r="AX219" t="inlineStr">
        <is>
          <t>991002734989702656</t>
        </is>
      </c>
      <c r="AY219" t="inlineStr">
        <is>
          <t>2260989300002656</t>
        </is>
      </c>
      <c r="AZ219" t="inlineStr">
        <is>
          <t>BOOK</t>
        </is>
      </c>
      <c r="BC219" t="inlineStr">
        <is>
          <t>32285002966504</t>
        </is>
      </c>
      <c r="BD219" t="inlineStr">
        <is>
          <t>893880340</t>
        </is>
      </c>
    </row>
    <row r="220">
      <c r="A220" t="inlineStr">
        <is>
          <t>No</t>
        </is>
      </c>
      <c r="B220" t="inlineStr">
        <is>
          <t>ND237.B45 Y67</t>
        </is>
      </c>
      <c r="C220" t="inlineStr">
        <is>
          <t>0                      ND 0237000B  45                 Y  67</t>
        </is>
      </c>
      <c r="D220" t="inlineStr">
        <is>
          <t>The paintings of George Bellows.</t>
        </is>
      </c>
      <c r="F220" t="inlineStr">
        <is>
          <t>No</t>
        </is>
      </c>
      <c r="G220" t="inlineStr">
        <is>
          <t>1</t>
        </is>
      </c>
      <c r="H220" t="inlineStr">
        <is>
          <t>No</t>
        </is>
      </c>
      <c r="I220" t="inlineStr">
        <is>
          <t>No</t>
        </is>
      </c>
      <c r="J220" t="inlineStr">
        <is>
          <t>0</t>
        </is>
      </c>
      <c r="K220" t="inlineStr">
        <is>
          <t>Young, Mahonri Sharp, 1911-1996.</t>
        </is>
      </c>
      <c r="L220" t="inlineStr">
        <is>
          <t>New York, Watson-Guptill Publications [1973]</t>
        </is>
      </c>
      <c r="M220" t="inlineStr">
        <is>
          <t>1973</t>
        </is>
      </c>
      <c r="O220" t="inlineStr">
        <is>
          <t>eng</t>
        </is>
      </c>
      <c r="P220" t="inlineStr">
        <is>
          <t>nyu</t>
        </is>
      </c>
      <c r="R220" t="inlineStr">
        <is>
          <t xml:space="preserve">ND </t>
        </is>
      </c>
      <c r="S220" t="n">
        <v>2</v>
      </c>
      <c r="T220" t="n">
        <v>2</v>
      </c>
      <c r="U220" t="inlineStr">
        <is>
          <t>2008-01-18</t>
        </is>
      </c>
      <c r="V220" t="inlineStr">
        <is>
          <t>2008-01-18</t>
        </is>
      </c>
      <c r="W220" t="inlineStr">
        <is>
          <t>1997-07-23</t>
        </is>
      </c>
      <c r="X220" t="inlineStr">
        <is>
          <t>1997-07-23</t>
        </is>
      </c>
      <c r="Y220" t="n">
        <v>845</v>
      </c>
      <c r="Z220" t="n">
        <v>793</v>
      </c>
      <c r="AA220" t="n">
        <v>800</v>
      </c>
      <c r="AB220" t="n">
        <v>7</v>
      </c>
      <c r="AC220" t="n">
        <v>7</v>
      </c>
      <c r="AD220" t="n">
        <v>27</v>
      </c>
      <c r="AE220" t="n">
        <v>27</v>
      </c>
      <c r="AF220" t="n">
        <v>11</v>
      </c>
      <c r="AG220" t="n">
        <v>11</v>
      </c>
      <c r="AH220" t="n">
        <v>5</v>
      </c>
      <c r="AI220" t="n">
        <v>5</v>
      </c>
      <c r="AJ220" t="n">
        <v>10</v>
      </c>
      <c r="AK220" t="n">
        <v>10</v>
      </c>
      <c r="AL220" t="n">
        <v>5</v>
      </c>
      <c r="AM220" t="n">
        <v>5</v>
      </c>
      <c r="AN220" t="n">
        <v>0</v>
      </c>
      <c r="AO220" t="n">
        <v>0</v>
      </c>
      <c r="AP220" t="inlineStr">
        <is>
          <t>No</t>
        </is>
      </c>
      <c r="AQ220" t="inlineStr">
        <is>
          <t>Yes</t>
        </is>
      </c>
      <c r="AR220">
        <f>HYPERLINK("http://catalog.hathitrust.org/Record/000368866","HathiTrust Record")</f>
        <v/>
      </c>
      <c r="AS220">
        <f>HYPERLINK("https://creighton-primo.hosted.exlibrisgroup.com/primo-explore/search?tab=default_tab&amp;search_scope=EVERYTHING&amp;vid=01CRU&amp;lang=en_US&amp;offset=0&amp;query=any,contains,991003055759702656","Catalog Record")</f>
        <v/>
      </c>
      <c r="AT220">
        <f>HYPERLINK("http://www.worldcat.org/oclc/614183","WorldCat Record")</f>
        <v/>
      </c>
      <c r="AU220" t="inlineStr">
        <is>
          <t>1807063693:eng</t>
        </is>
      </c>
      <c r="AV220" t="inlineStr">
        <is>
          <t>614183</t>
        </is>
      </c>
      <c r="AW220" t="inlineStr">
        <is>
          <t>991003055759702656</t>
        </is>
      </c>
      <c r="AX220" t="inlineStr">
        <is>
          <t>991003055759702656</t>
        </is>
      </c>
      <c r="AY220" t="inlineStr">
        <is>
          <t>2270316350002656</t>
        </is>
      </c>
      <c r="AZ220" t="inlineStr">
        <is>
          <t>BOOK</t>
        </is>
      </c>
      <c r="BB220" t="inlineStr">
        <is>
          <t>9780823038855</t>
        </is>
      </c>
      <c r="BC220" t="inlineStr">
        <is>
          <t>32285002966512</t>
        </is>
      </c>
      <c r="BD220" t="inlineStr">
        <is>
          <t>893511531</t>
        </is>
      </c>
    </row>
    <row r="221">
      <c r="A221" t="inlineStr">
        <is>
          <t>No</t>
        </is>
      </c>
      <c r="B221" t="inlineStr">
        <is>
          <t>ND237.B47 A3</t>
        </is>
      </c>
      <c r="C221" t="inlineStr">
        <is>
          <t>0                      ND 0237000B  47                 A  3</t>
        </is>
      </c>
      <c r="D221" t="inlineStr">
        <is>
          <t>An artist in America / by Thomas Hart Benton; with sixty-four illustrations in two colors.</t>
        </is>
      </c>
      <c r="F221" t="inlineStr">
        <is>
          <t>No</t>
        </is>
      </c>
      <c r="G221" t="inlineStr">
        <is>
          <t>1</t>
        </is>
      </c>
      <c r="H221" t="inlineStr">
        <is>
          <t>No</t>
        </is>
      </c>
      <c r="I221" t="inlineStr">
        <is>
          <t>Yes</t>
        </is>
      </c>
      <c r="J221" t="inlineStr">
        <is>
          <t>0</t>
        </is>
      </c>
      <c r="K221" t="inlineStr">
        <is>
          <t>Benton, Thomas Hart, 1889-1975.</t>
        </is>
      </c>
      <c r="L221" t="inlineStr">
        <is>
          <t>New York : R.M. McBride &amp; Company, [c1937]</t>
        </is>
      </c>
      <c r="M221" t="inlineStr">
        <is>
          <t>1937</t>
        </is>
      </c>
      <c r="O221" t="inlineStr">
        <is>
          <t>eng</t>
        </is>
      </c>
      <c r="P221" t="inlineStr">
        <is>
          <t>nyu</t>
        </is>
      </c>
      <c r="R221" t="inlineStr">
        <is>
          <t xml:space="preserve">ND </t>
        </is>
      </c>
      <c r="S221" t="n">
        <v>11</v>
      </c>
      <c r="T221" t="n">
        <v>11</v>
      </c>
      <c r="U221" t="inlineStr">
        <is>
          <t>1998-11-12</t>
        </is>
      </c>
      <c r="V221" t="inlineStr">
        <is>
          <t>1998-11-12</t>
        </is>
      </c>
      <c r="W221" t="inlineStr">
        <is>
          <t>1991-12-09</t>
        </is>
      </c>
      <c r="X221" t="inlineStr">
        <is>
          <t>1991-12-09</t>
        </is>
      </c>
      <c r="Y221" t="n">
        <v>440</v>
      </c>
      <c r="Z221" t="n">
        <v>417</v>
      </c>
      <c r="AA221" t="n">
        <v>1289</v>
      </c>
      <c r="AB221" t="n">
        <v>2</v>
      </c>
      <c r="AC221" t="n">
        <v>10</v>
      </c>
      <c r="AD221" t="n">
        <v>13</v>
      </c>
      <c r="AE221" t="n">
        <v>47</v>
      </c>
      <c r="AF221" t="n">
        <v>7</v>
      </c>
      <c r="AG221" t="n">
        <v>22</v>
      </c>
      <c r="AH221" t="n">
        <v>2</v>
      </c>
      <c r="AI221" t="n">
        <v>8</v>
      </c>
      <c r="AJ221" t="n">
        <v>5</v>
      </c>
      <c r="AK221" t="n">
        <v>19</v>
      </c>
      <c r="AL221" t="n">
        <v>1</v>
      </c>
      <c r="AM221" t="n">
        <v>8</v>
      </c>
      <c r="AN221" t="n">
        <v>0</v>
      </c>
      <c r="AO221" t="n">
        <v>0</v>
      </c>
      <c r="AP221" t="inlineStr">
        <is>
          <t>No</t>
        </is>
      </c>
      <c r="AQ221" t="inlineStr">
        <is>
          <t>Yes</t>
        </is>
      </c>
      <c r="AR221">
        <f>HYPERLINK("http://catalog.hathitrust.org/Record/006232366","HathiTrust Record")</f>
        <v/>
      </c>
      <c r="AS221">
        <f>HYPERLINK("https://creighton-primo.hosted.exlibrisgroup.com/primo-explore/search?tab=default_tab&amp;search_scope=EVERYTHING&amp;vid=01CRU&amp;lang=en_US&amp;offset=0&amp;query=any,contains,991002904159702656","Catalog Record")</f>
        <v/>
      </c>
      <c r="AT221">
        <f>HYPERLINK("http://www.worldcat.org/oclc/518664","WorldCat Record")</f>
        <v/>
      </c>
      <c r="AU221" t="inlineStr">
        <is>
          <t>1311185:eng</t>
        </is>
      </c>
      <c r="AV221" t="inlineStr">
        <is>
          <t>518664</t>
        </is>
      </c>
      <c r="AW221" t="inlineStr">
        <is>
          <t>991002904159702656</t>
        </is>
      </c>
      <c r="AX221" t="inlineStr">
        <is>
          <t>991002904159702656</t>
        </is>
      </c>
      <c r="AY221" t="inlineStr">
        <is>
          <t>2255681580002656</t>
        </is>
      </c>
      <c r="AZ221" t="inlineStr">
        <is>
          <t>BOOK</t>
        </is>
      </c>
      <c r="BC221" t="inlineStr">
        <is>
          <t>32285000876317</t>
        </is>
      </c>
      <c r="BD221" t="inlineStr">
        <is>
          <t>893415789</t>
        </is>
      </c>
    </row>
    <row r="222">
      <c r="A222" t="inlineStr">
        <is>
          <t>No</t>
        </is>
      </c>
      <c r="B222" t="inlineStr">
        <is>
          <t>ND237.B47 A84 1989</t>
        </is>
      </c>
      <c r="C222" t="inlineStr">
        <is>
          <t>0                      ND 0237000B  47                 A  84          1989</t>
        </is>
      </c>
      <c r="D222" t="inlineStr">
        <is>
          <t>Thomas Hart Benton : an American original / Henry Adams.</t>
        </is>
      </c>
      <c r="F222" t="inlineStr">
        <is>
          <t>No</t>
        </is>
      </c>
      <c r="G222" t="inlineStr">
        <is>
          <t>1</t>
        </is>
      </c>
      <c r="H222" t="inlineStr">
        <is>
          <t>No</t>
        </is>
      </c>
      <c r="I222" t="inlineStr">
        <is>
          <t>No</t>
        </is>
      </c>
      <c r="J222" t="inlineStr">
        <is>
          <t>0</t>
        </is>
      </c>
      <c r="K222" t="inlineStr">
        <is>
          <t>Adams, Henry, 1949-</t>
        </is>
      </c>
      <c r="L222" t="inlineStr">
        <is>
          <t>New York : Knopf, c1989.</t>
        </is>
      </c>
      <c r="M222" t="inlineStr">
        <is>
          <t>1989</t>
        </is>
      </c>
      <c r="N222" t="inlineStr">
        <is>
          <t>1st ed.</t>
        </is>
      </c>
      <c r="O222" t="inlineStr">
        <is>
          <t>eng</t>
        </is>
      </c>
      <c r="P222" t="inlineStr">
        <is>
          <t>nyu</t>
        </is>
      </c>
      <c r="R222" t="inlineStr">
        <is>
          <t xml:space="preserve">ND </t>
        </is>
      </c>
      <c r="S222" t="n">
        <v>23</v>
      </c>
      <c r="T222" t="n">
        <v>23</v>
      </c>
      <c r="U222" t="inlineStr">
        <is>
          <t>1998-12-01</t>
        </is>
      </c>
      <c r="V222" t="inlineStr">
        <is>
          <t>1998-12-01</t>
        </is>
      </c>
      <c r="W222" t="inlineStr">
        <is>
          <t>1993-09-13</t>
        </is>
      </c>
      <c r="X222" t="inlineStr">
        <is>
          <t>1993-09-13</t>
        </is>
      </c>
      <c r="Y222" t="n">
        <v>1070</v>
      </c>
      <c r="Z222" t="n">
        <v>1007</v>
      </c>
      <c r="AA222" t="n">
        <v>1038</v>
      </c>
      <c r="AB222" t="n">
        <v>10</v>
      </c>
      <c r="AC222" t="n">
        <v>10</v>
      </c>
      <c r="AD222" t="n">
        <v>24</v>
      </c>
      <c r="AE222" t="n">
        <v>24</v>
      </c>
      <c r="AF222" t="n">
        <v>10</v>
      </c>
      <c r="AG222" t="n">
        <v>10</v>
      </c>
      <c r="AH222" t="n">
        <v>4</v>
      </c>
      <c r="AI222" t="n">
        <v>4</v>
      </c>
      <c r="AJ222" t="n">
        <v>12</v>
      </c>
      <c r="AK222" t="n">
        <v>12</v>
      </c>
      <c r="AL222" t="n">
        <v>4</v>
      </c>
      <c r="AM222" t="n">
        <v>4</v>
      </c>
      <c r="AN222" t="n">
        <v>0</v>
      </c>
      <c r="AO222" t="n">
        <v>0</v>
      </c>
      <c r="AP222" t="inlineStr">
        <is>
          <t>No</t>
        </is>
      </c>
      <c r="AQ222" t="inlineStr">
        <is>
          <t>Yes</t>
        </is>
      </c>
      <c r="AR222">
        <f>HYPERLINK("http://catalog.hathitrust.org/Record/002053746","HathiTrust Record")</f>
        <v/>
      </c>
      <c r="AS222">
        <f>HYPERLINK("https://creighton-primo.hosted.exlibrisgroup.com/primo-explore/search?tab=default_tab&amp;search_scope=EVERYTHING&amp;vid=01CRU&amp;lang=en_US&amp;offset=0&amp;query=any,contains,991001384269702656","Catalog Record")</f>
        <v/>
      </c>
      <c r="AT222">
        <f>HYPERLINK("http://www.worldcat.org/oclc/18715050","WorldCat Record")</f>
        <v/>
      </c>
      <c r="AU222" t="inlineStr">
        <is>
          <t>22659407:eng</t>
        </is>
      </c>
      <c r="AV222" t="inlineStr">
        <is>
          <t>18715050</t>
        </is>
      </c>
      <c r="AW222" t="inlineStr">
        <is>
          <t>991001384269702656</t>
        </is>
      </c>
      <c r="AX222" t="inlineStr">
        <is>
          <t>991001384269702656</t>
        </is>
      </c>
      <c r="AY222" t="inlineStr">
        <is>
          <t>2262958690002656</t>
        </is>
      </c>
      <c r="AZ222" t="inlineStr">
        <is>
          <t>BOOK</t>
        </is>
      </c>
      <c r="BB222" t="inlineStr">
        <is>
          <t>9780394759586</t>
        </is>
      </c>
      <c r="BC222" t="inlineStr">
        <is>
          <t>32285001777019</t>
        </is>
      </c>
      <c r="BD222" t="inlineStr">
        <is>
          <t>893903406</t>
        </is>
      </c>
    </row>
    <row r="223">
      <c r="A223" t="inlineStr">
        <is>
          <t>No</t>
        </is>
      </c>
      <c r="B223" t="inlineStr">
        <is>
          <t>ND237.B59 R37 1991</t>
        </is>
      </c>
      <c r="C223" t="inlineStr">
        <is>
          <t>0                      ND 0237000B  59                 R  37          1991</t>
        </is>
      </c>
      <c r="D223" t="inlineStr">
        <is>
          <t>The painting and politics of George Caleb Bingham / Nancy Rash.</t>
        </is>
      </c>
      <c r="F223" t="inlineStr">
        <is>
          <t>No</t>
        </is>
      </c>
      <c r="G223" t="inlineStr">
        <is>
          <t>1</t>
        </is>
      </c>
      <c r="H223" t="inlineStr">
        <is>
          <t>No</t>
        </is>
      </c>
      <c r="I223" t="inlineStr">
        <is>
          <t>No</t>
        </is>
      </c>
      <c r="J223" t="inlineStr">
        <is>
          <t>0</t>
        </is>
      </c>
      <c r="K223" t="inlineStr">
        <is>
          <t>Rash, Nancy, 1940-</t>
        </is>
      </c>
      <c r="L223" t="inlineStr">
        <is>
          <t>New Haven : Yale University Press, c1991.</t>
        </is>
      </c>
      <c r="M223" t="inlineStr">
        <is>
          <t>1991</t>
        </is>
      </c>
      <c r="O223" t="inlineStr">
        <is>
          <t>eng</t>
        </is>
      </c>
      <c r="P223" t="inlineStr">
        <is>
          <t>ctu</t>
        </is>
      </c>
      <c r="R223" t="inlineStr">
        <is>
          <t xml:space="preserve">ND </t>
        </is>
      </c>
      <c r="S223" t="n">
        <v>2</v>
      </c>
      <c r="T223" t="n">
        <v>2</v>
      </c>
      <c r="U223" t="inlineStr">
        <is>
          <t>2005-12-19</t>
        </is>
      </c>
      <c r="V223" t="inlineStr">
        <is>
          <t>2005-12-19</t>
        </is>
      </c>
      <c r="W223" t="inlineStr">
        <is>
          <t>1992-08-26</t>
        </is>
      </c>
      <c r="X223" t="inlineStr">
        <is>
          <t>1992-08-26</t>
        </is>
      </c>
      <c r="Y223" t="n">
        <v>565</v>
      </c>
      <c r="Z223" t="n">
        <v>495</v>
      </c>
      <c r="AA223" t="n">
        <v>496</v>
      </c>
      <c r="AB223" t="n">
        <v>6</v>
      </c>
      <c r="AC223" t="n">
        <v>6</v>
      </c>
      <c r="AD223" t="n">
        <v>26</v>
      </c>
      <c r="AE223" t="n">
        <v>26</v>
      </c>
      <c r="AF223" t="n">
        <v>11</v>
      </c>
      <c r="AG223" t="n">
        <v>11</v>
      </c>
      <c r="AH223" t="n">
        <v>7</v>
      </c>
      <c r="AI223" t="n">
        <v>7</v>
      </c>
      <c r="AJ223" t="n">
        <v>12</v>
      </c>
      <c r="AK223" t="n">
        <v>12</v>
      </c>
      <c r="AL223" t="n">
        <v>3</v>
      </c>
      <c r="AM223" t="n">
        <v>3</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HYPERLINK("https://creighton-primo.hosted.exlibrisgroup.com/primo-explore/search?tab=default_tab&amp;search_scope=EVERYTHING&amp;vid=01CRU&amp;lang=en_US&amp;offset=0&amp;query=any,contains,991001698929702656","Catalog Record")</f>
        <v/>
      </c>
      <c r="AT223">
        <f>HYPERLINK("http://www.worldcat.org/oclc/21520508","WorldCat Record")</f>
        <v/>
      </c>
      <c r="AU223" t="inlineStr">
        <is>
          <t>20636733:eng</t>
        </is>
      </c>
      <c r="AV223" t="inlineStr">
        <is>
          <t>21520508</t>
        </is>
      </c>
      <c r="AW223" t="inlineStr">
        <is>
          <t>991001698929702656</t>
        </is>
      </c>
      <c r="AX223" t="inlineStr">
        <is>
          <t>991001698929702656</t>
        </is>
      </c>
      <c r="AY223" t="inlineStr">
        <is>
          <t>2257282940002656</t>
        </is>
      </c>
      <c r="AZ223" t="inlineStr">
        <is>
          <t>BOOK</t>
        </is>
      </c>
      <c r="BB223" t="inlineStr">
        <is>
          <t>9780300047318</t>
        </is>
      </c>
      <c r="BC223" t="inlineStr">
        <is>
          <t>32285001198927</t>
        </is>
      </c>
      <c r="BD223" t="inlineStr">
        <is>
          <t>893703253</t>
        </is>
      </c>
    </row>
    <row r="224">
      <c r="A224" t="inlineStr">
        <is>
          <t>No</t>
        </is>
      </c>
      <c r="B224" t="inlineStr">
        <is>
          <t>ND237.B6 V55 2003</t>
        </is>
      </c>
      <c r="C224" t="inlineStr">
        <is>
          <t>0                      ND 0237000B  6                  V  55          2003</t>
        </is>
      </c>
      <c r="D224" t="inlineStr">
        <is>
          <t>The unknown night : the madness and genius of R.A. Blakelock, an American painter / Glyn Vincent.</t>
        </is>
      </c>
      <c r="F224" t="inlineStr">
        <is>
          <t>No</t>
        </is>
      </c>
      <c r="G224" t="inlineStr">
        <is>
          <t>1</t>
        </is>
      </c>
      <c r="H224" t="inlineStr">
        <is>
          <t>No</t>
        </is>
      </c>
      <c r="I224" t="inlineStr">
        <is>
          <t>No</t>
        </is>
      </c>
      <c r="J224" t="inlineStr">
        <is>
          <t>0</t>
        </is>
      </c>
      <c r="K224" t="inlineStr">
        <is>
          <t>Vincent, Glyn.</t>
        </is>
      </c>
      <c r="L224" t="inlineStr">
        <is>
          <t>New York : Grove Press, c2003.</t>
        </is>
      </c>
      <c r="M224" t="inlineStr">
        <is>
          <t>2003</t>
        </is>
      </c>
      <c r="N224" t="inlineStr">
        <is>
          <t>1st ed.</t>
        </is>
      </c>
      <c r="O224" t="inlineStr">
        <is>
          <t>eng</t>
        </is>
      </c>
      <c r="P224" t="inlineStr">
        <is>
          <t>nyu</t>
        </is>
      </c>
      <c r="R224" t="inlineStr">
        <is>
          <t xml:space="preserve">ND </t>
        </is>
      </c>
      <c r="S224" t="n">
        <v>1</v>
      </c>
      <c r="T224" t="n">
        <v>1</v>
      </c>
      <c r="U224" t="inlineStr">
        <is>
          <t>2003-03-05</t>
        </is>
      </c>
      <c r="V224" t="inlineStr">
        <is>
          <t>2003-03-05</t>
        </is>
      </c>
      <c r="W224" t="inlineStr">
        <is>
          <t>2003-03-05</t>
        </is>
      </c>
      <c r="X224" t="inlineStr">
        <is>
          <t>2003-03-05</t>
        </is>
      </c>
      <c r="Y224" t="n">
        <v>609</v>
      </c>
      <c r="Z224" t="n">
        <v>584</v>
      </c>
      <c r="AA224" t="n">
        <v>594</v>
      </c>
      <c r="AB224" t="n">
        <v>7</v>
      </c>
      <c r="AC224" t="n">
        <v>7</v>
      </c>
      <c r="AD224" t="n">
        <v>23</v>
      </c>
      <c r="AE224" t="n">
        <v>24</v>
      </c>
      <c r="AF224" t="n">
        <v>11</v>
      </c>
      <c r="AG224" t="n">
        <v>12</v>
      </c>
      <c r="AH224" t="n">
        <v>4</v>
      </c>
      <c r="AI224" t="n">
        <v>5</v>
      </c>
      <c r="AJ224" t="n">
        <v>11</v>
      </c>
      <c r="AK224" t="n">
        <v>11</v>
      </c>
      <c r="AL224" t="n">
        <v>3</v>
      </c>
      <c r="AM224" t="n">
        <v>3</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HYPERLINK("https://creighton-primo.hosted.exlibrisgroup.com/primo-explore/search?tab=default_tab&amp;search_scope=EVERYTHING&amp;vid=01CRU&amp;lang=en_US&amp;offset=0&amp;query=any,contains,991004002269702656","Catalog Record")</f>
        <v/>
      </c>
      <c r="AT224">
        <f>HYPERLINK("http://www.worldcat.org/oclc/50291168","WorldCat Record")</f>
        <v/>
      </c>
      <c r="AU224" t="inlineStr">
        <is>
          <t>1056743:eng</t>
        </is>
      </c>
      <c r="AV224" t="inlineStr">
        <is>
          <t>50291168</t>
        </is>
      </c>
      <c r="AW224" t="inlineStr">
        <is>
          <t>991004002269702656</t>
        </is>
      </c>
      <c r="AX224" t="inlineStr">
        <is>
          <t>991004002269702656</t>
        </is>
      </c>
      <c r="AY224" t="inlineStr">
        <is>
          <t>2270333420002656</t>
        </is>
      </c>
      <c r="AZ224" t="inlineStr">
        <is>
          <t>BOOK</t>
        </is>
      </c>
      <c r="BB224" t="inlineStr">
        <is>
          <t>9780802117342</t>
        </is>
      </c>
      <c r="BC224" t="inlineStr">
        <is>
          <t>32285004682513</t>
        </is>
      </c>
      <c r="BD224" t="inlineStr">
        <is>
          <t>893531864</t>
        </is>
      </c>
    </row>
    <row r="225">
      <c r="A225" t="inlineStr">
        <is>
          <t>No</t>
        </is>
      </c>
      <c r="B225" t="inlineStr">
        <is>
          <t>ND237.C3 B68</t>
        </is>
      </c>
      <c r="C225" t="inlineStr">
        <is>
          <t>0                      ND 0237000C  3                  B  68</t>
        </is>
      </c>
      <c r="D225" t="inlineStr">
        <is>
          <t>Mary Cassatt; a catalogue raisonné of the oils, pastels, watercolors, and drawings.</t>
        </is>
      </c>
      <c r="F225" t="inlineStr">
        <is>
          <t>No</t>
        </is>
      </c>
      <c r="G225" t="inlineStr">
        <is>
          <t>1</t>
        </is>
      </c>
      <c r="H225" t="inlineStr">
        <is>
          <t>No</t>
        </is>
      </c>
      <c r="I225" t="inlineStr">
        <is>
          <t>No</t>
        </is>
      </c>
      <c r="J225" t="inlineStr">
        <is>
          <t>0</t>
        </is>
      </c>
      <c r="K225" t="inlineStr">
        <is>
          <t>Breeskin, Adelyn Dohme, 1896-1986.</t>
        </is>
      </c>
      <c r="L225" t="inlineStr">
        <is>
          <t>Washington, Smithsonian Institution Press, 1970.</t>
        </is>
      </c>
      <c r="M225" t="inlineStr">
        <is>
          <t>1970</t>
        </is>
      </c>
      <c r="O225" t="inlineStr">
        <is>
          <t>eng</t>
        </is>
      </c>
      <c r="P225" t="inlineStr">
        <is>
          <t>dcu</t>
        </is>
      </c>
      <c r="R225" t="inlineStr">
        <is>
          <t xml:space="preserve">ND </t>
        </is>
      </c>
      <c r="S225" t="n">
        <v>3</v>
      </c>
      <c r="T225" t="n">
        <v>3</v>
      </c>
      <c r="U225" t="inlineStr">
        <is>
          <t>2007-11-08</t>
        </is>
      </c>
      <c r="V225" t="inlineStr">
        <is>
          <t>2007-11-08</t>
        </is>
      </c>
      <c r="W225" t="inlineStr">
        <is>
          <t>1992-02-11</t>
        </is>
      </c>
      <c r="X225" t="inlineStr">
        <is>
          <t>1992-02-11</t>
        </is>
      </c>
      <c r="Y225" t="n">
        <v>591</v>
      </c>
      <c r="Z225" t="n">
        <v>518</v>
      </c>
      <c r="AA225" t="n">
        <v>520</v>
      </c>
      <c r="AB225" t="n">
        <v>6</v>
      </c>
      <c r="AC225" t="n">
        <v>6</v>
      </c>
      <c r="AD225" t="n">
        <v>15</v>
      </c>
      <c r="AE225" t="n">
        <v>15</v>
      </c>
      <c r="AF225" t="n">
        <v>4</v>
      </c>
      <c r="AG225" t="n">
        <v>4</v>
      </c>
      <c r="AH225" t="n">
        <v>4</v>
      </c>
      <c r="AI225" t="n">
        <v>4</v>
      </c>
      <c r="AJ225" t="n">
        <v>5</v>
      </c>
      <c r="AK225" t="n">
        <v>5</v>
      </c>
      <c r="AL225" t="n">
        <v>4</v>
      </c>
      <c r="AM225" t="n">
        <v>4</v>
      </c>
      <c r="AN225" t="n">
        <v>0</v>
      </c>
      <c r="AO225" t="n">
        <v>0</v>
      </c>
      <c r="AP225" t="inlineStr">
        <is>
          <t>No</t>
        </is>
      </c>
      <c r="AQ225" t="inlineStr">
        <is>
          <t>Yes</t>
        </is>
      </c>
      <c r="AR225">
        <f>HYPERLINK("http://catalog.hathitrust.org/Record/000368195","HathiTrust Record")</f>
        <v/>
      </c>
      <c r="AS225">
        <f>HYPERLINK("https://creighton-primo.hosted.exlibrisgroup.com/primo-explore/search?tab=default_tab&amp;search_scope=EVERYTHING&amp;vid=01CRU&amp;lang=en_US&amp;offset=0&amp;query=any,contains,991000614899702656","Catalog Record")</f>
        <v/>
      </c>
      <c r="AT225">
        <f>HYPERLINK("http://www.worldcat.org/oclc/101478","WorldCat Record")</f>
        <v/>
      </c>
      <c r="AU225" t="inlineStr">
        <is>
          <t>2070136657:eng</t>
        </is>
      </c>
      <c r="AV225" t="inlineStr">
        <is>
          <t>101478</t>
        </is>
      </c>
      <c r="AW225" t="inlineStr">
        <is>
          <t>991000614899702656</t>
        </is>
      </c>
      <c r="AX225" t="inlineStr">
        <is>
          <t>991000614899702656</t>
        </is>
      </c>
      <c r="AY225" t="inlineStr">
        <is>
          <t>2261357550002656</t>
        </is>
      </c>
      <c r="AZ225" t="inlineStr">
        <is>
          <t>BOOK</t>
        </is>
      </c>
      <c r="BB225" t="inlineStr">
        <is>
          <t>9780874741001</t>
        </is>
      </c>
      <c r="BC225" t="inlineStr">
        <is>
          <t>32285000946490</t>
        </is>
      </c>
      <c r="BD225" t="inlineStr">
        <is>
          <t>893802932</t>
        </is>
      </c>
    </row>
    <row r="226">
      <c r="A226" t="inlineStr">
        <is>
          <t>No</t>
        </is>
      </c>
      <c r="B226" t="inlineStr">
        <is>
          <t>ND237.C3 J6 1969</t>
        </is>
      </c>
      <c r="C226" t="inlineStr">
        <is>
          <t>0                      ND 0237000C  3                  J  6           1969</t>
        </is>
      </c>
      <c r="D226" t="inlineStr">
        <is>
          <t>Mary Cassatt among the impressionists.</t>
        </is>
      </c>
      <c r="F226" t="inlineStr">
        <is>
          <t>No</t>
        </is>
      </c>
      <c r="G226" t="inlineStr">
        <is>
          <t>1</t>
        </is>
      </c>
      <c r="H226" t="inlineStr">
        <is>
          <t>No</t>
        </is>
      </c>
      <c r="I226" t="inlineStr">
        <is>
          <t>No</t>
        </is>
      </c>
      <c r="J226" t="inlineStr">
        <is>
          <t>0</t>
        </is>
      </c>
      <c r="K226" t="inlineStr">
        <is>
          <t>Joslyn Art Museum.</t>
        </is>
      </c>
      <c r="L226" t="inlineStr">
        <is>
          <t>Omaha : Klopp Printing Co., [1969]</t>
        </is>
      </c>
      <c r="M226" t="inlineStr">
        <is>
          <t>1969</t>
        </is>
      </c>
      <c r="O226" t="inlineStr">
        <is>
          <t>eng</t>
        </is>
      </c>
      <c r="P226" t="inlineStr">
        <is>
          <t>nbu</t>
        </is>
      </c>
      <c r="R226" t="inlineStr">
        <is>
          <t xml:space="preserve">ND </t>
        </is>
      </c>
      <c r="S226" t="n">
        <v>22</v>
      </c>
      <c r="T226" t="n">
        <v>22</v>
      </c>
      <c r="U226" t="inlineStr">
        <is>
          <t>2001-02-13</t>
        </is>
      </c>
      <c r="V226" t="inlineStr">
        <is>
          <t>2001-02-13</t>
        </is>
      </c>
      <c r="W226" t="inlineStr">
        <is>
          <t>1992-01-21</t>
        </is>
      </c>
      <c r="X226" t="inlineStr">
        <is>
          <t>1992-01-21</t>
        </is>
      </c>
      <c r="Y226" t="n">
        <v>111</v>
      </c>
      <c r="Z226" t="n">
        <v>104</v>
      </c>
      <c r="AA226" t="n">
        <v>105</v>
      </c>
      <c r="AB226" t="n">
        <v>7</v>
      </c>
      <c r="AC226" t="n">
        <v>7</v>
      </c>
      <c r="AD226" t="n">
        <v>4</v>
      </c>
      <c r="AE226" t="n">
        <v>4</v>
      </c>
      <c r="AF226" t="n">
        <v>0</v>
      </c>
      <c r="AG226" t="n">
        <v>0</v>
      </c>
      <c r="AH226" t="n">
        <v>0</v>
      </c>
      <c r="AI226" t="n">
        <v>0</v>
      </c>
      <c r="AJ226" t="n">
        <v>0</v>
      </c>
      <c r="AK226" t="n">
        <v>0</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HYPERLINK("https://creighton-primo.hosted.exlibrisgroup.com/primo-explore/search?tab=default_tab&amp;search_scope=EVERYTHING&amp;vid=01CRU&amp;lang=en_US&amp;offset=0&amp;query=any,contains,991001237729702656","Catalog Record")</f>
        <v/>
      </c>
      <c r="AT226">
        <f>HYPERLINK("http://www.worldcat.org/oclc/206898","WorldCat Record")</f>
        <v/>
      </c>
      <c r="AU226" t="inlineStr">
        <is>
          <t>1271268:eng</t>
        </is>
      </c>
      <c r="AV226" t="inlineStr">
        <is>
          <t>206898</t>
        </is>
      </c>
      <c r="AW226" t="inlineStr">
        <is>
          <t>991001237729702656</t>
        </is>
      </c>
      <c r="AX226" t="inlineStr">
        <is>
          <t>991001237729702656</t>
        </is>
      </c>
      <c r="AY226" t="inlineStr">
        <is>
          <t>2254813050002656</t>
        </is>
      </c>
      <c r="AZ226" t="inlineStr">
        <is>
          <t>BOOK</t>
        </is>
      </c>
      <c r="BC226" t="inlineStr">
        <is>
          <t>32285000917053</t>
        </is>
      </c>
      <c r="BD226" t="inlineStr">
        <is>
          <t>893702864</t>
        </is>
      </c>
    </row>
    <row r="227">
      <c r="A227" t="inlineStr">
        <is>
          <t>No</t>
        </is>
      </c>
      <c r="B227" t="inlineStr">
        <is>
          <t>ND237.C3 L6</t>
        </is>
      </c>
      <c r="C227" t="inlineStr">
        <is>
          <t>0                      ND 0237000C  3                  L  6</t>
        </is>
      </c>
      <c r="D227" t="inlineStr">
        <is>
          <t>Cassatt, the independent / Richard H. Love.</t>
        </is>
      </c>
      <c r="F227" t="inlineStr">
        <is>
          <t>No</t>
        </is>
      </c>
      <c r="G227" t="inlineStr">
        <is>
          <t>1</t>
        </is>
      </c>
      <c r="H227" t="inlineStr">
        <is>
          <t>No</t>
        </is>
      </c>
      <c r="I227" t="inlineStr">
        <is>
          <t>No</t>
        </is>
      </c>
      <c r="J227" t="inlineStr">
        <is>
          <t>0</t>
        </is>
      </c>
      <c r="K227" t="inlineStr">
        <is>
          <t>Love, Richard H.</t>
        </is>
      </c>
      <c r="L227" t="inlineStr">
        <is>
          <t>[Chicago] : R.H. Love, 1980.</t>
        </is>
      </c>
      <c r="M227" t="inlineStr">
        <is>
          <t>1980</t>
        </is>
      </c>
      <c r="N227" t="inlineStr">
        <is>
          <t>Limited ed.</t>
        </is>
      </c>
      <c r="O227" t="inlineStr">
        <is>
          <t>eng</t>
        </is>
      </c>
      <c r="P227" t="inlineStr">
        <is>
          <t>ilu</t>
        </is>
      </c>
      <c r="R227" t="inlineStr">
        <is>
          <t xml:space="preserve">ND </t>
        </is>
      </c>
      <c r="S227" t="n">
        <v>11</v>
      </c>
      <c r="T227" t="n">
        <v>11</v>
      </c>
      <c r="U227" t="inlineStr">
        <is>
          <t>2010-03-08</t>
        </is>
      </c>
      <c r="V227" t="inlineStr">
        <is>
          <t>2010-03-08</t>
        </is>
      </c>
      <c r="W227" t="inlineStr">
        <is>
          <t>1990-03-29</t>
        </is>
      </c>
      <c r="X227" t="inlineStr">
        <is>
          <t>1990-03-29</t>
        </is>
      </c>
      <c r="Y227" t="n">
        <v>203</v>
      </c>
      <c r="Z227" t="n">
        <v>190</v>
      </c>
      <c r="AA227" t="n">
        <v>221</v>
      </c>
      <c r="AB227" t="n">
        <v>2</v>
      </c>
      <c r="AC227" t="n">
        <v>3</v>
      </c>
      <c r="AD227" t="n">
        <v>6</v>
      </c>
      <c r="AE227" t="n">
        <v>7</v>
      </c>
      <c r="AF227" t="n">
        <v>4</v>
      </c>
      <c r="AG227" t="n">
        <v>4</v>
      </c>
      <c r="AH227" t="n">
        <v>1</v>
      </c>
      <c r="AI227" t="n">
        <v>1</v>
      </c>
      <c r="AJ227" t="n">
        <v>2</v>
      </c>
      <c r="AK227" t="n">
        <v>2</v>
      </c>
      <c r="AL227" t="n">
        <v>1</v>
      </c>
      <c r="AM227" t="n">
        <v>2</v>
      </c>
      <c r="AN227" t="n">
        <v>0</v>
      </c>
      <c r="AO227" t="n">
        <v>0</v>
      </c>
      <c r="AP227" t="inlineStr">
        <is>
          <t>No</t>
        </is>
      </c>
      <c r="AQ227" t="inlineStr">
        <is>
          <t>Yes</t>
        </is>
      </c>
      <c r="AR227">
        <f>HYPERLINK("http://catalog.hathitrust.org/Record/008223120","HathiTrust Record")</f>
        <v/>
      </c>
      <c r="AS227">
        <f>HYPERLINK("https://creighton-primo.hosted.exlibrisgroup.com/primo-explore/search?tab=default_tab&amp;search_scope=EVERYTHING&amp;vid=01CRU&amp;lang=en_US&amp;offset=0&amp;query=any,contains,991005130349702656","Catalog Record")</f>
        <v/>
      </c>
      <c r="AT227">
        <f>HYPERLINK("http://www.worldcat.org/oclc/7571792","WorldCat Record")</f>
        <v/>
      </c>
      <c r="AU227" t="inlineStr">
        <is>
          <t>28804362:eng</t>
        </is>
      </c>
      <c r="AV227" t="inlineStr">
        <is>
          <t>7571792</t>
        </is>
      </c>
      <c r="AW227" t="inlineStr">
        <is>
          <t>991005130349702656</t>
        </is>
      </c>
      <c r="AX227" t="inlineStr">
        <is>
          <t>991005130349702656</t>
        </is>
      </c>
      <c r="AY227" t="inlineStr">
        <is>
          <t>2272095070002656</t>
        </is>
      </c>
      <c r="AZ227" t="inlineStr">
        <is>
          <t>BOOK</t>
        </is>
      </c>
      <c r="BC227" t="inlineStr">
        <is>
          <t>32285000105428</t>
        </is>
      </c>
      <c r="BD227" t="inlineStr">
        <is>
          <t>893807867</t>
        </is>
      </c>
    </row>
    <row r="228">
      <c r="A228" t="inlineStr">
        <is>
          <t>No</t>
        </is>
      </c>
      <c r="B228" t="inlineStr">
        <is>
          <t>ND237.C3 M28 1994</t>
        </is>
      </c>
      <c r="C228" t="inlineStr">
        <is>
          <t>0                      ND 0237000C  3                  M  28          1994</t>
        </is>
      </c>
      <c r="D228" t="inlineStr">
        <is>
          <t>Mary Cassatt : a life / Nancy Mowll Mathews.</t>
        </is>
      </c>
      <c r="F228" t="inlineStr">
        <is>
          <t>No</t>
        </is>
      </c>
      <c r="G228" t="inlineStr">
        <is>
          <t>1</t>
        </is>
      </c>
      <c r="H228" t="inlineStr">
        <is>
          <t>No</t>
        </is>
      </c>
      <c r="I228" t="inlineStr">
        <is>
          <t>No</t>
        </is>
      </c>
      <c r="J228" t="inlineStr">
        <is>
          <t>0</t>
        </is>
      </c>
      <c r="K228" t="inlineStr">
        <is>
          <t>Mathews, Nancy Mowll.</t>
        </is>
      </c>
      <c r="L228" t="inlineStr">
        <is>
          <t>New York : Villard Books, 1994.</t>
        </is>
      </c>
      <c r="M228" t="inlineStr">
        <is>
          <t>1994</t>
        </is>
      </c>
      <c r="N228" t="inlineStr">
        <is>
          <t>1st ed.</t>
        </is>
      </c>
      <c r="O228" t="inlineStr">
        <is>
          <t>eng</t>
        </is>
      </c>
      <c r="P228" t="inlineStr">
        <is>
          <t>nyu</t>
        </is>
      </c>
      <c r="R228" t="inlineStr">
        <is>
          <t xml:space="preserve">ND </t>
        </is>
      </c>
      <c r="S228" t="n">
        <v>3</v>
      </c>
      <c r="T228" t="n">
        <v>3</v>
      </c>
      <c r="U228" t="inlineStr">
        <is>
          <t>1996-04-30</t>
        </is>
      </c>
      <c r="V228" t="inlineStr">
        <is>
          <t>1996-04-30</t>
        </is>
      </c>
      <c r="W228" t="inlineStr">
        <is>
          <t>1994-05-11</t>
        </is>
      </c>
      <c r="X228" t="inlineStr">
        <is>
          <t>1994-05-11</t>
        </is>
      </c>
      <c r="Y228" t="n">
        <v>896</v>
      </c>
      <c r="Z228" t="n">
        <v>855</v>
      </c>
      <c r="AA228" t="n">
        <v>861</v>
      </c>
      <c r="AB228" t="n">
        <v>9</v>
      </c>
      <c r="AC228" t="n">
        <v>9</v>
      </c>
      <c r="AD228" t="n">
        <v>22</v>
      </c>
      <c r="AE228" t="n">
        <v>22</v>
      </c>
      <c r="AF228" t="n">
        <v>5</v>
      </c>
      <c r="AG228" t="n">
        <v>5</v>
      </c>
      <c r="AH228" t="n">
        <v>7</v>
      </c>
      <c r="AI228" t="n">
        <v>7</v>
      </c>
      <c r="AJ228" t="n">
        <v>7</v>
      </c>
      <c r="AK228" t="n">
        <v>7</v>
      </c>
      <c r="AL228" t="n">
        <v>6</v>
      </c>
      <c r="AM228" t="n">
        <v>6</v>
      </c>
      <c r="AN228" t="n">
        <v>0</v>
      </c>
      <c r="AO228" t="n">
        <v>0</v>
      </c>
      <c r="AP228" t="inlineStr">
        <is>
          <t>No</t>
        </is>
      </c>
      <c r="AQ228" t="inlineStr">
        <is>
          <t>Yes</t>
        </is>
      </c>
      <c r="AR228">
        <f>HYPERLINK("http://catalog.hathitrust.org/Record/002868758","HathiTrust Record")</f>
        <v/>
      </c>
      <c r="AS228">
        <f>HYPERLINK("https://creighton-primo.hosted.exlibrisgroup.com/primo-explore/search?tab=default_tab&amp;search_scope=EVERYTHING&amp;vid=01CRU&amp;lang=en_US&amp;offset=0&amp;query=any,contains,991002197369702656","Catalog Record")</f>
        <v/>
      </c>
      <c r="AT228">
        <f>HYPERLINK("http://www.worldcat.org/oclc/28256203","WorldCat Record")</f>
        <v/>
      </c>
      <c r="AU228" t="inlineStr">
        <is>
          <t>5218133528:eng</t>
        </is>
      </c>
      <c r="AV228" t="inlineStr">
        <is>
          <t>28256203</t>
        </is>
      </c>
      <c r="AW228" t="inlineStr">
        <is>
          <t>991002197369702656</t>
        </is>
      </c>
      <c r="AX228" t="inlineStr">
        <is>
          <t>991002197369702656</t>
        </is>
      </c>
      <c r="AY228" t="inlineStr">
        <is>
          <t>2261642350002656</t>
        </is>
      </c>
      <c r="AZ228" t="inlineStr">
        <is>
          <t>BOOK</t>
        </is>
      </c>
      <c r="BB228" t="inlineStr">
        <is>
          <t>9780394584973</t>
        </is>
      </c>
      <c r="BC228" t="inlineStr">
        <is>
          <t>32285001895613</t>
        </is>
      </c>
      <c r="BD228" t="inlineStr">
        <is>
          <t>893316500</t>
        </is>
      </c>
    </row>
    <row r="229">
      <c r="A229" t="inlineStr">
        <is>
          <t>No</t>
        </is>
      </c>
      <c r="B229" t="inlineStr">
        <is>
          <t>ND237.C3 S9</t>
        </is>
      </c>
      <c r="C229" t="inlineStr">
        <is>
          <t>0                      ND 0237000C  3                  S  9</t>
        </is>
      </c>
      <c r="D229" t="inlineStr">
        <is>
          <t>Miss Mary Cassatt, impressionist from Pennsylvania / by Frederick A. Sweet.</t>
        </is>
      </c>
      <c r="F229" t="inlineStr">
        <is>
          <t>No</t>
        </is>
      </c>
      <c r="G229" t="inlineStr">
        <is>
          <t>1</t>
        </is>
      </c>
      <c r="H229" t="inlineStr">
        <is>
          <t>No</t>
        </is>
      </c>
      <c r="I229" t="inlineStr">
        <is>
          <t>No</t>
        </is>
      </c>
      <c r="J229" t="inlineStr">
        <is>
          <t>0</t>
        </is>
      </c>
      <c r="K229" t="inlineStr">
        <is>
          <t>Sweet, Frederick A. (Frederick Arnold), 1903-1984.</t>
        </is>
      </c>
      <c r="L229" t="inlineStr">
        <is>
          <t>Norman : University of Oklahoma Press, [1966]</t>
        </is>
      </c>
      <c r="M229" t="inlineStr">
        <is>
          <t>1966</t>
        </is>
      </c>
      <c r="O229" t="inlineStr">
        <is>
          <t>eng</t>
        </is>
      </c>
      <c r="P229" t="inlineStr">
        <is>
          <t>oku</t>
        </is>
      </c>
      <c r="R229" t="inlineStr">
        <is>
          <t xml:space="preserve">ND </t>
        </is>
      </c>
      <c r="S229" t="n">
        <v>5</v>
      </c>
      <c r="T229" t="n">
        <v>5</v>
      </c>
      <c r="U229" t="inlineStr">
        <is>
          <t>2004-10-07</t>
        </is>
      </c>
      <c r="V229" t="inlineStr">
        <is>
          <t>2004-10-07</t>
        </is>
      </c>
      <c r="W229" t="inlineStr">
        <is>
          <t>1990-04-02</t>
        </is>
      </c>
      <c r="X229" t="inlineStr">
        <is>
          <t>1990-04-02</t>
        </is>
      </c>
      <c r="Y229" t="n">
        <v>1049</v>
      </c>
      <c r="Z229" t="n">
        <v>980</v>
      </c>
      <c r="AA229" t="n">
        <v>1007</v>
      </c>
      <c r="AB229" t="n">
        <v>9</v>
      </c>
      <c r="AC229" t="n">
        <v>9</v>
      </c>
      <c r="AD229" t="n">
        <v>27</v>
      </c>
      <c r="AE229" t="n">
        <v>29</v>
      </c>
      <c r="AF229" t="n">
        <v>11</v>
      </c>
      <c r="AG229" t="n">
        <v>11</v>
      </c>
      <c r="AH229" t="n">
        <v>5</v>
      </c>
      <c r="AI229" t="n">
        <v>6</v>
      </c>
      <c r="AJ229" t="n">
        <v>14</v>
      </c>
      <c r="AK229" t="n">
        <v>15</v>
      </c>
      <c r="AL229" t="n">
        <v>5</v>
      </c>
      <c r="AM229" t="n">
        <v>5</v>
      </c>
      <c r="AN229" t="n">
        <v>0</v>
      </c>
      <c r="AO229" t="n">
        <v>0</v>
      </c>
      <c r="AP229" t="inlineStr">
        <is>
          <t>No</t>
        </is>
      </c>
      <c r="AQ229" t="inlineStr">
        <is>
          <t>Yes</t>
        </is>
      </c>
      <c r="AR229">
        <f>HYPERLINK("http://catalog.hathitrust.org/Record/000368295","HathiTrust Record")</f>
        <v/>
      </c>
      <c r="AS229">
        <f>HYPERLINK("https://creighton-primo.hosted.exlibrisgroup.com/primo-explore/search?tab=default_tab&amp;search_scope=EVERYTHING&amp;vid=01CRU&amp;lang=en_US&amp;offset=0&amp;query=any,contains,991003330489702656","Catalog Record")</f>
        <v/>
      </c>
      <c r="AT229">
        <f>HYPERLINK("http://www.worldcat.org/oclc/861082","WorldCat Record")</f>
        <v/>
      </c>
      <c r="AU229" t="inlineStr">
        <is>
          <t>197664021:eng</t>
        </is>
      </c>
      <c r="AV229" t="inlineStr">
        <is>
          <t>861082</t>
        </is>
      </c>
      <c r="AW229" t="inlineStr">
        <is>
          <t>991003330489702656</t>
        </is>
      </c>
      <c r="AX229" t="inlineStr">
        <is>
          <t>991003330489702656</t>
        </is>
      </c>
      <c r="AY229" t="inlineStr">
        <is>
          <t>2262178770002656</t>
        </is>
      </c>
      <c r="AZ229" t="inlineStr">
        <is>
          <t>BOOK</t>
        </is>
      </c>
      <c r="BC229" t="inlineStr">
        <is>
          <t>32285000101344</t>
        </is>
      </c>
      <c r="BD229" t="inlineStr">
        <is>
          <t>893809942</t>
        </is>
      </c>
    </row>
    <row r="230">
      <c r="A230" t="inlineStr">
        <is>
          <t>No</t>
        </is>
      </c>
      <c r="B230" t="inlineStr">
        <is>
          <t>ND237.C3 V46 1993</t>
        </is>
      </c>
      <c r="C230" t="inlineStr">
        <is>
          <t>0                      ND 0237000C  3                  V  46          1993</t>
        </is>
      </c>
      <c r="D230" t="inlineStr">
        <is>
          <t>Mary Cassatt / written and illustrated by Mike Venezia.</t>
        </is>
      </c>
      <c r="F230" t="inlineStr">
        <is>
          <t>No</t>
        </is>
      </c>
      <c r="G230" t="inlineStr">
        <is>
          <t>1</t>
        </is>
      </c>
      <c r="H230" t="inlineStr">
        <is>
          <t>No</t>
        </is>
      </c>
      <c r="I230" t="inlineStr">
        <is>
          <t>No</t>
        </is>
      </c>
      <c r="J230" t="inlineStr">
        <is>
          <t>0</t>
        </is>
      </c>
      <c r="K230" t="inlineStr">
        <is>
          <t>Venezia, Mike.</t>
        </is>
      </c>
      <c r="L230" t="inlineStr">
        <is>
          <t>Chicago : Childrens Press, c1993.</t>
        </is>
      </c>
      <c r="M230" t="inlineStr">
        <is>
          <t>1993</t>
        </is>
      </c>
      <c r="O230" t="inlineStr">
        <is>
          <t>eng</t>
        </is>
      </c>
      <c r="P230" t="inlineStr">
        <is>
          <t>ilu</t>
        </is>
      </c>
      <c r="Q230" t="inlineStr">
        <is>
          <t>Getting to know the world's greatest artists</t>
        </is>
      </c>
      <c r="R230" t="inlineStr">
        <is>
          <t xml:space="preserve">ND </t>
        </is>
      </c>
      <c r="S230" t="n">
        <v>5</v>
      </c>
      <c r="T230" t="n">
        <v>5</v>
      </c>
      <c r="U230" t="inlineStr">
        <is>
          <t>2001-02-14</t>
        </is>
      </c>
      <c r="V230" t="inlineStr">
        <is>
          <t>2001-02-14</t>
        </is>
      </c>
      <c r="W230" t="inlineStr">
        <is>
          <t>1995-10-19</t>
        </is>
      </c>
      <c r="X230" t="inlineStr">
        <is>
          <t>1995-10-19</t>
        </is>
      </c>
      <c r="Y230" t="n">
        <v>315</v>
      </c>
      <c r="Z230" t="n">
        <v>300</v>
      </c>
      <c r="AA230" t="n">
        <v>1129</v>
      </c>
      <c r="AB230" t="n">
        <v>3</v>
      </c>
      <c r="AC230" t="n">
        <v>9</v>
      </c>
      <c r="AD230" t="n">
        <v>0</v>
      </c>
      <c r="AE230" t="n">
        <v>4</v>
      </c>
      <c r="AF230" t="n">
        <v>0</v>
      </c>
      <c r="AG230" t="n">
        <v>1</v>
      </c>
      <c r="AH230" t="n">
        <v>0</v>
      </c>
      <c r="AI230" t="n">
        <v>0</v>
      </c>
      <c r="AJ230" t="n">
        <v>0</v>
      </c>
      <c r="AK230" t="n">
        <v>3</v>
      </c>
      <c r="AL230" t="n">
        <v>0</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HYPERLINK("https://creighton-primo.hosted.exlibrisgroup.com/primo-explore/search?tab=default_tab&amp;search_scope=EVERYTHING&amp;vid=01CRU&amp;lang=en_US&amp;offset=0&amp;query=any,contains,991004576059702656","Catalog Record")</f>
        <v/>
      </c>
      <c r="AT230">
        <f>HYPERLINK("http://www.worldcat.org/oclc/30352004","WorldCat Record")</f>
        <v/>
      </c>
      <c r="AU230" t="inlineStr">
        <is>
          <t>2999298972:eng</t>
        </is>
      </c>
      <c r="AV230" t="inlineStr">
        <is>
          <t>30352004</t>
        </is>
      </c>
      <c r="AW230" t="inlineStr">
        <is>
          <t>991004576059702656</t>
        </is>
      </c>
      <c r="AX230" t="inlineStr">
        <is>
          <t>991004576059702656</t>
        </is>
      </c>
      <c r="AY230" t="inlineStr">
        <is>
          <t>2258607100002656</t>
        </is>
      </c>
      <c r="AZ230" t="inlineStr">
        <is>
          <t>BOOK</t>
        </is>
      </c>
      <c r="BB230" t="inlineStr">
        <is>
          <t>9780516022789</t>
        </is>
      </c>
      <c r="BC230" t="inlineStr">
        <is>
          <t>32285002096534</t>
        </is>
      </c>
      <c r="BD230" t="inlineStr">
        <is>
          <t>893864606</t>
        </is>
      </c>
    </row>
    <row r="231">
      <c r="A231" t="inlineStr">
        <is>
          <t>No</t>
        </is>
      </c>
      <c r="B231" t="inlineStr">
        <is>
          <t>ND237.C35 A4 1993</t>
        </is>
      </c>
      <c r="C231" t="inlineStr">
        <is>
          <t>0                      ND 0237000C  35                 A  4           1993</t>
        </is>
      </c>
      <c r="D231" t="inlineStr">
        <is>
          <t>First artist of the West : George Catlin paintings and watercolors from the collection of Gilcrease Museum / Joan Carpenter Troccoli.</t>
        </is>
      </c>
      <c r="F231" t="inlineStr">
        <is>
          <t>No</t>
        </is>
      </c>
      <c r="G231" t="inlineStr">
        <is>
          <t>1</t>
        </is>
      </c>
      <c r="H231" t="inlineStr">
        <is>
          <t>No</t>
        </is>
      </c>
      <c r="I231" t="inlineStr">
        <is>
          <t>No</t>
        </is>
      </c>
      <c r="J231" t="inlineStr">
        <is>
          <t>0</t>
        </is>
      </c>
      <c r="K231" t="inlineStr">
        <is>
          <t>Troccoli, Joan Carpenter.</t>
        </is>
      </c>
      <c r="L231" t="inlineStr">
        <is>
          <t>Tulsa, Oklahoma : Gilcrease Museum, c1993.</t>
        </is>
      </c>
      <c r="M231" t="inlineStr">
        <is>
          <t>1993</t>
        </is>
      </c>
      <c r="O231" t="inlineStr">
        <is>
          <t>eng</t>
        </is>
      </c>
      <c r="P231" t="inlineStr">
        <is>
          <t>oku</t>
        </is>
      </c>
      <c r="R231" t="inlineStr">
        <is>
          <t xml:space="preserve">ND </t>
        </is>
      </c>
      <c r="S231" t="n">
        <v>6</v>
      </c>
      <c r="T231" t="n">
        <v>6</v>
      </c>
      <c r="U231" t="inlineStr">
        <is>
          <t>2004-06-30</t>
        </is>
      </c>
      <c r="V231" t="inlineStr">
        <is>
          <t>2004-06-30</t>
        </is>
      </c>
      <c r="W231" t="inlineStr">
        <is>
          <t>1995-07-05</t>
        </is>
      </c>
      <c r="X231" t="inlineStr">
        <is>
          <t>1995-07-05</t>
        </is>
      </c>
      <c r="Y231" t="n">
        <v>285</v>
      </c>
      <c r="Z231" t="n">
        <v>266</v>
      </c>
      <c r="AA231" t="n">
        <v>267</v>
      </c>
      <c r="AB231" t="n">
        <v>6</v>
      </c>
      <c r="AC231" t="n">
        <v>6</v>
      </c>
      <c r="AD231" t="n">
        <v>9</v>
      </c>
      <c r="AE231" t="n">
        <v>9</v>
      </c>
      <c r="AF231" t="n">
        <v>1</v>
      </c>
      <c r="AG231" t="n">
        <v>1</v>
      </c>
      <c r="AH231" t="n">
        <v>4</v>
      </c>
      <c r="AI231" t="n">
        <v>4</v>
      </c>
      <c r="AJ231" t="n">
        <v>3</v>
      </c>
      <c r="AK231" t="n">
        <v>3</v>
      </c>
      <c r="AL231" t="n">
        <v>2</v>
      </c>
      <c r="AM231" t="n">
        <v>2</v>
      </c>
      <c r="AN231" t="n">
        <v>1</v>
      </c>
      <c r="AO231" t="n">
        <v>1</v>
      </c>
      <c r="AP231" t="inlineStr">
        <is>
          <t>No</t>
        </is>
      </c>
      <c r="AQ231" t="inlineStr">
        <is>
          <t>Yes</t>
        </is>
      </c>
      <c r="AR231">
        <f>HYPERLINK("http://catalog.hathitrust.org/Record/002959909","HathiTrust Record")</f>
        <v/>
      </c>
      <c r="AS231">
        <f>HYPERLINK("https://creighton-primo.hosted.exlibrisgroup.com/primo-explore/search?tab=default_tab&amp;search_scope=EVERYTHING&amp;vid=01CRU&amp;lang=en_US&amp;offset=0&amp;query=any,contains,991002284209702656","Catalog Record")</f>
        <v/>
      </c>
      <c r="AT231">
        <f>HYPERLINK("http://www.worldcat.org/oclc/29627538","WorldCat Record")</f>
        <v/>
      </c>
      <c r="AU231" t="inlineStr">
        <is>
          <t>196066889:eng</t>
        </is>
      </c>
      <c r="AV231" t="inlineStr">
        <is>
          <t>29627538</t>
        </is>
      </c>
      <c r="AW231" t="inlineStr">
        <is>
          <t>991002284209702656</t>
        </is>
      </c>
      <c r="AX231" t="inlineStr">
        <is>
          <t>991002284209702656</t>
        </is>
      </c>
      <c r="AY231" t="inlineStr">
        <is>
          <t>2267470680002656</t>
        </is>
      </c>
      <c r="AZ231" t="inlineStr">
        <is>
          <t>BOOK</t>
        </is>
      </c>
      <c r="BB231" t="inlineStr">
        <is>
          <t>9781884101007</t>
        </is>
      </c>
      <c r="BC231" t="inlineStr">
        <is>
          <t>32285002053865</t>
        </is>
      </c>
      <c r="BD231" t="inlineStr">
        <is>
          <t>893627051</t>
        </is>
      </c>
    </row>
    <row r="232">
      <c r="A232" t="inlineStr">
        <is>
          <t>No</t>
        </is>
      </c>
      <c r="B232" t="inlineStr">
        <is>
          <t>ND237.C35 M3 1959</t>
        </is>
      </c>
      <c r="C232" t="inlineStr">
        <is>
          <t>0                      ND 0237000C  35                 M  3           1959</t>
        </is>
      </c>
      <c r="D232" t="inlineStr">
        <is>
          <t>George Catlin and the old frontier / by Harold McCracken.</t>
        </is>
      </c>
      <c r="F232" t="inlineStr">
        <is>
          <t>No</t>
        </is>
      </c>
      <c r="G232" t="inlineStr">
        <is>
          <t>1</t>
        </is>
      </c>
      <c r="H232" t="inlineStr">
        <is>
          <t>No</t>
        </is>
      </c>
      <c r="I232" t="inlineStr">
        <is>
          <t>No</t>
        </is>
      </c>
      <c r="J232" t="inlineStr">
        <is>
          <t>0</t>
        </is>
      </c>
      <c r="K232" t="inlineStr">
        <is>
          <t>McCracken, Harold, 1894-1983.</t>
        </is>
      </c>
      <c r="L232" t="inlineStr">
        <is>
          <t>New York : Bonanza Books, 1959.</t>
        </is>
      </c>
      <c r="M232" t="inlineStr">
        <is>
          <t>1959</t>
        </is>
      </c>
      <c r="O232" t="inlineStr">
        <is>
          <t>eng</t>
        </is>
      </c>
      <c r="P232" t="inlineStr">
        <is>
          <t>nyu</t>
        </is>
      </c>
      <c r="R232" t="inlineStr">
        <is>
          <t xml:space="preserve">ND </t>
        </is>
      </c>
      <c r="S232" t="n">
        <v>3</v>
      </c>
      <c r="T232" t="n">
        <v>3</v>
      </c>
      <c r="U232" t="inlineStr">
        <is>
          <t>1999-04-05</t>
        </is>
      </c>
      <c r="V232" t="inlineStr">
        <is>
          <t>1999-04-05</t>
        </is>
      </c>
      <c r="W232" t="inlineStr">
        <is>
          <t>1993-05-20</t>
        </is>
      </c>
      <c r="X232" t="inlineStr">
        <is>
          <t>1993-05-20</t>
        </is>
      </c>
      <c r="Y232" t="n">
        <v>1709</v>
      </c>
      <c r="Z232" t="n">
        <v>1622</v>
      </c>
      <c r="AA232" t="n">
        <v>1928</v>
      </c>
      <c r="AB232" t="n">
        <v>21</v>
      </c>
      <c r="AC232" t="n">
        <v>22</v>
      </c>
      <c r="AD232" t="n">
        <v>44</v>
      </c>
      <c r="AE232" t="n">
        <v>48</v>
      </c>
      <c r="AF232" t="n">
        <v>18</v>
      </c>
      <c r="AG232" t="n">
        <v>21</v>
      </c>
      <c r="AH232" t="n">
        <v>8</v>
      </c>
      <c r="AI232" t="n">
        <v>9</v>
      </c>
      <c r="AJ232" t="n">
        <v>17</v>
      </c>
      <c r="AK232" t="n">
        <v>19</v>
      </c>
      <c r="AL232" t="n">
        <v>10</v>
      </c>
      <c r="AM232" t="n">
        <v>10</v>
      </c>
      <c r="AN232" t="n">
        <v>1</v>
      </c>
      <c r="AO232" t="n">
        <v>1</v>
      </c>
      <c r="AP232" t="inlineStr">
        <is>
          <t>No</t>
        </is>
      </c>
      <c r="AQ232" t="inlineStr">
        <is>
          <t>Yes</t>
        </is>
      </c>
      <c r="AR232">
        <f>HYPERLINK("http://catalog.hathitrust.org/Record/000368266","HathiTrust Record")</f>
        <v/>
      </c>
      <c r="AS232">
        <f>HYPERLINK("https://creighton-primo.hosted.exlibrisgroup.com/primo-explore/search?tab=default_tab&amp;search_scope=EVERYTHING&amp;vid=01CRU&amp;lang=en_US&amp;offset=0&amp;query=any,contains,991000700029702656","Catalog Record")</f>
        <v/>
      </c>
      <c r="AT232">
        <f>HYPERLINK("http://www.worldcat.org/oclc/512676","WorldCat Record")</f>
        <v/>
      </c>
      <c r="AU232" t="inlineStr">
        <is>
          <t>57902459:eng</t>
        </is>
      </c>
      <c r="AV232" t="inlineStr">
        <is>
          <t>512676</t>
        </is>
      </c>
      <c r="AW232" t="inlineStr">
        <is>
          <t>991000700029702656</t>
        </is>
      </c>
      <c r="AX232" t="inlineStr">
        <is>
          <t>991000700029702656</t>
        </is>
      </c>
      <c r="AY232" t="inlineStr">
        <is>
          <t>2257059130002656</t>
        </is>
      </c>
      <c r="AZ232" t="inlineStr">
        <is>
          <t>BOOK</t>
        </is>
      </c>
      <c r="BC232" t="inlineStr">
        <is>
          <t>32285001691152</t>
        </is>
      </c>
      <c r="BD232" t="inlineStr">
        <is>
          <t>893255650</t>
        </is>
      </c>
    </row>
    <row r="233">
      <c r="A233" t="inlineStr">
        <is>
          <t>No</t>
        </is>
      </c>
      <c r="B233" t="inlineStr">
        <is>
          <t>ND237.C35 R6</t>
        </is>
      </c>
      <c r="C233" t="inlineStr">
        <is>
          <t>0                      ND 0237000C  35                 R  6</t>
        </is>
      </c>
      <c r="D233" t="inlineStr">
        <is>
          <t>The letters of George Catlin and his family : a chronicle of the American West.</t>
        </is>
      </c>
      <c r="F233" t="inlineStr">
        <is>
          <t>No</t>
        </is>
      </c>
      <c r="G233" t="inlineStr">
        <is>
          <t>1</t>
        </is>
      </c>
      <c r="H233" t="inlineStr">
        <is>
          <t>No</t>
        </is>
      </c>
      <c r="I233" t="inlineStr">
        <is>
          <t>No</t>
        </is>
      </c>
      <c r="J233" t="inlineStr">
        <is>
          <t>0</t>
        </is>
      </c>
      <c r="K233" t="inlineStr">
        <is>
          <t>Roehm, Marjorie Catlin, editor.</t>
        </is>
      </c>
      <c r="L233" t="inlineStr">
        <is>
          <t>Berkeley : University of California Press, 1966.</t>
        </is>
      </c>
      <c r="M233" t="inlineStr">
        <is>
          <t>1966</t>
        </is>
      </c>
      <c r="O233" t="inlineStr">
        <is>
          <t>eng</t>
        </is>
      </c>
      <c r="P233" t="inlineStr">
        <is>
          <t>cau</t>
        </is>
      </c>
      <c r="R233" t="inlineStr">
        <is>
          <t xml:space="preserve">ND </t>
        </is>
      </c>
      <c r="S233" t="n">
        <v>3</v>
      </c>
      <c r="T233" t="n">
        <v>3</v>
      </c>
      <c r="U233" t="inlineStr">
        <is>
          <t>1999-04-05</t>
        </is>
      </c>
      <c r="V233" t="inlineStr">
        <is>
          <t>1999-04-05</t>
        </is>
      </c>
      <c r="W233" t="inlineStr">
        <is>
          <t>1993-05-05</t>
        </is>
      </c>
      <c r="X233" t="inlineStr">
        <is>
          <t>1993-05-05</t>
        </is>
      </c>
      <c r="Y233" t="n">
        <v>830</v>
      </c>
      <c r="Z233" t="n">
        <v>767</v>
      </c>
      <c r="AA233" t="n">
        <v>776</v>
      </c>
      <c r="AB233" t="n">
        <v>8</v>
      </c>
      <c r="AC233" t="n">
        <v>8</v>
      </c>
      <c r="AD233" t="n">
        <v>32</v>
      </c>
      <c r="AE233" t="n">
        <v>32</v>
      </c>
      <c r="AF233" t="n">
        <v>12</v>
      </c>
      <c r="AG233" t="n">
        <v>12</v>
      </c>
      <c r="AH233" t="n">
        <v>6</v>
      </c>
      <c r="AI233" t="n">
        <v>6</v>
      </c>
      <c r="AJ233" t="n">
        <v>14</v>
      </c>
      <c r="AK233" t="n">
        <v>14</v>
      </c>
      <c r="AL233" t="n">
        <v>6</v>
      </c>
      <c r="AM233" t="n">
        <v>6</v>
      </c>
      <c r="AN233" t="n">
        <v>0</v>
      </c>
      <c r="AO233" t="n">
        <v>0</v>
      </c>
      <c r="AP233" t="inlineStr">
        <is>
          <t>No</t>
        </is>
      </c>
      <c r="AQ233" t="inlineStr">
        <is>
          <t>Yes</t>
        </is>
      </c>
      <c r="AR233">
        <f>HYPERLINK("http://catalog.hathitrust.org/Record/000368271","HathiTrust Record")</f>
        <v/>
      </c>
      <c r="AS233">
        <f>HYPERLINK("https://creighton-primo.hosted.exlibrisgroup.com/primo-explore/search?tab=default_tab&amp;search_scope=EVERYTHING&amp;vid=01CRU&amp;lang=en_US&amp;offset=0&amp;query=any,contains,991003149459702656","Catalog Record")</f>
        <v/>
      </c>
      <c r="AT233">
        <f>HYPERLINK("http://www.worldcat.org/oclc/689070","WorldCat Record")</f>
        <v/>
      </c>
      <c r="AU233" t="inlineStr">
        <is>
          <t>836662311:eng</t>
        </is>
      </c>
      <c r="AV233" t="inlineStr">
        <is>
          <t>689070</t>
        </is>
      </c>
      <c r="AW233" t="inlineStr">
        <is>
          <t>991003149459702656</t>
        </is>
      </c>
      <c r="AX233" t="inlineStr">
        <is>
          <t>991003149459702656</t>
        </is>
      </c>
      <c r="AY233" t="inlineStr">
        <is>
          <t>2272755790002656</t>
        </is>
      </c>
      <c r="AZ233" t="inlineStr">
        <is>
          <t>BOOK</t>
        </is>
      </c>
      <c r="BC233" t="inlineStr">
        <is>
          <t>32285001634848</t>
        </is>
      </c>
      <c r="BD233" t="inlineStr">
        <is>
          <t>893440973</t>
        </is>
      </c>
    </row>
    <row r="234">
      <c r="A234" t="inlineStr">
        <is>
          <t>No</t>
        </is>
      </c>
      <c r="B234" t="inlineStr">
        <is>
          <t>ND237.C492 A28</t>
        </is>
      </c>
      <c r="C234" t="inlineStr">
        <is>
          <t>0                      ND 0237000C  492                A  28</t>
        </is>
      </c>
      <c r="D234" t="inlineStr">
        <is>
          <t>Through the flower : my struggle as a woman artist / by Judy Chicago ; with an introd. by Anais Nin.</t>
        </is>
      </c>
      <c r="F234" t="inlineStr">
        <is>
          <t>No</t>
        </is>
      </c>
      <c r="G234" t="inlineStr">
        <is>
          <t>1</t>
        </is>
      </c>
      <c r="H234" t="inlineStr">
        <is>
          <t>No</t>
        </is>
      </c>
      <c r="I234" t="inlineStr">
        <is>
          <t>No</t>
        </is>
      </c>
      <c r="J234" t="inlineStr">
        <is>
          <t>0</t>
        </is>
      </c>
      <c r="K234" t="inlineStr">
        <is>
          <t>Chicago, Judy, 1939-</t>
        </is>
      </c>
      <c r="L234" t="inlineStr">
        <is>
          <t>Garden City, N.Y. : Doubleday, 1975.</t>
        </is>
      </c>
      <c r="M234" t="inlineStr">
        <is>
          <t>1975</t>
        </is>
      </c>
      <c r="N234" t="inlineStr">
        <is>
          <t>1st ed.</t>
        </is>
      </c>
      <c r="O234" t="inlineStr">
        <is>
          <t>eng</t>
        </is>
      </c>
      <c r="P234" t="inlineStr">
        <is>
          <t>nyu</t>
        </is>
      </c>
      <c r="R234" t="inlineStr">
        <is>
          <t xml:space="preserve">ND </t>
        </is>
      </c>
      <c r="S234" t="n">
        <v>7</v>
      </c>
      <c r="T234" t="n">
        <v>7</v>
      </c>
      <c r="U234" t="inlineStr">
        <is>
          <t>1996-05-02</t>
        </is>
      </c>
      <c r="V234" t="inlineStr">
        <is>
          <t>1996-05-02</t>
        </is>
      </c>
      <c r="W234" t="inlineStr">
        <is>
          <t>1990-03-20</t>
        </is>
      </c>
      <c r="X234" t="inlineStr">
        <is>
          <t>1990-03-20</t>
        </is>
      </c>
      <c r="Y234" t="n">
        <v>949</v>
      </c>
      <c r="Z234" t="n">
        <v>865</v>
      </c>
      <c r="AA234" t="n">
        <v>1228</v>
      </c>
      <c r="AB234" t="n">
        <v>9</v>
      </c>
      <c r="AC234" t="n">
        <v>12</v>
      </c>
      <c r="AD234" t="n">
        <v>22</v>
      </c>
      <c r="AE234" t="n">
        <v>36</v>
      </c>
      <c r="AF234" t="n">
        <v>8</v>
      </c>
      <c r="AG234" t="n">
        <v>14</v>
      </c>
      <c r="AH234" t="n">
        <v>4</v>
      </c>
      <c r="AI234" t="n">
        <v>7</v>
      </c>
      <c r="AJ234" t="n">
        <v>10</v>
      </c>
      <c r="AK234" t="n">
        <v>15</v>
      </c>
      <c r="AL234" t="n">
        <v>5</v>
      </c>
      <c r="AM234" t="n">
        <v>7</v>
      </c>
      <c r="AN234" t="n">
        <v>0</v>
      </c>
      <c r="AO234" t="n">
        <v>0</v>
      </c>
      <c r="AP234" t="inlineStr">
        <is>
          <t>No</t>
        </is>
      </c>
      <c r="AQ234" t="inlineStr">
        <is>
          <t>Yes</t>
        </is>
      </c>
      <c r="AR234">
        <f>HYPERLINK("http://catalog.hathitrust.org/Record/000021955","HathiTrust Record")</f>
        <v/>
      </c>
      <c r="AS234">
        <f>HYPERLINK("https://creighton-primo.hosted.exlibrisgroup.com/primo-explore/search?tab=default_tab&amp;search_scope=EVERYTHING&amp;vid=01CRU&amp;lang=en_US&amp;offset=0&amp;query=any,contains,991003501619702656","Catalog Record")</f>
        <v/>
      </c>
      <c r="AT234">
        <f>HYPERLINK("http://www.worldcat.org/oclc/1054149","WorldCat Record")</f>
        <v/>
      </c>
      <c r="AU234" t="inlineStr">
        <is>
          <t>327294:eng</t>
        </is>
      </c>
      <c r="AV234" t="inlineStr">
        <is>
          <t>1054149</t>
        </is>
      </c>
      <c r="AW234" t="inlineStr">
        <is>
          <t>991003501619702656</t>
        </is>
      </c>
      <c r="AX234" t="inlineStr">
        <is>
          <t>991003501619702656</t>
        </is>
      </c>
      <c r="AY234" t="inlineStr">
        <is>
          <t>2269420340002656</t>
        </is>
      </c>
      <c r="AZ234" t="inlineStr">
        <is>
          <t>BOOK</t>
        </is>
      </c>
      <c r="BB234" t="inlineStr">
        <is>
          <t>9780385097826</t>
        </is>
      </c>
      <c r="BC234" t="inlineStr">
        <is>
          <t>32285000091495</t>
        </is>
      </c>
      <c r="BD234" t="inlineStr">
        <is>
          <t>893246419</t>
        </is>
      </c>
    </row>
    <row r="235">
      <c r="A235" t="inlineStr">
        <is>
          <t>No</t>
        </is>
      </c>
      <c r="B235" t="inlineStr">
        <is>
          <t>ND237.C88 S35</t>
        </is>
      </c>
      <c r="C235" t="inlineStr">
        <is>
          <t>0                      ND 0237000C  88                 S  35</t>
        </is>
      </c>
      <c r="D235" t="inlineStr">
        <is>
          <t>John Steuart Curry's pageant of America, by Laurence E. Schmeckebier ...</t>
        </is>
      </c>
      <c r="F235" t="inlineStr">
        <is>
          <t>No</t>
        </is>
      </c>
      <c r="G235" t="inlineStr">
        <is>
          <t>1</t>
        </is>
      </c>
      <c r="H235" t="inlineStr">
        <is>
          <t>No</t>
        </is>
      </c>
      <c r="I235" t="inlineStr">
        <is>
          <t>No</t>
        </is>
      </c>
      <c r="J235" t="inlineStr">
        <is>
          <t>0</t>
        </is>
      </c>
      <c r="K235" t="inlineStr">
        <is>
          <t>Schmeckebier, Laurence Eli, 1906-1984.</t>
        </is>
      </c>
      <c r="L235" t="inlineStr">
        <is>
          <t>New York, American Artists Group, 1943.</t>
        </is>
      </c>
      <c r="M235" t="inlineStr">
        <is>
          <t>1943</t>
        </is>
      </c>
      <c r="O235" t="inlineStr">
        <is>
          <t>eng</t>
        </is>
      </c>
      <c r="P235" t="inlineStr">
        <is>
          <t>nyu</t>
        </is>
      </c>
      <c r="R235" t="inlineStr">
        <is>
          <t xml:space="preserve">ND </t>
        </is>
      </c>
      <c r="S235" t="n">
        <v>4</v>
      </c>
      <c r="T235" t="n">
        <v>4</v>
      </c>
      <c r="U235" t="inlineStr">
        <is>
          <t>2001-10-25</t>
        </is>
      </c>
      <c r="V235" t="inlineStr">
        <is>
          <t>2001-10-25</t>
        </is>
      </c>
      <c r="W235" t="inlineStr">
        <is>
          <t>1997-07-23</t>
        </is>
      </c>
      <c r="X235" t="inlineStr">
        <is>
          <t>1997-07-23</t>
        </is>
      </c>
      <c r="Y235" t="n">
        <v>591</v>
      </c>
      <c r="Z235" t="n">
        <v>546</v>
      </c>
      <c r="AA235" t="n">
        <v>549</v>
      </c>
      <c r="AB235" t="n">
        <v>7</v>
      </c>
      <c r="AC235" t="n">
        <v>7</v>
      </c>
      <c r="AD235" t="n">
        <v>14</v>
      </c>
      <c r="AE235" t="n">
        <v>14</v>
      </c>
      <c r="AF235" t="n">
        <v>3</v>
      </c>
      <c r="AG235" t="n">
        <v>3</v>
      </c>
      <c r="AH235" t="n">
        <v>1</v>
      </c>
      <c r="AI235" t="n">
        <v>1</v>
      </c>
      <c r="AJ235" t="n">
        <v>5</v>
      </c>
      <c r="AK235" t="n">
        <v>5</v>
      </c>
      <c r="AL235" t="n">
        <v>4</v>
      </c>
      <c r="AM235" t="n">
        <v>4</v>
      </c>
      <c r="AN235" t="n">
        <v>1</v>
      </c>
      <c r="AO235" t="n">
        <v>1</v>
      </c>
      <c r="AP235" t="inlineStr">
        <is>
          <t>No</t>
        </is>
      </c>
      <c r="AQ235" t="inlineStr">
        <is>
          <t>No</t>
        </is>
      </c>
      <c r="AR235">
        <f>HYPERLINK("http://catalog.hathitrust.org/Record/000368749","HathiTrust Record")</f>
        <v/>
      </c>
      <c r="AS235">
        <f>HYPERLINK("https://creighton-primo.hosted.exlibrisgroup.com/primo-explore/search?tab=default_tab&amp;search_scope=EVERYTHING&amp;vid=01CRU&amp;lang=en_US&amp;offset=0&amp;query=any,contains,991003490279702656","Catalog Record")</f>
        <v/>
      </c>
      <c r="AT235">
        <f>HYPERLINK("http://www.worldcat.org/oclc/1039314","WorldCat Record")</f>
        <v/>
      </c>
      <c r="AU235" t="inlineStr">
        <is>
          <t>2002882:eng</t>
        </is>
      </c>
      <c r="AV235" t="inlineStr">
        <is>
          <t>1039314</t>
        </is>
      </c>
      <c r="AW235" t="inlineStr">
        <is>
          <t>991003490279702656</t>
        </is>
      </c>
      <c r="AX235" t="inlineStr">
        <is>
          <t>991003490279702656</t>
        </is>
      </c>
      <c r="AY235" t="inlineStr">
        <is>
          <t>2264760220002656</t>
        </is>
      </c>
      <c r="AZ235" t="inlineStr">
        <is>
          <t>BOOK</t>
        </is>
      </c>
      <c r="BC235" t="inlineStr">
        <is>
          <t>32285002966553</t>
        </is>
      </c>
      <c r="BD235" t="inlineStr">
        <is>
          <t>893246398</t>
        </is>
      </c>
    </row>
    <row r="236">
      <c r="A236" t="inlineStr">
        <is>
          <t>No</t>
        </is>
      </c>
      <c r="B236" t="inlineStr">
        <is>
          <t>ND237.D333 A4 1991</t>
        </is>
      </c>
      <c r="C236" t="inlineStr">
        <is>
          <t>0                      ND 0237000D  333                A  4           1991</t>
        </is>
      </c>
      <c r="D236" t="inlineStr">
        <is>
          <t>Stuart Davis : American painter / by Lowery Stokes Sims with contributions by William C. Agee ... [et al.].</t>
        </is>
      </c>
      <c r="F236" t="inlineStr">
        <is>
          <t>No</t>
        </is>
      </c>
      <c r="G236" t="inlineStr">
        <is>
          <t>1</t>
        </is>
      </c>
      <c r="H236" t="inlineStr">
        <is>
          <t>No</t>
        </is>
      </c>
      <c r="I236" t="inlineStr">
        <is>
          <t>No</t>
        </is>
      </c>
      <c r="J236" t="inlineStr">
        <is>
          <t>0</t>
        </is>
      </c>
      <c r="K236" t="inlineStr">
        <is>
          <t>Sims, Lowery Stokes.</t>
        </is>
      </c>
      <c r="L236" t="inlineStr">
        <is>
          <t>New York : Metropolitan Museum of Art : Distributed by H.N. Abrams, c1991.</t>
        </is>
      </c>
      <c r="M236" t="inlineStr">
        <is>
          <t>1991</t>
        </is>
      </c>
      <c r="O236" t="inlineStr">
        <is>
          <t>eng</t>
        </is>
      </c>
      <c r="P236" t="inlineStr">
        <is>
          <t>nyu</t>
        </is>
      </c>
      <c r="R236" t="inlineStr">
        <is>
          <t xml:space="preserve">ND </t>
        </is>
      </c>
      <c r="S236" t="n">
        <v>1</v>
      </c>
      <c r="T236" t="n">
        <v>1</v>
      </c>
      <c r="U236" t="inlineStr">
        <is>
          <t>1992-10-05</t>
        </is>
      </c>
      <c r="V236" t="inlineStr">
        <is>
          <t>1992-10-05</t>
        </is>
      </c>
      <c r="W236" t="inlineStr">
        <is>
          <t>1992-09-01</t>
        </is>
      </c>
      <c r="X236" t="inlineStr">
        <is>
          <t>1992-09-01</t>
        </is>
      </c>
      <c r="Y236" t="n">
        <v>901</v>
      </c>
      <c r="Z236" t="n">
        <v>791</v>
      </c>
      <c r="AA236" t="n">
        <v>793</v>
      </c>
      <c r="AB236" t="n">
        <v>10</v>
      </c>
      <c r="AC236" t="n">
        <v>10</v>
      </c>
      <c r="AD236" t="n">
        <v>35</v>
      </c>
      <c r="AE236" t="n">
        <v>35</v>
      </c>
      <c r="AF236" t="n">
        <v>12</v>
      </c>
      <c r="AG236" t="n">
        <v>12</v>
      </c>
      <c r="AH236" t="n">
        <v>7</v>
      </c>
      <c r="AI236" t="n">
        <v>7</v>
      </c>
      <c r="AJ236" t="n">
        <v>17</v>
      </c>
      <c r="AK236" t="n">
        <v>17</v>
      </c>
      <c r="AL236" t="n">
        <v>8</v>
      </c>
      <c r="AM236" t="n">
        <v>8</v>
      </c>
      <c r="AN236" t="n">
        <v>0</v>
      </c>
      <c r="AO236" t="n">
        <v>0</v>
      </c>
      <c r="AP236" t="inlineStr">
        <is>
          <t>No</t>
        </is>
      </c>
      <c r="AQ236" t="inlineStr">
        <is>
          <t>Yes</t>
        </is>
      </c>
      <c r="AR236">
        <f>HYPERLINK("http://catalog.hathitrust.org/Record/002533735","HathiTrust Record")</f>
        <v/>
      </c>
      <c r="AS236">
        <f>HYPERLINK("https://creighton-primo.hosted.exlibrisgroup.com/primo-explore/search?tab=default_tab&amp;search_scope=EVERYTHING&amp;vid=01CRU&amp;lang=en_US&amp;offset=0&amp;query=any,contains,991001908419702656","Catalog Record")</f>
        <v/>
      </c>
      <c r="AT236">
        <f>HYPERLINK("http://www.worldcat.org/oclc/24106597","WorldCat Record")</f>
        <v/>
      </c>
      <c r="AU236" t="inlineStr">
        <is>
          <t>296696837:eng</t>
        </is>
      </c>
      <c r="AV236" t="inlineStr">
        <is>
          <t>24106597</t>
        </is>
      </c>
      <c r="AW236" t="inlineStr">
        <is>
          <t>991001908419702656</t>
        </is>
      </c>
      <c r="AX236" t="inlineStr">
        <is>
          <t>991001908419702656</t>
        </is>
      </c>
      <c r="AY236" t="inlineStr">
        <is>
          <t>2256074570002656</t>
        </is>
      </c>
      <c r="AZ236" t="inlineStr">
        <is>
          <t>BOOK</t>
        </is>
      </c>
      <c r="BB236" t="inlineStr">
        <is>
          <t>9780810964051</t>
        </is>
      </c>
      <c r="BC236" t="inlineStr">
        <is>
          <t>32285001285310</t>
        </is>
      </c>
      <c r="BD236" t="inlineStr">
        <is>
          <t>893615464</t>
        </is>
      </c>
    </row>
    <row r="237">
      <c r="A237" t="inlineStr">
        <is>
          <t>No</t>
        </is>
      </c>
      <c r="B237" t="inlineStr">
        <is>
          <t>ND237.D334 R67</t>
        </is>
      </c>
      <c r="C237" t="inlineStr">
        <is>
          <t>0                      ND 0237000D  334                R  67</t>
        </is>
      </c>
      <c r="D237" t="inlineStr">
        <is>
          <t>De Kooning / text by Harold Rosenberg.</t>
        </is>
      </c>
      <c r="F237" t="inlineStr">
        <is>
          <t>No</t>
        </is>
      </c>
      <c r="G237" t="inlineStr">
        <is>
          <t>1</t>
        </is>
      </c>
      <c r="H237" t="inlineStr">
        <is>
          <t>No</t>
        </is>
      </c>
      <c r="I237" t="inlineStr">
        <is>
          <t>No</t>
        </is>
      </c>
      <c r="J237" t="inlineStr">
        <is>
          <t>0</t>
        </is>
      </c>
      <c r="K237" t="inlineStr">
        <is>
          <t>De Kooning, Willem, 1904-1997.</t>
        </is>
      </c>
      <c r="L237" t="inlineStr">
        <is>
          <t>New York : Abrams, [1974]</t>
        </is>
      </c>
      <c r="M237" t="inlineStr">
        <is>
          <t>1974</t>
        </is>
      </c>
      <c r="O237" t="inlineStr">
        <is>
          <t>eng</t>
        </is>
      </c>
      <c r="P237" t="inlineStr">
        <is>
          <t>nyu</t>
        </is>
      </c>
      <c r="R237" t="inlineStr">
        <is>
          <t xml:space="preserve">ND </t>
        </is>
      </c>
      <c r="S237" t="n">
        <v>6</v>
      </c>
      <c r="T237" t="n">
        <v>6</v>
      </c>
      <c r="U237" t="inlineStr">
        <is>
          <t>1997-03-17</t>
        </is>
      </c>
      <c r="V237" t="inlineStr">
        <is>
          <t>1997-03-17</t>
        </is>
      </c>
      <c r="W237" t="inlineStr">
        <is>
          <t>1990-03-20</t>
        </is>
      </c>
      <c r="X237" t="inlineStr">
        <is>
          <t>1990-03-20</t>
        </is>
      </c>
      <c r="Y237" t="n">
        <v>751</v>
      </c>
      <c r="Z237" t="n">
        <v>646</v>
      </c>
      <c r="AA237" t="n">
        <v>647</v>
      </c>
      <c r="AB237" t="n">
        <v>5</v>
      </c>
      <c r="AC237" t="n">
        <v>5</v>
      </c>
      <c r="AD237" t="n">
        <v>22</v>
      </c>
      <c r="AE237" t="n">
        <v>22</v>
      </c>
      <c r="AF237" t="n">
        <v>8</v>
      </c>
      <c r="AG237" t="n">
        <v>8</v>
      </c>
      <c r="AH237" t="n">
        <v>5</v>
      </c>
      <c r="AI237" t="n">
        <v>5</v>
      </c>
      <c r="AJ237" t="n">
        <v>8</v>
      </c>
      <c r="AK237" t="n">
        <v>8</v>
      </c>
      <c r="AL237" t="n">
        <v>4</v>
      </c>
      <c r="AM237" t="n">
        <v>4</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HYPERLINK("https://creighton-primo.hosted.exlibrisgroup.com/primo-explore/search?tab=default_tab&amp;search_scope=EVERYTHING&amp;vid=01CRU&amp;lang=en_US&amp;offset=0&amp;query=any,contains,991003165789702656","Catalog Record")</f>
        <v/>
      </c>
      <c r="AT237">
        <f>HYPERLINK("http://www.worldcat.org/oclc/703233","WorldCat Record")</f>
        <v/>
      </c>
      <c r="AU237" t="inlineStr">
        <is>
          <t>8910591771:eng</t>
        </is>
      </c>
      <c r="AV237" t="inlineStr">
        <is>
          <t>703233</t>
        </is>
      </c>
      <c r="AW237" t="inlineStr">
        <is>
          <t>991003165789702656</t>
        </is>
      </c>
      <c r="AX237" t="inlineStr">
        <is>
          <t>991003165789702656</t>
        </is>
      </c>
      <c r="AY237" t="inlineStr">
        <is>
          <t>2257427840002656</t>
        </is>
      </c>
      <c r="AZ237" t="inlineStr">
        <is>
          <t>BOOK</t>
        </is>
      </c>
      <c r="BB237" t="inlineStr">
        <is>
          <t>9780810901230</t>
        </is>
      </c>
      <c r="BC237" t="inlineStr">
        <is>
          <t>32285000091487</t>
        </is>
      </c>
      <c r="BD237" t="inlineStr">
        <is>
          <t>893717379</t>
        </is>
      </c>
    </row>
    <row r="238">
      <c r="A238" t="inlineStr">
        <is>
          <t>No</t>
        </is>
      </c>
      <c r="B238" t="inlineStr">
        <is>
          <t>ND237.D465 A4 1985</t>
        </is>
      </c>
      <c r="C238" t="inlineStr">
        <is>
          <t>0                      ND 0237000D  465                A  4           1985</t>
        </is>
      </c>
      <c r="D238" t="inlineStr">
        <is>
          <t>Richard Diebenkorn : small paintings from Ocean Park.</t>
        </is>
      </c>
      <c r="F238" t="inlineStr">
        <is>
          <t>No</t>
        </is>
      </c>
      <c r="G238" t="inlineStr">
        <is>
          <t>1</t>
        </is>
      </c>
      <c r="H238" t="inlineStr">
        <is>
          <t>No</t>
        </is>
      </c>
      <c r="I238" t="inlineStr">
        <is>
          <t>No</t>
        </is>
      </c>
      <c r="J238" t="inlineStr">
        <is>
          <t>0</t>
        </is>
      </c>
      <c r="K238" t="inlineStr">
        <is>
          <t>Diebenkorn, Richard, 1922-1993.</t>
        </is>
      </c>
      <c r="L238" t="inlineStr">
        <is>
          <t>San Francisco, CA : Hine Inc. ; Houston, Tex. : Houston Fine Art Press, 1985.</t>
        </is>
      </c>
      <c r="M238" t="inlineStr">
        <is>
          <t>1985</t>
        </is>
      </c>
      <c r="N238" t="inlineStr">
        <is>
          <t>1st ed.</t>
        </is>
      </c>
      <c r="O238" t="inlineStr">
        <is>
          <t>eng</t>
        </is>
      </c>
      <c r="P238" t="inlineStr">
        <is>
          <t>cau</t>
        </is>
      </c>
      <c r="R238" t="inlineStr">
        <is>
          <t xml:space="preserve">ND </t>
        </is>
      </c>
      <c r="S238" t="n">
        <v>4</v>
      </c>
      <c r="T238" t="n">
        <v>4</v>
      </c>
      <c r="U238" t="inlineStr">
        <is>
          <t>1993-11-29</t>
        </is>
      </c>
      <c r="V238" t="inlineStr">
        <is>
          <t>1993-11-29</t>
        </is>
      </c>
      <c r="W238" t="inlineStr">
        <is>
          <t>1993-05-20</t>
        </is>
      </c>
      <c r="X238" t="inlineStr">
        <is>
          <t>1993-05-20</t>
        </is>
      </c>
      <c r="Y238" t="n">
        <v>153</v>
      </c>
      <c r="Z238" t="n">
        <v>145</v>
      </c>
      <c r="AA238" t="n">
        <v>146</v>
      </c>
      <c r="AB238" t="n">
        <v>2</v>
      </c>
      <c r="AC238" t="n">
        <v>2</v>
      </c>
      <c r="AD238" t="n">
        <v>2</v>
      </c>
      <c r="AE238" t="n">
        <v>2</v>
      </c>
      <c r="AF238" t="n">
        <v>1</v>
      </c>
      <c r="AG238" t="n">
        <v>1</v>
      </c>
      <c r="AH238" t="n">
        <v>0</v>
      </c>
      <c r="AI238" t="n">
        <v>0</v>
      </c>
      <c r="AJ238" t="n">
        <v>1</v>
      </c>
      <c r="AK238" t="n">
        <v>1</v>
      </c>
      <c r="AL238" t="n">
        <v>0</v>
      </c>
      <c r="AM238" t="n">
        <v>0</v>
      </c>
      <c r="AN238" t="n">
        <v>0</v>
      </c>
      <c r="AO238" t="n">
        <v>0</v>
      </c>
      <c r="AP238" t="inlineStr">
        <is>
          <t>No</t>
        </is>
      </c>
      <c r="AQ238" t="inlineStr">
        <is>
          <t>Yes</t>
        </is>
      </c>
      <c r="AR238">
        <f>HYPERLINK("http://catalog.hathitrust.org/Record/000632954","HathiTrust Record")</f>
        <v/>
      </c>
      <c r="AS238">
        <f>HYPERLINK("https://creighton-primo.hosted.exlibrisgroup.com/primo-explore/search?tab=default_tab&amp;search_scope=EVERYTHING&amp;vid=01CRU&amp;lang=en_US&amp;offset=0&amp;query=any,contains,991000752559702656","Catalog Record")</f>
        <v/>
      </c>
      <c r="AT238">
        <f>HYPERLINK("http://www.worldcat.org/oclc/12942443","WorldCat Record")</f>
        <v/>
      </c>
      <c r="AU238" t="inlineStr">
        <is>
          <t>3855438012:eng</t>
        </is>
      </c>
      <c r="AV238" t="inlineStr">
        <is>
          <t>12942443</t>
        </is>
      </c>
      <c r="AW238" t="inlineStr">
        <is>
          <t>991000752559702656</t>
        </is>
      </c>
      <c r="AX238" t="inlineStr">
        <is>
          <t>991000752559702656</t>
        </is>
      </c>
      <c r="AY238" t="inlineStr">
        <is>
          <t>2269494400002656</t>
        </is>
      </c>
      <c r="AZ238" t="inlineStr">
        <is>
          <t>BOOK</t>
        </is>
      </c>
      <c r="BC238" t="inlineStr">
        <is>
          <t>32285001691186</t>
        </is>
      </c>
      <c r="BD238" t="inlineStr">
        <is>
          <t>893333742</t>
        </is>
      </c>
    </row>
    <row r="239">
      <c r="A239" t="inlineStr">
        <is>
          <t>No</t>
        </is>
      </c>
      <c r="B239" t="inlineStr">
        <is>
          <t>ND237.D465 N67 1987</t>
        </is>
      </c>
      <c r="C239" t="inlineStr">
        <is>
          <t>0                      ND 0237000D  465                N  67          1987</t>
        </is>
      </c>
      <c r="D239" t="inlineStr">
        <is>
          <t>Richard Diebenkorn / Gerald Nordland.</t>
        </is>
      </c>
      <c r="F239" t="inlineStr">
        <is>
          <t>No</t>
        </is>
      </c>
      <c r="G239" t="inlineStr">
        <is>
          <t>1</t>
        </is>
      </c>
      <c r="H239" t="inlineStr">
        <is>
          <t>No</t>
        </is>
      </c>
      <c r="I239" t="inlineStr">
        <is>
          <t>No</t>
        </is>
      </c>
      <c r="J239" t="inlineStr">
        <is>
          <t>0</t>
        </is>
      </c>
      <c r="K239" t="inlineStr">
        <is>
          <t>Nordland, Gerald.</t>
        </is>
      </c>
      <c r="L239" t="inlineStr">
        <is>
          <t>New York : Rizzoli, 1987.</t>
        </is>
      </c>
      <c r="M239" t="inlineStr">
        <is>
          <t>1987</t>
        </is>
      </c>
      <c r="O239" t="inlineStr">
        <is>
          <t>eng</t>
        </is>
      </c>
      <c r="P239" t="inlineStr">
        <is>
          <t>nyu</t>
        </is>
      </c>
      <c r="R239" t="inlineStr">
        <is>
          <t xml:space="preserve">ND </t>
        </is>
      </c>
      <c r="S239" t="n">
        <v>9</v>
      </c>
      <c r="T239" t="n">
        <v>9</v>
      </c>
      <c r="U239" t="inlineStr">
        <is>
          <t>2005-12-14</t>
        </is>
      </c>
      <c r="V239" t="inlineStr">
        <is>
          <t>2005-12-14</t>
        </is>
      </c>
      <c r="W239" t="inlineStr">
        <is>
          <t>1993-05-24</t>
        </is>
      </c>
      <c r="X239" t="inlineStr">
        <is>
          <t>1993-05-24</t>
        </is>
      </c>
      <c r="Y239" t="n">
        <v>917</v>
      </c>
      <c r="Z239" t="n">
        <v>784</v>
      </c>
      <c r="AA239" t="n">
        <v>786</v>
      </c>
      <c r="AB239" t="n">
        <v>6</v>
      </c>
      <c r="AC239" t="n">
        <v>6</v>
      </c>
      <c r="AD239" t="n">
        <v>26</v>
      </c>
      <c r="AE239" t="n">
        <v>26</v>
      </c>
      <c r="AF239" t="n">
        <v>12</v>
      </c>
      <c r="AG239" t="n">
        <v>12</v>
      </c>
      <c r="AH239" t="n">
        <v>5</v>
      </c>
      <c r="AI239" t="n">
        <v>5</v>
      </c>
      <c r="AJ239" t="n">
        <v>12</v>
      </c>
      <c r="AK239" t="n">
        <v>12</v>
      </c>
      <c r="AL239" t="n">
        <v>4</v>
      </c>
      <c r="AM239" t="n">
        <v>4</v>
      </c>
      <c r="AN239" t="n">
        <v>0</v>
      </c>
      <c r="AO239" t="n">
        <v>0</v>
      </c>
      <c r="AP239" t="inlineStr">
        <is>
          <t>No</t>
        </is>
      </c>
      <c r="AQ239" t="inlineStr">
        <is>
          <t>Yes</t>
        </is>
      </c>
      <c r="AR239">
        <f>HYPERLINK("http://catalog.hathitrust.org/Record/004460342","HathiTrust Record")</f>
        <v/>
      </c>
      <c r="AS239">
        <f>HYPERLINK("https://creighton-primo.hosted.exlibrisgroup.com/primo-explore/search?tab=default_tab&amp;search_scope=EVERYTHING&amp;vid=01CRU&amp;lang=en_US&amp;offset=0&amp;query=any,contains,991001086239702656","Catalog Record")</f>
        <v/>
      </c>
      <c r="AT239">
        <f>HYPERLINK("http://www.worldcat.org/oclc/16129507","WorldCat Record")</f>
        <v/>
      </c>
      <c r="AU239" t="inlineStr">
        <is>
          <t>5609033636:eng</t>
        </is>
      </c>
      <c r="AV239" t="inlineStr">
        <is>
          <t>16129507</t>
        </is>
      </c>
      <c r="AW239" t="inlineStr">
        <is>
          <t>991001086239702656</t>
        </is>
      </c>
      <c r="AX239" t="inlineStr">
        <is>
          <t>991001086239702656</t>
        </is>
      </c>
      <c r="AY239" t="inlineStr">
        <is>
          <t>2269205360002656</t>
        </is>
      </c>
      <c r="AZ239" t="inlineStr">
        <is>
          <t>BOOK</t>
        </is>
      </c>
      <c r="BB239" t="inlineStr">
        <is>
          <t>9780847808700</t>
        </is>
      </c>
      <c r="BC239" t="inlineStr">
        <is>
          <t>32285001692184</t>
        </is>
      </c>
      <c r="BD239" t="inlineStr">
        <is>
          <t>893261720</t>
        </is>
      </c>
    </row>
    <row r="240">
      <c r="A240" t="inlineStr">
        <is>
          <t>No</t>
        </is>
      </c>
      <c r="B240" t="inlineStr">
        <is>
          <t>ND237.D768 D86 2000</t>
        </is>
      </c>
      <c r="C240" t="inlineStr">
        <is>
          <t>0                      ND 0237000D  768                D  86          2000</t>
        </is>
      </c>
      <c r="D240" t="inlineStr">
        <is>
          <t>Augustus W. Dunbier : paint for the love of color / by Lonnie Pierson Dunbier and Marcia Kmack.</t>
        </is>
      </c>
      <c r="F240" t="inlineStr">
        <is>
          <t>No</t>
        </is>
      </c>
      <c r="G240" t="inlineStr">
        <is>
          <t>1</t>
        </is>
      </c>
      <c r="H240" t="inlineStr">
        <is>
          <t>No</t>
        </is>
      </c>
      <c r="I240" t="inlineStr">
        <is>
          <t>No</t>
        </is>
      </c>
      <c r="J240" t="inlineStr">
        <is>
          <t>0</t>
        </is>
      </c>
      <c r="K240" t="inlineStr">
        <is>
          <t>Dunbier, Lonnie Pierson.</t>
        </is>
      </c>
      <c r="L240" t="inlineStr">
        <is>
          <t>[Santa Fe, NM] : Western Edge Press, c2000.</t>
        </is>
      </c>
      <c r="M240" t="inlineStr">
        <is>
          <t>2000</t>
        </is>
      </c>
      <c r="O240" t="inlineStr">
        <is>
          <t>eng</t>
        </is>
      </c>
      <c r="P240" t="inlineStr">
        <is>
          <t>nmu</t>
        </is>
      </c>
      <c r="R240" t="inlineStr">
        <is>
          <t xml:space="preserve">ND </t>
        </is>
      </c>
      <c r="S240" t="n">
        <v>1</v>
      </c>
      <c r="T240" t="n">
        <v>1</v>
      </c>
      <c r="U240" t="inlineStr">
        <is>
          <t>2003-07-31</t>
        </is>
      </c>
      <c r="V240" t="inlineStr">
        <is>
          <t>2003-07-31</t>
        </is>
      </c>
      <c r="W240" t="inlineStr">
        <is>
          <t>2003-07-31</t>
        </is>
      </c>
      <c r="X240" t="inlineStr">
        <is>
          <t>2003-07-31</t>
        </is>
      </c>
      <c r="Y240" t="n">
        <v>57</v>
      </c>
      <c r="Z240" t="n">
        <v>57</v>
      </c>
      <c r="AA240" t="n">
        <v>62</v>
      </c>
      <c r="AB240" t="n">
        <v>13</v>
      </c>
      <c r="AC240" t="n">
        <v>13</v>
      </c>
      <c r="AD240" t="n">
        <v>6</v>
      </c>
      <c r="AE240" t="n">
        <v>6</v>
      </c>
      <c r="AF240" t="n">
        <v>1</v>
      </c>
      <c r="AG240" t="n">
        <v>1</v>
      </c>
      <c r="AH240" t="n">
        <v>0</v>
      </c>
      <c r="AI240" t="n">
        <v>0</v>
      </c>
      <c r="AJ240" t="n">
        <v>0</v>
      </c>
      <c r="AK240" t="n">
        <v>0</v>
      </c>
      <c r="AL240" t="n">
        <v>5</v>
      </c>
      <c r="AM240" t="n">
        <v>5</v>
      </c>
      <c r="AN240" t="n">
        <v>0</v>
      </c>
      <c r="AO240" t="n">
        <v>0</v>
      </c>
      <c r="AP240" t="inlineStr">
        <is>
          <t>No</t>
        </is>
      </c>
      <c r="AQ240" t="inlineStr">
        <is>
          <t>Yes</t>
        </is>
      </c>
      <c r="AR240">
        <f>HYPERLINK("http://catalog.hathitrust.org/Record/102015121","HathiTrust Record")</f>
        <v/>
      </c>
      <c r="AS240">
        <f>HYPERLINK("https://creighton-primo.hosted.exlibrisgroup.com/primo-explore/search?tab=default_tab&amp;search_scope=EVERYTHING&amp;vid=01CRU&amp;lang=en_US&amp;offset=0&amp;query=any,contains,991004080079702656","Catalog Record")</f>
        <v/>
      </c>
      <c r="AT240">
        <f>HYPERLINK("http://www.worldcat.org/oclc/45737966","WorldCat Record")</f>
        <v/>
      </c>
      <c r="AU240" t="inlineStr">
        <is>
          <t>3965744495:eng</t>
        </is>
      </c>
      <c r="AV240" t="inlineStr">
        <is>
          <t>45737966</t>
        </is>
      </c>
      <c r="AW240" t="inlineStr">
        <is>
          <t>991004080079702656</t>
        </is>
      </c>
      <c r="AX240" t="inlineStr">
        <is>
          <t>991004080079702656</t>
        </is>
      </c>
      <c r="AY240" t="inlineStr">
        <is>
          <t>2271256020002656</t>
        </is>
      </c>
      <c r="AZ240" t="inlineStr">
        <is>
          <t>BOOK</t>
        </is>
      </c>
      <c r="BB240" t="inlineStr">
        <is>
          <t>9781889921099</t>
        </is>
      </c>
      <c r="BC240" t="inlineStr">
        <is>
          <t>32285004758024</t>
        </is>
      </c>
      <c r="BD240" t="inlineStr">
        <is>
          <t>893429628</t>
        </is>
      </c>
    </row>
    <row r="241">
      <c r="A241" t="inlineStr">
        <is>
          <t>No</t>
        </is>
      </c>
      <c r="B241" t="inlineStr">
        <is>
          <t>ND237.E15 C66 1996</t>
        </is>
      </c>
      <c r="C241" t="inlineStr">
        <is>
          <t>0                      ND 0237000E  15                 C  66          1996</t>
        </is>
      </c>
      <c r="D241" t="inlineStr">
        <is>
          <t>Thomas Eakins : the rowing pictures / Helen A. Cooper ; with contributions by Martin A. Berger, Christina Currie, Amy B. Werbel.</t>
        </is>
      </c>
      <c r="F241" t="inlineStr">
        <is>
          <t>No</t>
        </is>
      </c>
      <c r="G241" t="inlineStr">
        <is>
          <t>1</t>
        </is>
      </c>
      <c r="H241" t="inlineStr">
        <is>
          <t>No</t>
        </is>
      </c>
      <c r="I241" t="inlineStr">
        <is>
          <t>No</t>
        </is>
      </c>
      <c r="J241" t="inlineStr">
        <is>
          <t>0</t>
        </is>
      </c>
      <c r="K241" t="inlineStr">
        <is>
          <t>Cooper, Helen A.</t>
        </is>
      </c>
      <c r="L241" t="inlineStr">
        <is>
          <t>New Haven, Conn : Yale University Art Gallery, c1996.</t>
        </is>
      </c>
      <c r="M241" t="inlineStr">
        <is>
          <t>1996</t>
        </is>
      </c>
      <c r="O241" t="inlineStr">
        <is>
          <t>eng</t>
        </is>
      </c>
      <c r="P241" t="inlineStr">
        <is>
          <t>ctu</t>
        </is>
      </c>
      <c r="R241" t="inlineStr">
        <is>
          <t xml:space="preserve">ND </t>
        </is>
      </c>
      <c r="S241" t="n">
        <v>4</v>
      </c>
      <c r="T241" t="n">
        <v>4</v>
      </c>
      <c r="U241" t="inlineStr">
        <is>
          <t>2000-12-27</t>
        </is>
      </c>
      <c r="V241" t="inlineStr">
        <is>
          <t>2000-12-27</t>
        </is>
      </c>
      <c r="W241" t="inlineStr">
        <is>
          <t>1997-05-12</t>
        </is>
      </c>
      <c r="X241" t="inlineStr">
        <is>
          <t>1997-05-12</t>
        </is>
      </c>
      <c r="Y241" t="n">
        <v>674</v>
      </c>
      <c r="Z241" t="n">
        <v>608</v>
      </c>
      <c r="AA241" t="n">
        <v>617</v>
      </c>
      <c r="AB241" t="n">
        <v>4</v>
      </c>
      <c r="AC241" t="n">
        <v>4</v>
      </c>
      <c r="AD241" t="n">
        <v>30</v>
      </c>
      <c r="AE241" t="n">
        <v>30</v>
      </c>
      <c r="AF241" t="n">
        <v>13</v>
      </c>
      <c r="AG241" t="n">
        <v>13</v>
      </c>
      <c r="AH241" t="n">
        <v>7</v>
      </c>
      <c r="AI241" t="n">
        <v>7</v>
      </c>
      <c r="AJ241" t="n">
        <v>14</v>
      </c>
      <c r="AK241" t="n">
        <v>14</v>
      </c>
      <c r="AL241" t="n">
        <v>2</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HYPERLINK("https://creighton-primo.hosted.exlibrisgroup.com/primo-explore/search?tab=default_tab&amp;search_scope=EVERYTHING&amp;vid=01CRU&amp;lang=en_US&amp;offset=0&amp;query=any,contains,991002633209702656","Catalog Record")</f>
        <v/>
      </c>
      <c r="AT241">
        <f>HYPERLINK("http://www.worldcat.org/oclc/34514694","WorldCat Record")</f>
        <v/>
      </c>
      <c r="AU241" t="inlineStr">
        <is>
          <t>889880691:eng</t>
        </is>
      </c>
      <c r="AV241" t="inlineStr">
        <is>
          <t>34514694</t>
        </is>
      </c>
      <c r="AW241" t="inlineStr">
        <is>
          <t>991002633209702656</t>
        </is>
      </c>
      <c r="AX241" t="inlineStr">
        <is>
          <t>991002633209702656</t>
        </is>
      </c>
      <c r="AY241" t="inlineStr">
        <is>
          <t>2256188370002656</t>
        </is>
      </c>
      <c r="AZ241" t="inlineStr">
        <is>
          <t>BOOK</t>
        </is>
      </c>
      <c r="BB241" t="inlineStr">
        <is>
          <t>9780300069396</t>
        </is>
      </c>
      <c r="BC241" t="inlineStr">
        <is>
          <t>32285002607173</t>
        </is>
      </c>
      <c r="BD241" t="inlineStr">
        <is>
          <t>893597677</t>
        </is>
      </c>
    </row>
    <row r="242">
      <c r="A242" t="inlineStr">
        <is>
          <t>No</t>
        </is>
      </c>
      <c r="B242" t="inlineStr">
        <is>
          <t>ND237.E15 J64 1983</t>
        </is>
      </c>
      <c r="C242" t="inlineStr">
        <is>
          <t>0                      ND 0237000E  15                 J  64          1983</t>
        </is>
      </c>
      <c r="D242" t="inlineStr">
        <is>
          <t>Thomas Eakins, the heroism of modern life / by Elizabeth Johns.</t>
        </is>
      </c>
      <c r="F242" t="inlineStr">
        <is>
          <t>No</t>
        </is>
      </c>
      <c r="G242" t="inlineStr">
        <is>
          <t>1</t>
        </is>
      </c>
      <c r="H242" t="inlineStr">
        <is>
          <t>No</t>
        </is>
      </c>
      <c r="I242" t="inlineStr">
        <is>
          <t>No</t>
        </is>
      </c>
      <c r="J242" t="inlineStr">
        <is>
          <t>0</t>
        </is>
      </c>
      <c r="K242" t="inlineStr">
        <is>
          <t>Johns, Elizabeth, 1937-</t>
        </is>
      </c>
      <c r="L242" t="inlineStr">
        <is>
          <t>Princeton, N.J. : Princeton University Press, c1983.</t>
        </is>
      </c>
      <c r="M242" t="inlineStr">
        <is>
          <t>1983</t>
        </is>
      </c>
      <c r="O242" t="inlineStr">
        <is>
          <t>eng</t>
        </is>
      </c>
      <c r="P242" t="inlineStr">
        <is>
          <t>nju</t>
        </is>
      </c>
      <c r="R242" t="inlineStr">
        <is>
          <t xml:space="preserve">ND </t>
        </is>
      </c>
      <c r="S242" t="n">
        <v>5</v>
      </c>
      <c r="T242" t="n">
        <v>5</v>
      </c>
      <c r="U242" t="inlineStr">
        <is>
          <t>2007-03-13</t>
        </is>
      </c>
      <c r="V242" t="inlineStr">
        <is>
          <t>2007-03-13</t>
        </is>
      </c>
      <c r="W242" t="inlineStr">
        <is>
          <t>1990-05-17</t>
        </is>
      </c>
      <c r="X242" t="inlineStr">
        <is>
          <t>1990-05-17</t>
        </is>
      </c>
      <c r="Y242" t="n">
        <v>968</v>
      </c>
      <c r="Z242" t="n">
        <v>814</v>
      </c>
      <c r="AA242" t="n">
        <v>1040</v>
      </c>
      <c r="AB242" t="n">
        <v>6</v>
      </c>
      <c r="AC242" t="n">
        <v>7</v>
      </c>
      <c r="AD242" t="n">
        <v>33</v>
      </c>
      <c r="AE242" t="n">
        <v>45</v>
      </c>
      <c r="AF242" t="n">
        <v>16</v>
      </c>
      <c r="AG242" t="n">
        <v>20</v>
      </c>
      <c r="AH242" t="n">
        <v>6</v>
      </c>
      <c r="AI242" t="n">
        <v>10</v>
      </c>
      <c r="AJ242" t="n">
        <v>16</v>
      </c>
      <c r="AK242" t="n">
        <v>21</v>
      </c>
      <c r="AL242" t="n">
        <v>4</v>
      </c>
      <c r="AM242" t="n">
        <v>5</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HYPERLINK("https://creighton-primo.hosted.exlibrisgroup.com/primo-explore/search?tab=default_tab&amp;search_scope=EVERYTHING&amp;vid=01CRU&amp;lang=en_US&amp;offset=0&amp;query=any,contains,991000240699702656","Catalog Record")</f>
        <v/>
      </c>
      <c r="AT242">
        <f>HYPERLINK("http://www.worldcat.org/oclc/9683435","WorldCat Record")</f>
        <v/>
      </c>
      <c r="AU242" t="inlineStr">
        <is>
          <t>16196334:eng</t>
        </is>
      </c>
      <c r="AV242" t="inlineStr">
        <is>
          <t>9683435</t>
        </is>
      </c>
      <c r="AW242" t="inlineStr">
        <is>
          <t>991000240699702656</t>
        </is>
      </c>
      <c r="AX242" t="inlineStr">
        <is>
          <t>991000240699702656</t>
        </is>
      </c>
      <c r="AY242" t="inlineStr">
        <is>
          <t>2261906870002656</t>
        </is>
      </c>
      <c r="AZ242" t="inlineStr">
        <is>
          <t>BOOK</t>
        </is>
      </c>
      <c r="BB242" t="inlineStr">
        <is>
          <t>9780691040226</t>
        </is>
      </c>
      <c r="BC242" t="inlineStr">
        <is>
          <t>32285000152834</t>
        </is>
      </c>
      <c r="BD242" t="inlineStr">
        <is>
          <t>893595424</t>
        </is>
      </c>
    </row>
    <row r="243">
      <c r="A243" t="inlineStr">
        <is>
          <t>No</t>
        </is>
      </c>
      <c r="B243" t="inlineStr">
        <is>
          <t>ND237.E15 P6</t>
        </is>
      </c>
      <c r="C243" t="inlineStr">
        <is>
          <t>0                      ND 0237000E  15                 P  6</t>
        </is>
      </c>
      <c r="D243" t="inlineStr">
        <is>
          <t>Thomas Eakins.</t>
        </is>
      </c>
      <c r="F243" t="inlineStr">
        <is>
          <t>No</t>
        </is>
      </c>
      <c r="G243" t="inlineStr">
        <is>
          <t>1</t>
        </is>
      </c>
      <c r="H243" t="inlineStr">
        <is>
          <t>No</t>
        </is>
      </c>
      <c r="I243" t="inlineStr">
        <is>
          <t>No</t>
        </is>
      </c>
      <c r="J243" t="inlineStr">
        <is>
          <t>0</t>
        </is>
      </c>
      <c r="K243" t="inlineStr">
        <is>
          <t>Porter, Fairfield.</t>
        </is>
      </c>
      <c r="L243" t="inlineStr">
        <is>
          <t>New York : G. Braziller, 1959.</t>
        </is>
      </c>
      <c r="M243" t="inlineStr">
        <is>
          <t>1959</t>
        </is>
      </c>
      <c r="O243" t="inlineStr">
        <is>
          <t>eng</t>
        </is>
      </c>
      <c r="P243" t="inlineStr">
        <is>
          <t>nyu</t>
        </is>
      </c>
      <c r="Q243" t="inlineStr">
        <is>
          <t>The Great American artist series</t>
        </is>
      </c>
      <c r="R243" t="inlineStr">
        <is>
          <t xml:space="preserve">ND </t>
        </is>
      </c>
      <c r="S243" t="n">
        <v>3</v>
      </c>
      <c r="T243" t="n">
        <v>3</v>
      </c>
      <c r="U243" t="inlineStr">
        <is>
          <t>1994-09-14</t>
        </is>
      </c>
      <c r="V243" t="inlineStr">
        <is>
          <t>1994-09-14</t>
        </is>
      </c>
      <c r="W243" t="inlineStr">
        <is>
          <t>1992-06-16</t>
        </is>
      </c>
      <c r="X243" t="inlineStr">
        <is>
          <t>1992-06-16</t>
        </is>
      </c>
      <c r="Y243" t="n">
        <v>1180</v>
      </c>
      <c r="Z243" t="n">
        <v>1089</v>
      </c>
      <c r="AA243" t="n">
        <v>1096</v>
      </c>
      <c r="AB243" t="n">
        <v>9</v>
      </c>
      <c r="AC243" t="n">
        <v>9</v>
      </c>
      <c r="AD243" t="n">
        <v>39</v>
      </c>
      <c r="AE243" t="n">
        <v>39</v>
      </c>
      <c r="AF243" t="n">
        <v>18</v>
      </c>
      <c r="AG243" t="n">
        <v>18</v>
      </c>
      <c r="AH243" t="n">
        <v>7</v>
      </c>
      <c r="AI243" t="n">
        <v>7</v>
      </c>
      <c r="AJ243" t="n">
        <v>18</v>
      </c>
      <c r="AK243" t="n">
        <v>18</v>
      </c>
      <c r="AL243" t="n">
        <v>6</v>
      </c>
      <c r="AM243" t="n">
        <v>6</v>
      </c>
      <c r="AN243" t="n">
        <v>0</v>
      </c>
      <c r="AO243" t="n">
        <v>0</v>
      </c>
      <c r="AP243" t="inlineStr">
        <is>
          <t>No</t>
        </is>
      </c>
      <c r="AQ243" t="inlineStr">
        <is>
          <t>No</t>
        </is>
      </c>
      <c r="AR243">
        <f>HYPERLINK("http://catalog.hathitrust.org/Record/000368963","HathiTrust Record")</f>
        <v/>
      </c>
      <c r="AS243">
        <f>HYPERLINK("https://creighton-primo.hosted.exlibrisgroup.com/primo-explore/search?tab=default_tab&amp;search_scope=EVERYTHING&amp;vid=01CRU&amp;lang=en_US&amp;offset=0&amp;query=any,contains,991002972689702656","Catalog Record")</f>
        <v/>
      </c>
      <c r="AT243">
        <f>HYPERLINK("http://www.worldcat.org/oclc/550220","WorldCat Record")</f>
        <v/>
      </c>
      <c r="AU243" t="inlineStr">
        <is>
          <t>2070214143:eng</t>
        </is>
      </c>
      <c r="AV243" t="inlineStr">
        <is>
          <t>550220</t>
        </is>
      </c>
      <c r="AW243" t="inlineStr">
        <is>
          <t>991002972689702656</t>
        </is>
      </c>
      <c r="AX243" t="inlineStr">
        <is>
          <t>991002972689702656</t>
        </is>
      </c>
      <c r="AY243" t="inlineStr">
        <is>
          <t>2255084050002656</t>
        </is>
      </c>
      <c r="AZ243" t="inlineStr">
        <is>
          <t>BOOK</t>
        </is>
      </c>
      <c r="BC243" t="inlineStr">
        <is>
          <t>32285001131654</t>
        </is>
      </c>
      <c r="BD243" t="inlineStr">
        <is>
          <t>893524274</t>
        </is>
      </c>
    </row>
    <row r="244">
      <c r="A244" t="inlineStr">
        <is>
          <t>No</t>
        </is>
      </c>
      <c r="B244" t="inlineStr">
        <is>
          <t>ND237.F32 A4 1995</t>
        </is>
      </c>
      <c r="C244" t="inlineStr">
        <is>
          <t>0                      ND 0237000F  32                 A  4           1995</t>
        </is>
      </c>
      <c r="D244" t="inlineStr">
        <is>
          <t>The middle passage : white ships/black cargo / Tom Feelings ; introduction by John Henrik Clarke.</t>
        </is>
      </c>
      <c r="F244" t="inlineStr">
        <is>
          <t>No</t>
        </is>
      </c>
      <c r="G244" t="inlineStr">
        <is>
          <t>1</t>
        </is>
      </c>
      <c r="H244" t="inlineStr">
        <is>
          <t>No</t>
        </is>
      </c>
      <c r="I244" t="inlineStr">
        <is>
          <t>No</t>
        </is>
      </c>
      <c r="J244" t="inlineStr">
        <is>
          <t>0</t>
        </is>
      </c>
      <c r="K244" t="inlineStr">
        <is>
          <t>Feelings, Tom.</t>
        </is>
      </c>
      <c r="L244" t="inlineStr">
        <is>
          <t>New York : Dial Books, c1995.</t>
        </is>
      </c>
      <c r="M244" t="inlineStr">
        <is>
          <t>1995</t>
        </is>
      </c>
      <c r="N244" t="inlineStr">
        <is>
          <t>1st ed.</t>
        </is>
      </c>
      <c r="O244" t="inlineStr">
        <is>
          <t>eng</t>
        </is>
      </c>
      <c r="P244" t="inlineStr">
        <is>
          <t>nyu</t>
        </is>
      </c>
      <c r="R244" t="inlineStr">
        <is>
          <t xml:space="preserve">ND </t>
        </is>
      </c>
      <c r="S244" t="n">
        <v>9</v>
      </c>
      <c r="T244" t="n">
        <v>9</v>
      </c>
      <c r="U244" t="inlineStr">
        <is>
          <t>2002-08-07</t>
        </is>
      </c>
      <c r="V244" t="inlineStr">
        <is>
          <t>2002-08-07</t>
        </is>
      </c>
      <c r="W244" t="inlineStr">
        <is>
          <t>1996-02-27</t>
        </is>
      </c>
      <c r="X244" t="inlineStr">
        <is>
          <t>1996-02-27</t>
        </is>
      </c>
      <c r="Y244" t="n">
        <v>1712</v>
      </c>
      <c r="Z244" t="n">
        <v>1662</v>
      </c>
      <c r="AA244" t="n">
        <v>1733</v>
      </c>
      <c r="AB244" t="n">
        <v>17</v>
      </c>
      <c r="AC244" t="n">
        <v>19</v>
      </c>
      <c r="AD244" t="n">
        <v>46</v>
      </c>
      <c r="AE244" t="n">
        <v>46</v>
      </c>
      <c r="AF244" t="n">
        <v>19</v>
      </c>
      <c r="AG244" t="n">
        <v>19</v>
      </c>
      <c r="AH244" t="n">
        <v>8</v>
      </c>
      <c r="AI244" t="n">
        <v>8</v>
      </c>
      <c r="AJ244" t="n">
        <v>19</v>
      </c>
      <c r="AK244" t="n">
        <v>19</v>
      </c>
      <c r="AL244" t="n">
        <v>10</v>
      </c>
      <c r="AM244" t="n">
        <v>10</v>
      </c>
      <c r="AN244" t="n">
        <v>0</v>
      </c>
      <c r="AO244" t="n">
        <v>0</v>
      </c>
      <c r="AP244" t="inlineStr">
        <is>
          <t>No</t>
        </is>
      </c>
      <c r="AQ244" t="inlineStr">
        <is>
          <t>Yes</t>
        </is>
      </c>
      <c r="AR244">
        <f>HYPERLINK("http://catalog.hathitrust.org/Record/003039844","HathiTrust Record")</f>
        <v/>
      </c>
      <c r="AS244">
        <f>HYPERLINK("https://creighton-primo.hosted.exlibrisgroup.com/primo-explore/search?tab=default_tab&amp;search_scope=EVERYTHING&amp;vid=01CRU&amp;lang=en_US&amp;offset=0&amp;query=any,contains,991002478169702656","Catalog Record")</f>
        <v/>
      </c>
      <c r="AT244">
        <f>HYPERLINK("http://www.worldcat.org/oclc/32272986","WorldCat Record")</f>
        <v/>
      </c>
      <c r="AU244" t="inlineStr">
        <is>
          <t>919087704:eng</t>
        </is>
      </c>
      <c r="AV244" t="inlineStr">
        <is>
          <t>32272986</t>
        </is>
      </c>
      <c r="AW244" t="inlineStr">
        <is>
          <t>991002478169702656</t>
        </is>
      </c>
      <c r="AX244" t="inlineStr">
        <is>
          <t>991002478169702656</t>
        </is>
      </c>
      <c r="AY244" t="inlineStr">
        <is>
          <t>2260957900002656</t>
        </is>
      </c>
      <c r="AZ244" t="inlineStr">
        <is>
          <t>BOOK</t>
        </is>
      </c>
      <c r="BB244" t="inlineStr">
        <is>
          <t>9780803718043</t>
        </is>
      </c>
      <c r="BC244" t="inlineStr">
        <is>
          <t>32285002138351</t>
        </is>
      </c>
      <c r="BD244" t="inlineStr">
        <is>
          <t>893226887</t>
        </is>
      </c>
    </row>
    <row r="245">
      <c r="A245" t="inlineStr">
        <is>
          <t>No</t>
        </is>
      </c>
      <c r="B245" t="inlineStr">
        <is>
          <t>ND237.F436 H46 1987</t>
        </is>
      </c>
      <c r="C245" t="inlineStr">
        <is>
          <t>0                      ND 0237000F  436                H  46          1987</t>
        </is>
      </c>
      <c r="D245" t="inlineStr">
        <is>
          <t>Janet Fish / Gerrit Henry.</t>
        </is>
      </c>
      <c r="F245" t="inlineStr">
        <is>
          <t>No</t>
        </is>
      </c>
      <c r="G245" t="inlineStr">
        <is>
          <t>1</t>
        </is>
      </c>
      <c r="H245" t="inlineStr">
        <is>
          <t>No</t>
        </is>
      </c>
      <c r="I245" t="inlineStr">
        <is>
          <t>No</t>
        </is>
      </c>
      <c r="J245" t="inlineStr">
        <is>
          <t>0</t>
        </is>
      </c>
      <c r="K245" t="inlineStr">
        <is>
          <t>Henry, Gerrit.</t>
        </is>
      </c>
      <c r="L245" t="inlineStr">
        <is>
          <t>New York : Burton &amp; Skira, 1987.</t>
        </is>
      </c>
      <c r="M245" t="inlineStr">
        <is>
          <t>1987</t>
        </is>
      </c>
      <c r="O245" t="inlineStr">
        <is>
          <t>eng</t>
        </is>
      </c>
      <c r="P245" t="inlineStr">
        <is>
          <t>nyu</t>
        </is>
      </c>
      <c r="R245" t="inlineStr">
        <is>
          <t xml:space="preserve">ND </t>
        </is>
      </c>
      <c r="S245" t="n">
        <v>3</v>
      </c>
      <c r="T245" t="n">
        <v>3</v>
      </c>
      <c r="U245" t="inlineStr">
        <is>
          <t>2002-08-07</t>
        </is>
      </c>
      <c r="V245" t="inlineStr">
        <is>
          <t>2002-08-07</t>
        </is>
      </c>
      <c r="W245" t="inlineStr">
        <is>
          <t>1991-05-30</t>
        </is>
      </c>
      <c r="X245" t="inlineStr">
        <is>
          <t>1991-05-30</t>
        </is>
      </c>
      <c r="Y245" t="n">
        <v>252</v>
      </c>
      <c r="Z245" t="n">
        <v>231</v>
      </c>
      <c r="AA245" t="n">
        <v>234</v>
      </c>
      <c r="AB245" t="n">
        <v>1</v>
      </c>
      <c r="AC245" t="n">
        <v>1</v>
      </c>
      <c r="AD245" t="n">
        <v>3</v>
      </c>
      <c r="AE245" t="n">
        <v>3</v>
      </c>
      <c r="AF245" t="n">
        <v>2</v>
      </c>
      <c r="AG245" t="n">
        <v>2</v>
      </c>
      <c r="AH245" t="n">
        <v>0</v>
      </c>
      <c r="AI245" t="n">
        <v>0</v>
      </c>
      <c r="AJ245" t="n">
        <v>1</v>
      </c>
      <c r="AK245" t="n">
        <v>1</v>
      </c>
      <c r="AL245" t="n">
        <v>0</v>
      </c>
      <c r="AM245" t="n">
        <v>0</v>
      </c>
      <c r="AN245" t="n">
        <v>0</v>
      </c>
      <c r="AO245" t="n">
        <v>0</v>
      </c>
      <c r="AP245" t="inlineStr">
        <is>
          <t>No</t>
        </is>
      </c>
      <c r="AQ245" t="inlineStr">
        <is>
          <t>Yes</t>
        </is>
      </c>
      <c r="AR245">
        <f>HYPERLINK("http://catalog.hathitrust.org/Record/002752178","HathiTrust Record")</f>
        <v/>
      </c>
      <c r="AS245">
        <f>HYPERLINK("https://creighton-primo.hosted.exlibrisgroup.com/primo-explore/search?tab=default_tab&amp;search_scope=EVERYTHING&amp;vid=01CRU&amp;lang=en_US&amp;offset=0&amp;query=any,contains,991001160039702656","Catalog Record")</f>
        <v/>
      </c>
      <c r="AT245">
        <f>HYPERLINK("http://www.worldcat.org/oclc/16877682","WorldCat Record")</f>
        <v/>
      </c>
      <c r="AU245" t="inlineStr">
        <is>
          <t>1909093964:eng</t>
        </is>
      </c>
      <c r="AV245" t="inlineStr">
        <is>
          <t>16877682</t>
        </is>
      </c>
      <c r="AW245" t="inlineStr">
        <is>
          <t>991001160039702656</t>
        </is>
      </c>
      <c r="AX245" t="inlineStr">
        <is>
          <t>991001160039702656</t>
        </is>
      </c>
      <c r="AY245" t="inlineStr">
        <is>
          <t>2257864730002656</t>
        </is>
      </c>
      <c r="AZ245" t="inlineStr">
        <is>
          <t>BOOK</t>
        </is>
      </c>
      <c r="BB245" t="inlineStr">
        <is>
          <t>9782882490001</t>
        </is>
      </c>
      <c r="BC245" t="inlineStr">
        <is>
          <t>32285000590421</t>
        </is>
      </c>
      <c r="BD245" t="inlineStr">
        <is>
          <t>893515942</t>
        </is>
      </c>
    </row>
    <row r="246">
      <c r="A246" t="inlineStr">
        <is>
          <t>No</t>
        </is>
      </c>
      <c r="B246" t="inlineStr">
        <is>
          <t>ND237.G4 A4 2003</t>
        </is>
      </c>
      <c r="C246" t="inlineStr">
        <is>
          <t>0                      ND 0237000G  4                  A  4           2003</t>
        </is>
      </c>
      <c r="D246" t="inlineStr">
        <is>
          <t>Hudson River School visions : the landscapes of Sanford R. Gifford / edited by Kevin J. Avery and Franklin Kelly ; assisted by Claire A. Conway ; with essays by Heidi Applegate and Eleanor Jones Harvey.</t>
        </is>
      </c>
      <c r="F246" t="inlineStr">
        <is>
          <t>No</t>
        </is>
      </c>
      <c r="G246" t="inlineStr">
        <is>
          <t>1</t>
        </is>
      </c>
      <c r="H246" t="inlineStr">
        <is>
          <t>No</t>
        </is>
      </c>
      <c r="I246" t="inlineStr">
        <is>
          <t>No</t>
        </is>
      </c>
      <c r="J246" t="inlineStr">
        <is>
          <t>0</t>
        </is>
      </c>
      <c r="K246" t="inlineStr">
        <is>
          <t>Gifford, Sanford Robinson, 1823-1880.</t>
        </is>
      </c>
      <c r="L246" t="inlineStr">
        <is>
          <t>New York : Metropolitan Museum of Art, 2003.</t>
        </is>
      </c>
      <c r="M246" t="inlineStr">
        <is>
          <t>2003</t>
        </is>
      </c>
      <c r="O246" t="inlineStr">
        <is>
          <t>eng</t>
        </is>
      </c>
      <c r="P246" t="inlineStr">
        <is>
          <t>nyu</t>
        </is>
      </c>
      <c r="R246" t="inlineStr">
        <is>
          <t xml:space="preserve">ND </t>
        </is>
      </c>
      <c r="S246" t="n">
        <v>3</v>
      </c>
      <c r="T246" t="n">
        <v>3</v>
      </c>
      <c r="U246" t="inlineStr">
        <is>
          <t>2005-06-23</t>
        </is>
      </c>
      <c r="V246" t="inlineStr">
        <is>
          <t>2005-06-23</t>
        </is>
      </c>
      <c r="W246" t="inlineStr">
        <is>
          <t>2005-05-25</t>
        </is>
      </c>
      <c r="X246" t="inlineStr">
        <is>
          <t>2005-05-25</t>
        </is>
      </c>
      <c r="Y246" t="n">
        <v>734</v>
      </c>
      <c r="Z246" t="n">
        <v>675</v>
      </c>
      <c r="AA246" t="n">
        <v>713</v>
      </c>
      <c r="AB246" t="n">
        <v>4</v>
      </c>
      <c r="AC246" t="n">
        <v>5</v>
      </c>
      <c r="AD246" t="n">
        <v>20</v>
      </c>
      <c r="AE246" t="n">
        <v>21</v>
      </c>
      <c r="AF246" t="n">
        <v>10</v>
      </c>
      <c r="AG246" t="n">
        <v>10</v>
      </c>
      <c r="AH246" t="n">
        <v>3</v>
      </c>
      <c r="AI246" t="n">
        <v>3</v>
      </c>
      <c r="AJ246" t="n">
        <v>9</v>
      </c>
      <c r="AK246" t="n">
        <v>9</v>
      </c>
      <c r="AL246" t="n">
        <v>2</v>
      </c>
      <c r="AM246" t="n">
        <v>3</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HYPERLINK("https://creighton-primo.hosted.exlibrisgroup.com/primo-explore/search?tab=default_tab&amp;search_scope=EVERYTHING&amp;vid=01CRU&amp;lang=en_US&amp;offset=0&amp;query=any,contains,991004539949702656","Catalog Record")</f>
        <v/>
      </c>
      <c r="AT246">
        <f>HYPERLINK("http://www.worldcat.org/oclc/52687973","WorldCat Record")</f>
        <v/>
      </c>
      <c r="AU246" t="inlineStr">
        <is>
          <t>672176:eng</t>
        </is>
      </c>
      <c r="AV246" t="inlineStr">
        <is>
          <t>52687973</t>
        </is>
      </c>
      <c r="AW246" t="inlineStr">
        <is>
          <t>991004539949702656</t>
        </is>
      </c>
      <c r="AX246" t="inlineStr">
        <is>
          <t>991004539949702656</t>
        </is>
      </c>
      <c r="AY246" t="inlineStr">
        <is>
          <t>2261865450002656</t>
        </is>
      </c>
      <c r="AZ246" t="inlineStr">
        <is>
          <t>BOOK</t>
        </is>
      </c>
      <c r="BB246" t="inlineStr">
        <is>
          <t>9780300101843</t>
        </is>
      </c>
      <c r="BC246" t="inlineStr">
        <is>
          <t>32285005090294</t>
        </is>
      </c>
      <c r="BD246" t="inlineStr">
        <is>
          <t>893599961</t>
        </is>
      </c>
    </row>
    <row r="247">
      <c r="A247" t="inlineStr">
        <is>
          <t>No</t>
        </is>
      </c>
      <c r="B247" t="inlineStr">
        <is>
          <t>ND237.G589 A4 2003</t>
        </is>
      </c>
      <c r="C247" t="inlineStr">
        <is>
          <t>0                      ND 0237000G  589                A  4           2003</t>
        </is>
      </c>
      <c r="D247" t="inlineStr">
        <is>
          <t>Michael Goldberg / Richard Kalina ; introduction by Klaus Kertess.</t>
        </is>
      </c>
      <c r="F247" t="inlineStr">
        <is>
          <t>No</t>
        </is>
      </c>
      <c r="G247" t="inlineStr">
        <is>
          <t>1</t>
        </is>
      </c>
      <c r="H247" t="inlineStr">
        <is>
          <t>No</t>
        </is>
      </c>
      <c r="I247" t="inlineStr">
        <is>
          <t>No</t>
        </is>
      </c>
      <c r="J247" t="inlineStr">
        <is>
          <t>0</t>
        </is>
      </c>
      <c r="K247" t="inlineStr">
        <is>
          <t>Kalina, Richard.</t>
        </is>
      </c>
      <c r="L247" t="inlineStr">
        <is>
          <t>Omaha, Neb. : Joslyn Art Museum, c2003.</t>
        </is>
      </c>
      <c r="M247" t="inlineStr">
        <is>
          <t>2003</t>
        </is>
      </c>
      <c r="O247" t="inlineStr">
        <is>
          <t>eng</t>
        </is>
      </c>
      <c r="P247" t="inlineStr">
        <is>
          <t>nbu</t>
        </is>
      </c>
      <c r="R247" t="inlineStr">
        <is>
          <t xml:space="preserve">ND </t>
        </is>
      </c>
      <c r="S247" t="n">
        <v>1</v>
      </c>
      <c r="T247" t="n">
        <v>1</v>
      </c>
      <c r="U247" t="inlineStr">
        <is>
          <t>2003-04-22</t>
        </is>
      </c>
      <c r="V247" t="inlineStr">
        <is>
          <t>2003-04-22</t>
        </is>
      </c>
      <c r="W247" t="inlineStr">
        <is>
          <t>2003-04-22</t>
        </is>
      </c>
      <c r="X247" t="inlineStr">
        <is>
          <t>2003-04-22</t>
        </is>
      </c>
      <c r="Y247" t="n">
        <v>79</v>
      </c>
      <c r="Z247" t="n">
        <v>75</v>
      </c>
      <c r="AA247" t="n">
        <v>77</v>
      </c>
      <c r="AB247" t="n">
        <v>4</v>
      </c>
      <c r="AC247" t="n">
        <v>4</v>
      </c>
      <c r="AD247" t="n">
        <v>2</v>
      </c>
      <c r="AE247" t="n">
        <v>2</v>
      </c>
      <c r="AF247" t="n">
        <v>0</v>
      </c>
      <c r="AG247" t="n">
        <v>0</v>
      </c>
      <c r="AH247" t="n">
        <v>0</v>
      </c>
      <c r="AI247" t="n">
        <v>0</v>
      </c>
      <c r="AJ247" t="n">
        <v>0</v>
      </c>
      <c r="AK247" t="n">
        <v>0</v>
      </c>
      <c r="AL247" t="n">
        <v>2</v>
      </c>
      <c r="AM247" t="n">
        <v>2</v>
      </c>
      <c r="AN247" t="n">
        <v>0</v>
      </c>
      <c r="AO247" t="n">
        <v>0</v>
      </c>
      <c r="AP247" t="inlineStr">
        <is>
          <t>No</t>
        </is>
      </c>
      <c r="AQ247" t="inlineStr">
        <is>
          <t>Yes</t>
        </is>
      </c>
      <c r="AR247">
        <f>HYPERLINK("http://catalog.hathitrust.org/Record/010673914","HathiTrust Record")</f>
        <v/>
      </c>
      <c r="AS247">
        <f>HYPERLINK("https://creighton-primo.hosted.exlibrisgroup.com/primo-explore/search?tab=default_tab&amp;search_scope=EVERYTHING&amp;vid=01CRU&amp;lang=en_US&amp;offset=0&amp;query=any,contains,991004039669702656","Catalog Record")</f>
        <v/>
      </c>
      <c r="AT247">
        <f>HYPERLINK("http://www.worldcat.org/oclc/51172286","WorldCat Record")</f>
        <v/>
      </c>
      <c r="AU247" t="inlineStr">
        <is>
          <t>743081:eng</t>
        </is>
      </c>
      <c r="AV247" t="inlineStr">
        <is>
          <t>51172286</t>
        </is>
      </c>
      <c r="AW247" t="inlineStr">
        <is>
          <t>991004039669702656</t>
        </is>
      </c>
      <c r="AX247" t="inlineStr">
        <is>
          <t>991004039669702656</t>
        </is>
      </c>
      <c r="AY247" t="inlineStr">
        <is>
          <t>2263888100002656</t>
        </is>
      </c>
      <c r="AZ247" t="inlineStr">
        <is>
          <t>BOOK</t>
        </is>
      </c>
      <c r="BB247" t="inlineStr">
        <is>
          <t>9780936364315</t>
        </is>
      </c>
      <c r="BC247" t="inlineStr">
        <is>
          <t>32285004743398</t>
        </is>
      </c>
      <c r="BD247" t="inlineStr">
        <is>
          <t>893259252</t>
        </is>
      </c>
    </row>
    <row r="248">
      <c r="A248" t="inlineStr">
        <is>
          <t>No</t>
        </is>
      </c>
      <c r="B248" t="inlineStr">
        <is>
          <t>ND237.G68 B4</t>
        </is>
      </c>
      <c r="C248" t="inlineStr">
        <is>
          <t>0                      ND 0237000G  68                 B  4</t>
        </is>
      </c>
      <c r="D248" t="inlineStr">
        <is>
          <t>George Grosz. [Introd. by Ruth Berenson and Norbert Muhlen and an essay by the artist. Edited by Herbert Bittner.</t>
        </is>
      </c>
      <c r="F248" t="inlineStr">
        <is>
          <t>No</t>
        </is>
      </c>
      <c r="G248" t="inlineStr">
        <is>
          <t>1</t>
        </is>
      </c>
      <c r="H248" t="inlineStr">
        <is>
          <t>No</t>
        </is>
      </c>
      <c r="I248" t="inlineStr">
        <is>
          <t>No</t>
        </is>
      </c>
      <c r="J248" t="inlineStr">
        <is>
          <t>0</t>
        </is>
      </c>
      <c r="K248" t="inlineStr">
        <is>
          <t>Grosz, George, 1893-1959.</t>
        </is>
      </c>
      <c r="L248" t="inlineStr">
        <is>
          <t>New York, Arts, inc., 1960]</t>
        </is>
      </c>
      <c r="M248" t="inlineStr">
        <is>
          <t>1960</t>
        </is>
      </c>
      <c r="O248" t="inlineStr">
        <is>
          <t>eng</t>
        </is>
      </c>
      <c r="P248" t="inlineStr">
        <is>
          <t>nyu</t>
        </is>
      </c>
      <c r="Q248" t="inlineStr">
        <is>
          <t>A Golden griffin book</t>
        </is>
      </c>
      <c r="R248" t="inlineStr">
        <is>
          <t xml:space="preserve">ND </t>
        </is>
      </c>
      <c r="S248" t="n">
        <v>3</v>
      </c>
      <c r="T248" t="n">
        <v>3</v>
      </c>
      <c r="U248" t="inlineStr">
        <is>
          <t>2000-11-14</t>
        </is>
      </c>
      <c r="V248" t="inlineStr">
        <is>
          <t>2000-11-14</t>
        </is>
      </c>
      <c r="W248" t="inlineStr">
        <is>
          <t>1997-07-23</t>
        </is>
      </c>
      <c r="X248" t="inlineStr">
        <is>
          <t>1997-07-23</t>
        </is>
      </c>
      <c r="Y248" t="n">
        <v>522</v>
      </c>
      <c r="Z248" t="n">
        <v>472</v>
      </c>
      <c r="AA248" t="n">
        <v>474</v>
      </c>
      <c r="AB248" t="n">
        <v>5</v>
      </c>
      <c r="AC248" t="n">
        <v>5</v>
      </c>
      <c r="AD248" t="n">
        <v>13</v>
      </c>
      <c r="AE248" t="n">
        <v>13</v>
      </c>
      <c r="AF248" t="n">
        <v>3</v>
      </c>
      <c r="AG248" t="n">
        <v>3</v>
      </c>
      <c r="AH248" t="n">
        <v>1</v>
      </c>
      <c r="AI248" t="n">
        <v>1</v>
      </c>
      <c r="AJ248" t="n">
        <v>7</v>
      </c>
      <c r="AK248" t="n">
        <v>7</v>
      </c>
      <c r="AL248" t="n">
        <v>4</v>
      </c>
      <c r="AM248" t="n">
        <v>4</v>
      </c>
      <c r="AN248" t="n">
        <v>0</v>
      </c>
      <c r="AO248" t="n">
        <v>0</v>
      </c>
      <c r="AP248" t="inlineStr">
        <is>
          <t>No</t>
        </is>
      </c>
      <c r="AQ248" t="inlineStr">
        <is>
          <t>No</t>
        </is>
      </c>
      <c r="AR248">
        <f>HYPERLINK("http://catalog.hathitrust.org/Record/000615090","HathiTrust Record")</f>
        <v/>
      </c>
      <c r="AS248">
        <f>HYPERLINK("https://creighton-primo.hosted.exlibrisgroup.com/primo-explore/search?tab=default_tab&amp;search_scope=EVERYTHING&amp;vid=01CRU&amp;lang=en_US&amp;offset=0&amp;query=any,contains,991002636889702656","Catalog Record")</f>
        <v/>
      </c>
      <c r="AT248">
        <f>HYPERLINK("http://www.worldcat.org/oclc/382725","WorldCat Record")</f>
        <v/>
      </c>
      <c r="AU248" t="inlineStr">
        <is>
          <t>2070353762:eng</t>
        </is>
      </c>
      <c r="AV248" t="inlineStr">
        <is>
          <t>382725</t>
        </is>
      </c>
      <c r="AW248" t="inlineStr">
        <is>
          <t>991002636889702656</t>
        </is>
      </c>
      <c r="AX248" t="inlineStr">
        <is>
          <t>991002636889702656</t>
        </is>
      </c>
      <c r="AY248" t="inlineStr">
        <is>
          <t>2260389700002656</t>
        </is>
      </c>
      <c r="AZ248" t="inlineStr">
        <is>
          <t>BOOK</t>
        </is>
      </c>
      <c r="BC248" t="inlineStr">
        <is>
          <t>32285002966587</t>
        </is>
      </c>
      <c r="BD248" t="inlineStr">
        <is>
          <t>893409350</t>
        </is>
      </c>
    </row>
    <row r="249">
      <c r="A249" t="inlineStr">
        <is>
          <t>No</t>
        </is>
      </c>
      <c r="B249" t="inlineStr">
        <is>
          <t>ND237.H3435 L8 1998</t>
        </is>
      </c>
      <c r="C249" t="inlineStr">
        <is>
          <t>0                      ND 0237000H  3435               L  8           1998</t>
        </is>
      </c>
      <c r="D249" t="inlineStr">
        <is>
          <t>Marsden Hartley : the biography of an American artist / Townsend Ludington.</t>
        </is>
      </c>
      <c r="F249" t="inlineStr">
        <is>
          <t>No</t>
        </is>
      </c>
      <c r="G249" t="inlineStr">
        <is>
          <t>1</t>
        </is>
      </c>
      <c r="H249" t="inlineStr">
        <is>
          <t>No</t>
        </is>
      </c>
      <c r="I249" t="inlineStr">
        <is>
          <t>No</t>
        </is>
      </c>
      <c r="J249" t="inlineStr">
        <is>
          <t>0</t>
        </is>
      </c>
      <c r="K249" t="inlineStr">
        <is>
          <t>Ludington, Townsend, 1936-</t>
        </is>
      </c>
      <c r="L249" t="inlineStr">
        <is>
          <t>Ithaca : Cornell University Press, [1998]</t>
        </is>
      </c>
      <c r="M249" t="inlineStr">
        <is>
          <t>1998</t>
        </is>
      </c>
      <c r="O249" t="inlineStr">
        <is>
          <t>eng</t>
        </is>
      </c>
      <c r="P249" t="inlineStr">
        <is>
          <t>nyu</t>
        </is>
      </c>
      <c r="R249" t="inlineStr">
        <is>
          <t xml:space="preserve">ND </t>
        </is>
      </c>
      <c r="S249" t="n">
        <v>1</v>
      </c>
      <c r="T249" t="n">
        <v>1</v>
      </c>
      <c r="U249" t="inlineStr">
        <is>
          <t>2002-10-23</t>
        </is>
      </c>
      <c r="V249" t="inlineStr">
        <is>
          <t>2002-10-23</t>
        </is>
      </c>
      <c r="W249" t="inlineStr">
        <is>
          <t>2000-10-17</t>
        </is>
      </c>
      <c r="X249" t="inlineStr">
        <is>
          <t>2000-10-17</t>
        </is>
      </c>
      <c r="Y249" t="n">
        <v>120</v>
      </c>
      <c r="Z249" t="n">
        <v>102</v>
      </c>
      <c r="AA249" t="n">
        <v>516</v>
      </c>
      <c r="AB249" t="n">
        <v>1</v>
      </c>
      <c r="AC249" t="n">
        <v>5</v>
      </c>
      <c r="AD249" t="n">
        <v>1</v>
      </c>
      <c r="AE249" t="n">
        <v>15</v>
      </c>
      <c r="AF249" t="n">
        <v>0</v>
      </c>
      <c r="AG249" t="n">
        <v>6</v>
      </c>
      <c r="AH249" t="n">
        <v>1</v>
      </c>
      <c r="AI249" t="n">
        <v>6</v>
      </c>
      <c r="AJ249" t="n">
        <v>1</v>
      </c>
      <c r="AK249" t="n">
        <v>8</v>
      </c>
      <c r="AL249" t="n">
        <v>0</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HYPERLINK("https://creighton-primo.hosted.exlibrisgroup.com/primo-explore/search?tab=default_tab&amp;search_scope=EVERYTHING&amp;vid=01CRU&amp;lang=en_US&amp;offset=0&amp;query=any,contains,991003298019702656","Catalog Record")</f>
        <v/>
      </c>
      <c r="AT249">
        <f>HYPERLINK("http://www.worldcat.org/oclc/39477722","WorldCat Record")</f>
        <v/>
      </c>
      <c r="AU249" t="inlineStr">
        <is>
          <t>27393626:eng</t>
        </is>
      </c>
      <c r="AV249" t="inlineStr">
        <is>
          <t>39477722</t>
        </is>
      </c>
      <c r="AW249" t="inlineStr">
        <is>
          <t>991003298019702656</t>
        </is>
      </c>
      <c r="AX249" t="inlineStr">
        <is>
          <t>991003298019702656</t>
        </is>
      </c>
      <c r="AY249" t="inlineStr">
        <is>
          <t>2269600320002656</t>
        </is>
      </c>
      <c r="AZ249" t="inlineStr">
        <is>
          <t>BOOK</t>
        </is>
      </c>
      <c r="BB249" t="inlineStr">
        <is>
          <t>9780801485800</t>
        </is>
      </c>
      <c r="BC249" t="inlineStr">
        <is>
          <t>32285003768214</t>
        </is>
      </c>
      <c r="BD249" t="inlineStr">
        <is>
          <t>893711234</t>
        </is>
      </c>
    </row>
    <row r="250">
      <c r="A250" t="inlineStr">
        <is>
          <t>No</t>
        </is>
      </c>
      <c r="B250" t="inlineStr">
        <is>
          <t>ND237.H37 A4 2004</t>
        </is>
      </c>
      <c r="C250" t="inlineStr">
        <is>
          <t>0                      ND 0237000H  37                 A  4           2004</t>
        </is>
      </c>
      <c r="D250" t="inlineStr">
        <is>
          <t>Childe Hassam : impressionist in the West / Margaret E. Bullock ; with a foreword by H. Barbara Weinberg.</t>
        </is>
      </c>
      <c r="F250" t="inlineStr">
        <is>
          <t>No</t>
        </is>
      </c>
      <c r="G250" t="inlineStr">
        <is>
          <t>1</t>
        </is>
      </c>
      <c r="H250" t="inlineStr">
        <is>
          <t>No</t>
        </is>
      </c>
      <c r="I250" t="inlineStr">
        <is>
          <t>No</t>
        </is>
      </c>
      <c r="J250" t="inlineStr">
        <is>
          <t>0</t>
        </is>
      </c>
      <c r="K250" t="inlineStr">
        <is>
          <t>Bullock, Margaret E.</t>
        </is>
      </c>
      <c r="L250" t="inlineStr">
        <is>
          <t>[Portland] Or. : Portland Art Museum, 2004.</t>
        </is>
      </c>
      <c r="M250" t="inlineStr">
        <is>
          <t>2004</t>
        </is>
      </c>
      <c r="O250" t="inlineStr">
        <is>
          <t>eng</t>
        </is>
      </c>
      <c r="P250" t="inlineStr">
        <is>
          <t>oru</t>
        </is>
      </c>
      <c r="R250" t="inlineStr">
        <is>
          <t xml:space="preserve">ND </t>
        </is>
      </c>
      <c r="S250" t="n">
        <v>1</v>
      </c>
      <c r="T250" t="n">
        <v>1</v>
      </c>
      <c r="U250" t="inlineStr">
        <is>
          <t>2007-02-05</t>
        </is>
      </c>
      <c r="V250" t="inlineStr">
        <is>
          <t>2007-02-05</t>
        </is>
      </c>
      <c r="W250" t="inlineStr">
        <is>
          <t>2007-02-05</t>
        </is>
      </c>
      <c r="X250" t="inlineStr">
        <is>
          <t>2007-02-05</t>
        </is>
      </c>
      <c r="Y250" t="n">
        <v>669</v>
      </c>
      <c r="Z250" t="n">
        <v>635</v>
      </c>
      <c r="AA250" t="n">
        <v>1104</v>
      </c>
      <c r="AB250" t="n">
        <v>2</v>
      </c>
      <c r="AC250" t="n">
        <v>9</v>
      </c>
      <c r="AD250" t="n">
        <v>18</v>
      </c>
      <c r="AE250" t="n">
        <v>31</v>
      </c>
      <c r="AF250" t="n">
        <v>7</v>
      </c>
      <c r="AG250" t="n">
        <v>11</v>
      </c>
      <c r="AH250" t="n">
        <v>5</v>
      </c>
      <c r="AI250" t="n">
        <v>7</v>
      </c>
      <c r="AJ250" t="n">
        <v>10</v>
      </c>
      <c r="AK250" t="n">
        <v>14</v>
      </c>
      <c r="AL250" t="n">
        <v>1</v>
      </c>
      <c r="AM250" t="n">
        <v>6</v>
      </c>
      <c r="AN250" t="n">
        <v>0</v>
      </c>
      <c r="AO250" t="n">
        <v>0</v>
      </c>
      <c r="AP250" t="inlineStr">
        <is>
          <t>No</t>
        </is>
      </c>
      <c r="AQ250" t="inlineStr">
        <is>
          <t>Yes</t>
        </is>
      </c>
      <c r="AR250">
        <f>HYPERLINK("http://catalog.hathitrust.org/Record/004950472","HathiTrust Record")</f>
        <v/>
      </c>
      <c r="AS250">
        <f>HYPERLINK("https://creighton-primo.hosted.exlibrisgroup.com/primo-explore/search?tab=default_tab&amp;search_scope=EVERYTHING&amp;vid=01CRU&amp;lang=en_US&amp;offset=0&amp;query=any,contains,991005008089702656","Catalog Record")</f>
        <v/>
      </c>
      <c r="AT250">
        <f>HYPERLINK("http://www.worldcat.org/oclc/55887292","WorldCat Record")</f>
        <v/>
      </c>
      <c r="AU250" t="inlineStr">
        <is>
          <t>16676758:eng</t>
        </is>
      </c>
      <c r="AV250" t="inlineStr">
        <is>
          <t>55887292</t>
        </is>
      </c>
      <c r="AW250" t="inlineStr">
        <is>
          <t>991005008089702656</t>
        </is>
      </c>
      <c r="AX250" t="inlineStr">
        <is>
          <t>991005008089702656</t>
        </is>
      </c>
      <c r="AY250" t="inlineStr">
        <is>
          <t>2265690270002656</t>
        </is>
      </c>
      <c r="AZ250" t="inlineStr">
        <is>
          <t>BOOK</t>
        </is>
      </c>
      <c r="BB250" t="inlineStr">
        <is>
          <t>9781883124199</t>
        </is>
      </c>
      <c r="BC250" t="inlineStr">
        <is>
          <t>32285005274849</t>
        </is>
      </c>
      <c r="BD250" t="inlineStr">
        <is>
          <t>893418259</t>
        </is>
      </c>
    </row>
    <row r="251">
      <c r="A251" t="inlineStr">
        <is>
          <t>No</t>
        </is>
      </c>
      <c r="B251" t="inlineStr">
        <is>
          <t>ND237.H5 R4</t>
        </is>
      </c>
      <c r="C251" t="inlineStr">
        <is>
          <t>0                      ND 0237000H  5                  R  4</t>
        </is>
      </c>
      <c r="D251" t="inlineStr">
        <is>
          <t>Robert Henri / by Helen Appleton Read.</t>
        </is>
      </c>
      <c r="F251" t="inlineStr">
        <is>
          <t>No</t>
        </is>
      </c>
      <c r="G251" t="inlineStr">
        <is>
          <t>1</t>
        </is>
      </c>
      <c r="H251" t="inlineStr">
        <is>
          <t>No</t>
        </is>
      </c>
      <c r="I251" t="inlineStr">
        <is>
          <t>No</t>
        </is>
      </c>
      <c r="J251" t="inlineStr">
        <is>
          <t>0</t>
        </is>
      </c>
      <c r="K251" t="inlineStr">
        <is>
          <t>Read, Helen Appleton.</t>
        </is>
      </c>
      <c r="L251" t="inlineStr">
        <is>
          <t>New York : Whitney Museum of American Art, c1931.</t>
        </is>
      </c>
      <c r="M251" t="inlineStr">
        <is>
          <t>1931</t>
        </is>
      </c>
      <c r="O251" t="inlineStr">
        <is>
          <t>eng</t>
        </is>
      </c>
      <c r="P251" t="inlineStr">
        <is>
          <t>nyu</t>
        </is>
      </c>
      <c r="Q251" t="inlineStr">
        <is>
          <t>American artists series (Whitney Museum of American Art)</t>
        </is>
      </c>
      <c r="R251" t="inlineStr">
        <is>
          <t xml:space="preserve">ND </t>
        </is>
      </c>
      <c r="S251" t="n">
        <v>0</v>
      </c>
      <c r="T251" t="n">
        <v>0</v>
      </c>
      <c r="U251" t="inlineStr">
        <is>
          <t>2009-03-31</t>
        </is>
      </c>
      <c r="V251" t="inlineStr">
        <is>
          <t>2009-03-31</t>
        </is>
      </c>
      <c r="W251" t="inlineStr">
        <is>
          <t>1997-07-23</t>
        </is>
      </c>
      <c r="X251" t="inlineStr">
        <is>
          <t>1997-07-23</t>
        </is>
      </c>
      <c r="Y251" t="n">
        <v>234</v>
      </c>
      <c r="Z251" t="n">
        <v>225</v>
      </c>
      <c r="AA251" t="n">
        <v>226</v>
      </c>
      <c r="AB251" t="n">
        <v>3</v>
      </c>
      <c r="AC251" t="n">
        <v>3</v>
      </c>
      <c r="AD251" t="n">
        <v>4</v>
      </c>
      <c r="AE251" t="n">
        <v>4</v>
      </c>
      <c r="AF251" t="n">
        <v>1</v>
      </c>
      <c r="AG251" t="n">
        <v>1</v>
      </c>
      <c r="AH251" t="n">
        <v>0</v>
      </c>
      <c r="AI251" t="n">
        <v>0</v>
      </c>
      <c r="AJ251" t="n">
        <v>1</v>
      </c>
      <c r="AK251" t="n">
        <v>1</v>
      </c>
      <c r="AL251" t="n">
        <v>2</v>
      </c>
      <c r="AM251" t="n">
        <v>2</v>
      </c>
      <c r="AN251" t="n">
        <v>0</v>
      </c>
      <c r="AO251" t="n">
        <v>0</v>
      </c>
      <c r="AP251" t="inlineStr">
        <is>
          <t>No</t>
        </is>
      </c>
      <c r="AQ251" t="inlineStr">
        <is>
          <t>No</t>
        </is>
      </c>
      <c r="AR251">
        <f>HYPERLINK("http://catalog.hathitrust.org/Record/000368774","HathiTrust Record")</f>
        <v/>
      </c>
      <c r="AS251">
        <f>HYPERLINK("https://creighton-primo.hosted.exlibrisgroup.com/primo-explore/search?tab=default_tab&amp;search_scope=EVERYTHING&amp;vid=01CRU&amp;lang=en_US&amp;offset=0&amp;query=any,contains,991000844089702656","Catalog Record")</f>
        <v/>
      </c>
      <c r="AT251">
        <f>HYPERLINK("http://www.worldcat.org/oclc/13553296","WorldCat Record")</f>
        <v/>
      </c>
      <c r="AU251" t="inlineStr">
        <is>
          <t>1806329968:eng</t>
        </is>
      </c>
      <c r="AV251" t="inlineStr">
        <is>
          <t>13553296</t>
        </is>
      </c>
      <c r="AW251" t="inlineStr">
        <is>
          <t>991000844089702656</t>
        </is>
      </c>
      <c r="AX251" t="inlineStr">
        <is>
          <t>991000844089702656</t>
        </is>
      </c>
      <c r="AY251" t="inlineStr">
        <is>
          <t>2256947260002656</t>
        </is>
      </c>
      <c r="AZ251" t="inlineStr">
        <is>
          <t>BOOK</t>
        </is>
      </c>
      <c r="BC251" t="inlineStr">
        <is>
          <t>32285002966603</t>
        </is>
      </c>
      <c r="BD251" t="inlineStr">
        <is>
          <t>893231463</t>
        </is>
      </c>
    </row>
    <row r="252">
      <c r="A252" t="inlineStr">
        <is>
          <t>No</t>
        </is>
      </c>
      <c r="B252" t="inlineStr">
        <is>
          <t>ND237.H584 P67 1991</t>
        </is>
      </c>
      <c r="C252" t="inlineStr">
        <is>
          <t>0                      ND 0237000H  584                P  67          1991</t>
        </is>
      </c>
      <c r="D252" t="inlineStr">
        <is>
          <t>Victor Higgins : an American master / Dean A. Porter.</t>
        </is>
      </c>
      <c r="F252" t="inlineStr">
        <is>
          <t>No</t>
        </is>
      </c>
      <c r="G252" t="inlineStr">
        <is>
          <t>1</t>
        </is>
      </c>
      <c r="H252" t="inlineStr">
        <is>
          <t>No</t>
        </is>
      </c>
      <c r="I252" t="inlineStr">
        <is>
          <t>No</t>
        </is>
      </c>
      <c r="J252" t="inlineStr">
        <is>
          <t>0</t>
        </is>
      </c>
      <c r="K252" t="inlineStr">
        <is>
          <t>Porter, Dean A.</t>
        </is>
      </c>
      <c r="L252" t="inlineStr">
        <is>
          <t>Salt Lake City : Peregrine Smith Books, 1991.</t>
        </is>
      </c>
      <c r="M252" t="inlineStr">
        <is>
          <t>1991</t>
        </is>
      </c>
      <c r="N252" t="inlineStr">
        <is>
          <t>1st ed.</t>
        </is>
      </c>
      <c r="O252" t="inlineStr">
        <is>
          <t>eng</t>
        </is>
      </c>
      <c r="P252" t="inlineStr">
        <is>
          <t>utu</t>
        </is>
      </c>
      <c r="R252" t="inlineStr">
        <is>
          <t xml:space="preserve">ND </t>
        </is>
      </c>
      <c r="S252" t="n">
        <v>1</v>
      </c>
      <c r="T252" t="n">
        <v>1</v>
      </c>
      <c r="U252" t="inlineStr">
        <is>
          <t>2000-11-08</t>
        </is>
      </c>
      <c r="V252" t="inlineStr">
        <is>
          <t>2000-11-08</t>
        </is>
      </c>
      <c r="W252" t="inlineStr">
        <is>
          <t>1991-11-07</t>
        </is>
      </c>
      <c r="X252" t="inlineStr">
        <is>
          <t>1991-11-07</t>
        </is>
      </c>
      <c r="Y252" t="n">
        <v>354</v>
      </c>
      <c r="Z252" t="n">
        <v>337</v>
      </c>
      <c r="AA252" t="n">
        <v>341</v>
      </c>
      <c r="AB252" t="n">
        <v>6</v>
      </c>
      <c r="AC252" t="n">
        <v>6</v>
      </c>
      <c r="AD252" t="n">
        <v>11</v>
      </c>
      <c r="AE252" t="n">
        <v>11</v>
      </c>
      <c r="AF252" t="n">
        <v>5</v>
      </c>
      <c r="AG252" t="n">
        <v>5</v>
      </c>
      <c r="AH252" t="n">
        <v>1</v>
      </c>
      <c r="AI252" t="n">
        <v>1</v>
      </c>
      <c r="AJ252" t="n">
        <v>2</v>
      </c>
      <c r="AK252" t="n">
        <v>2</v>
      </c>
      <c r="AL252" t="n">
        <v>4</v>
      </c>
      <c r="AM252" t="n">
        <v>4</v>
      </c>
      <c r="AN252" t="n">
        <v>0</v>
      </c>
      <c r="AO252" t="n">
        <v>0</v>
      </c>
      <c r="AP252" t="inlineStr">
        <is>
          <t>No</t>
        </is>
      </c>
      <c r="AQ252" t="inlineStr">
        <is>
          <t>Yes</t>
        </is>
      </c>
      <c r="AR252">
        <f>HYPERLINK("http://catalog.hathitrust.org/Record/004500933","HathiTrust Record")</f>
        <v/>
      </c>
      <c r="AS252">
        <f>HYPERLINK("https://creighton-primo.hosted.exlibrisgroup.com/primo-explore/search?tab=default_tab&amp;search_scope=EVERYTHING&amp;vid=01CRU&amp;lang=en_US&amp;offset=0&amp;query=any,contains,991001788259702656","Catalog Record")</f>
        <v/>
      </c>
      <c r="AT252">
        <f>HYPERLINK("http://www.worldcat.org/oclc/22510865","WorldCat Record")</f>
        <v/>
      </c>
      <c r="AU252" t="inlineStr">
        <is>
          <t>24053378:eng</t>
        </is>
      </c>
      <c r="AV252" t="inlineStr">
        <is>
          <t>22510865</t>
        </is>
      </c>
      <c r="AW252" t="inlineStr">
        <is>
          <t>991001788259702656</t>
        </is>
      </c>
      <c r="AX252" t="inlineStr">
        <is>
          <t>991001788259702656</t>
        </is>
      </c>
      <c r="AY252" t="inlineStr">
        <is>
          <t>2265471970002656</t>
        </is>
      </c>
      <c r="AZ252" t="inlineStr">
        <is>
          <t>BOOK</t>
        </is>
      </c>
      <c r="BB252" t="inlineStr">
        <is>
          <t>9780879053628</t>
        </is>
      </c>
      <c r="BC252" t="inlineStr">
        <is>
          <t>32285000729904</t>
        </is>
      </c>
      <c r="BD252" t="inlineStr">
        <is>
          <t>893516500</t>
        </is>
      </c>
    </row>
    <row r="253">
      <c r="A253" t="inlineStr">
        <is>
          <t>No</t>
        </is>
      </c>
      <c r="B253" t="inlineStr">
        <is>
          <t>ND237.H667 A4 1988</t>
        </is>
      </c>
      <c r="C253" t="inlineStr">
        <is>
          <t>0                      ND 0237000H  667                A  4           1988</t>
        </is>
      </c>
      <c r="D253" t="inlineStr">
        <is>
          <t>Hans Hofmann, late paintings / John Hoyland.</t>
        </is>
      </c>
      <c r="F253" t="inlineStr">
        <is>
          <t>No</t>
        </is>
      </c>
      <c r="G253" t="inlineStr">
        <is>
          <t>1</t>
        </is>
      </c>
      <c r="H253" t="inlineStr">
        <is>
          <t>No</t>
        </is>
      </c>
      <c r="I253" t="inlineStr">
        <is>
          <t>No</t>
        </is>
      </c>
      <c r="J253" t="inlineStr">
        <is>
          <t>0</t>
        </is>
      </c>
      <c r="K253" t="inlineStr">
        <is>
          <t>Hoyland, John, 1934-2011.</t>
        </is>
      </c>
      <c r="L253" t="inlineStr">
        <is>
          <t>London : Tate Gallery, 1988.</t>
        </is>
      </c>
      <c r="M253" t="inlineStr">
        <is>
          <t>1988</t>
        </is>
      </c>
      <c r="O253" t="inlineStr">
        <is>
          <t>eng</t>
        </is>
      </c>
      <c r="P253" t="inlineStr">
        <is>
          <t>enk</t>
        </is>
      </c>
      <c r="R253" t="inlineStr">
        <is>
          <t xml:space="preserve">ND </t>
        </is>
      </c>
      <c r="S253" t="n">
        <v>3</v>
      </c>
      <c r="T253" t="n">
        <v>3</v>
      </c>
      <c r="U253" t="inlineStr">
        <is>
          <t>2003-04-22</t>
        </is>
      </c>
      <c r="V253" t="inlineStr">
        <is>
          <t>2003-04-22</t>
        </is>
      </c>
      <c r="W253" t="inlineStr">
        <is>
          <t>1990-06-22</t>
        </is>
      </c>
      <c r="X253" t="inlineStr">
        <is>
          <t>1990-06-22</t>
        </is>
      </c>
      <c r="Y253" t="n">
        <v>293</v>
      </c>
      <c r="Z253" t="n">
        <v>207</v>
      </c>
      <c r="AA253" t="n">
        <v>213</v>
      </c>
      <c r="AB253" t="n">
        <v>3</v>
      </c>
      <c r="AC253" t="n">
        <v>3</v>
      </c>
      <c r="AD253" t="n">
        <v>5</v>
      </c>
      <c r="AE253" t="n">
        <v>5</v>
      </c>
      <c r="AF253" t="n">
        <v>1</v>
      </c>
      <c r="AG253" t="n">
        <v>1</v>
      </c>
      <c r="AH253" t="n">
        <v>1</v>
      </c>
      <c r="AI253" t="n">
        <v>1</v>
      </c>
      <c r="AJ253" t="n">
        <v>4</v>
      </c>
      <c r="AK253" t="n">
        <v>4</v>
      </c>
      <c r="AL253" t="n">
        <v>1</v>
      </c>
      <c r="AM253" t="n">
        <v>1</v>
      </c>
      <c r="AN253" t="n">
        <v>0</v>
      </c>
      <c r="AO253" t="n">
        <v>0</v>
      </c>
      <c r="AP253" t="inlineStr">
        <is>
          <t>No</t>
        </is>
      </c>
      <c r="AQ253" t="inlineStr">
        <is>
          <t>Yes</t>
        </is>
      </c>
      <c r="AR253">
        <f>HYPERLINK("http://catalog.hathitrust.org/Record/001073484","HathiTrust Record")</f>
        <v/>
      </c>
      <c r="AS253">
        <f>HYPERLINK("https://creighton-primo.hosted.exlibrisgroup.com/primo-explore/search?tab=default_tab&amp;search_scope=EVERYTHING&amp;vid=01CRU&amp;lang=en_US&amp;offset=0&amp;query=any,contains,991001510299702656","Catalog Record")</f>
        <v/>
      </c>
      <c r="AT253">
        <f>HYPERLINK("http://www.worldcat.org/oclc/19886546","WorldCat Record")</f>
        <v/>
      </c>
      <c r="AU253" t="inlineStr">
        <is>
          <t>4916913025:eng</t>
        </is>
      </c>
      <c r="AV253" t="inlineStr">
        <is>
          <t>19886546</t>
        </is>
      </c>
      <c r="AW253" t="inlineStr">
        <is>
          <t>991001510299702656</t>
        </is>
      </c>
      <c r="AX253" t="inlineStr">
        <is>
          <t>991001510299702656</t>
        </is>
      </c>
      <c r="AY253" t="inlineStr">
        <is>
          <t>2258444950002656</t>
        </is>
      </c>
      <c r="AZ253" t="inlineStr">
        <is>
          <t>BOOK</t>
        </is>
      </c>
      <c r="BB253" t="inlineStr">
        <is>
          <t>9780946590889</t>
        </is>
      </c>
      <c r="BC253" t="inlineStr">
        <is>
          <t>32285000179852</t>
        </is>
      </c>
      <c r="BD253" t="inlineStr">
        <is>
          <t>893791495</t>
        </is>
      </c>
    </row>
    <row r="254">
      <c r="A254" t="inlineStr">
        <is>
          <t>No</t>
        </is>
      </c>
      <c r="B254" t="inlineStr">
        <is>
          <t>ND237.H667 A4 1990</t>
        </is>
      </c>
      <c r="C254" t="inlineStr">
        <is>
          <t>0                      ND 0237000H  667                A  4           1990</t>
        </is>
      </c>
      <c r="D254" t="inlineStr">
        <is>
          <t>Hans Hofmann / Cynthia Goodman ; with essays by Cynthia Goodman, Irving Sandler, Clement Greenberg.</t>
        </is>
      </c>
      <c r="F254" t="inlineStr">
        <is>
          <t>No</t>
        </is>
      </c>
      <c r="G254" t="inlineStr">
        <is>
          <t>1</t>
        </is>
      </c>
      <c r="H254" t="inlineStr">
        <is>
          <t>No</t>
        </is>
      </c>
      <c r="I254" t="inlineStr">
        <is>
          <t>No</t>
        </is>
      </c>
      <c r="J254" t="inlineStr">
        <is>
          <t>0</t>
        </is>
      </c>
      <c r="K254" t="inlineStr">
        <is>
          <t>Goodman, Cynthia.</t>
        </is>
      </c>
      <c r="L254" t="inlineStr">
        <is>
          <t>New York : Whitney Museum of American Art ; Munich : In association with Prestel-Verlag, c1990.</t>
        </is>
      </c>
      <c r="M254" t="inlineStr">
        <is>
          <t>1990</t>
        </is>
      </c>
      <c r="O254" t="inlineStr">
        <is>
          <t>eng</t>
        </is>
      </c>
      <c r="P254" t="inlineStr">
        <is>
          <t>nyu</t>
        </is>
      </c>
      <c r="R254" t="inlineStr">
        <is>
          <t xml:space="preserve">ND </t>
        </is>
      </c>
      <c r="S254" t="n">
        <v>7</v>
      </c>
      <c r="T254" t="n">
        <v>7</v>
      </c>
      <c r="U254" t="inlineStr">
        <is>
          <t>2003-04-22</t>
        </is>
      </c>
      <c r="V254" t="inlineStr">
        <is>
          <t>2003-04-22</t>
        </is>
      </c>
      <c r="W254" t="inlineStr">
        <is>
          <t>1992-08-12</t>
        </is>
      </c>
      <c r="X254" t="inlineStr">
        <is>
          <t>1992-08-12</t>
        </is>
      </c>
      <c r="Y254" t="n">
        <v>656</v>
      </c>
      <c r="Z254" t="n">
        <v>551</v>
      </c>
      <c r="AA254" t="n">
        <v>555</v>
      </c>
      <c r="AB254" t="n">
        <v>4</v>
      </c>
      <c r="AC254" t="n">
        <v>4</v>
      </c>
      <c r="AD254" t="n">
        <v>19</v>
      </c>
      <c r="AE254" t="n">
        <v>19</v>
      </c>
      <c r="AF254" t="n">
        <v>6</v>
      </c>
      <c r="AG254" t="n">
        <v>6</v>
      </c>
      <c r="AH254" t="n">
        <v>5</v>
      </c>
      <c r="AI254" t="n">
        <v>5</v>
      </c>
      <c r="AJ254" t="n">
        <v>7</v>
      </c>
      <c r="AK254" t="n">
        <v>7</v>
      </c>
      <c r="AL254" t="n">
        <v>3</v>
      </c>
      <c r="AM254" t="n">
        <v>3</v>
      </c>
      <c r="AN254" t="n">
        <v>0</v>
      </c>
      <c r="AO254" t="n">
        <v>0</v>
      </c>
      <c r="AP254" t="inlineStr">
        <is>
          <t>No</t>
        </is>
      </c>
      <c r="AQ254" t="inlineStr">
        <is>
          <t>Yes</t>
        </is>
      </c>
      <c r="AR254">
        <f>HYPERLINK("http://catalog.hathitrust.org/Record/002183924","HathiTrust Record")</f>
        <v/>
      </c>
      <c r="AS254">
        <f>HYPERLINK("https://creighton-primo.hosted.exlibrisgroup.com/primo-explore/search?tab=default_tab&amp;search_scope=EVERYTHING&amp;vid=01CRU&amp;lang=en_US&amp;offset=0&amp;query=any,contains,991001640589702656","Catalog Record")</f>
        <v/>
      </c>
      <c r="AT254">
        <f>HYPERLINK("http://www.worldcat.org/oclc/21029567","WorldCat Record")</f>
        <v/>
      </c>
      <c r="AU254" t="inlineStr">
        <is>
          <t>2070181430:eng</t>
        </is>
      </c>
      <c r="AV254" t="inlineStr">
        <is>
          <t>21029567</t>
        </is>
      </c>
      <c r="AW254" t="inlineStr">
        <is>
          <t>991001640589702656</t>
        </is>
      </c>
      <c r="AX254" t="inlineStr">
        <is>
          <t>991001640589702656</t>
        </is>
      </c>
      <c r="AY254" t="inlineStr">
        <is>
          <t>2266645330002656</t>
        </is>
      </c>
      <c r="AZ254" t="inlineStr">
        <is>
          <t>BOOK</t>
        </is>
      </c>
      <c r="BB254" t="inlineStr">
        <is>
          <t>9783791310541</t>
        </is>
      </c>
      <c r="BC254" t="inlineStr">
        <is>
          <t>32285001197754</t>
        </is>
      </c>
      <c r="BD254" t="inlineStr">
        <is>
          <t>893250351</t>
        </is>
      </c>
    </row>
    <row r="255">
      <c r="A255" t="inlineStr">
        <is>
          <t>No</t>
        </is>
      </c>
      <c r="B255" t="inlineStr">
        <is>
          <t>ND237.H667 F7513 1998</t>
        </is>
      </c>
      <c r="C255" t="inlineStr">
        <is>
          <t>0                      ND 0237000H  667                F  7513        1998</t>
        </is>
      </c>
      <c r="D255" t="inlineStr">
        <is>
          <t>Hans Hofmann / by Helmut Friedel and Tina Dickey.</t>
        </is>
      </c>
      <c r="F255" t="inlineStr">
        <is>
          <t>No</t>
        </is>
      </c>
      <c r="G255" t="inlineStr">
        <is>
          <t>1</t>
        </is>
      </c>
      <c r="H255" t="inlineStr">
        <is>
          <t>No</t>
        </is>
      </c>
      <c r="I255" t="inlineStr">
        <is>
          <t>No</t>
        </is>
      </c>
      <c r="J255" t="inlineStr">
        <is>
          <t>0</t>
        </is>
      </c>
      <c r="K255" t="inlineStr">
        <is>
          <t>Friedel, Helmut.</t>
        </is>
      </c>
      <c r="L255" t="inlineStr">
        <is>
          <t>New York : Hudson Hills Press, 1998.</t>
        </is>
      </c>
      <c r="M255" t="inlineStr">
        <is>
          <t>1998</t>
        </is>
      </c>
      <c r="N255" t="inlineStr">
        <is>
          <t>1st English ed.</t>
        </is>
      </c>
      <c r="O255" t="inlineStr">
        <is>
          <t>eng</t>
        </is>
      </c>
      <c r="P255" t="inlineStr">
        <is>
          <t>nyu</t>
        </is>
      </c>
      <c r="R255" t="inlineStr">
        <is>
          <t xml:space="preserve">ND </t>
        </is>
      </c>
      <c r="S255" t="n">
        <v>2</v>
      </c>
      <c r="T255" t="n">
        <v>2</v>
      </c>
      <c r="U255" t="inlineStr">
        <is>
          <t>2003-04-22</t>
        </is>
      </c>
      <c r="V255" t="inlineStr">
        <is>
          <t>2003-04-22</t>
        </is>
      </c>
      <c r="W255" t="inlineStr">
        <is>
          <t>1999-05-04</t>
        </is>
      </c>
      <c r="X255" t="inlineStr">
        <is>
          <t>1999-05-04</t>
        </is>
      </c>
      <c r="Y255" t="n">
        <v>558</v>
      </c>
      <c r="Z255" t="n">
        <v>511</v>
      </c>
      <c r="AA255" t="n">
        <v>516</v>
      </c>
      <c r="AB255" t="n">
        <v>6</v>
      </c>
      <c r="AC255" t="n">
        <v>6</v>
      </c>
      <c r="AD255" t="n">
        <v>17</v>
      </c>
      <c r="AE255" t="n">
        <v>17</v>
      </c>
      <c r="AF255" t="n">
        <v>6</v>
      </c>
      <c r="AG255" t="n">
        <v>6</v>
      </c>
      <c r="AH255" t="n">
        <v>3</v>
      </c>
      <c r="AI255" t="n">
        <v>3</v>
      </c>
      <c r="AJ255" t="n">
        <v>7</v>
      </c>
      <c r="AK255" t="n">
        <v>7</v>
      </c>
      <c r="AL255" t="n">
        <v>4</v>
      </c>
      <c r="AM255" t="n">
        <v>4</v>
      </c>
      <c r="AN255" t="n">
        <v>0</v>
      </c>
      <c r="AO255" t="n">
        <v>0</v>
      </c>
      <c r="AP255" t="inlineStr">
        <is>
          <t>No</t>
        </is>
      </c>
      <c r="AQ255" t="inlineStr">
        <is>
          <t>Yes</t>
        </is>
      </c>
      <c r="AR255">
        <f>HYPERLINK("http://catalog.hathitrust.org/Record/004031909","HathiTrust Record")</f>
        <v/>
      </c>
      <c r="AS255">
        <f>HYPERLINK("https://creighton-primo.hosted.exlibrisgroup.com/primo-explore/search?tab=default_tab&amp;search_scope=EVERYTHING&amp;vid=01CRU&amp;lang=en_US&amp;offset=0&amp;query=any,contains,991002932229702656","Catalog Record")</f>
        <v/>
      </c>
      <c r="AT255">
        <f>HYPERLINK("http://www.worldcat.org/oclc/38992968","WorldCat Record")</f>
        <v/>
      </c>
      <c r="AU255" t="inlineStr">
        <is>
          <t>2070300174:eng</t>
        </is>
      </c>
      <c r="AV255" t="inlineStr">
        <is>
          <t>38992968</t>
        </is>
      </c>
      <c r="AW255" t="inlineStr">
        <is>
          <t>991002932229702656</t>
        </is>
      </c>
      <c r="AX255" t="inlineStr">
        <is>
          <t>991002932229702656</t>
        </is>
      </c>
      <c r="AY255" t="inlineStr">
        <is>
          <t>2264414510002656</t>
        </is>
      </c>
      <c r="AZ255" t="inlineStr">
        <is>
          <t>BOOK</t>
        </is>
      </c>
      <c r="BB255" t="inlineStr">
        <is>
          <t>9781555951542</t>
        </is>
      </c>
      <c r="BC255" t="inlineStr">
        <is>
          <t>32285003558631</t>
        </is>
      </c>
      <c r="BD255" t="inlineStr">
        <is>
          <t>893886921</t>
        </is>
      </c>
    </row>
    <row r="256">
      <c r="A256" t="inlineStr">
        <is>
          <t>No</t>
        </is>
      </c>
      <c r="B256" t="inlineStr">
        <is>
          <t>ND237.H667 G66 1986</t>
        </is>
      </c>
      <c r="C256" t="inlineStr">
        <is>
          <t>0                      ND 0237000H  667                G  66          1986</t>
        </is>
      </c>
      <c r="D256" t="inlineStr">
        <is>
          <t>Hans Hofmann / Cynthia Goodman.</t>
        </is>
      </c>
      <c r="F256" t="inlineStr">
        <is>
          <t>No</t>
        </is>
      </c>
      <c r="G256" t="inlineStr">
        <is>
          <t>1</t>
        </is>
      </c>
      <c r="H256" t="inlineStr">
        <is>
          <t>No</t>
        </is>
      </c>
      <c r="I256" t="inlineStr">
        <is>
          <t>No</t>
        </is>
      </c>
      <c r="J256" t="inlineStr">
        <is>
          <t>0</t>
        </is>
      </c>
      <c r="K256" t="inlineStr">
        <is>
          <t>Goodman, Cynthia.</t>
        </is>
      </c>
      <c r="L256" t="inlineStr">
        <is>
          <t>New York : Abbeville Press, c1986.</t>
        </is>
      </c>
      <c r="M256" t="inlineStr">
        <is>
          <t>1986</t>
        </is>
      </c>
      <c r="O256" t="inlineStr">
        <is>
          <t>eng</t>
        </is>
      </c>
      <c r="P256" t="inlineStr">
        <is>
          <t>nyu</t>
        </is>
      </c>
      <c r="Q256" t="inlineStr">
        <is>
          <t>Modern masters series, 0738-0429 ; v. 10</t>
        </is>
      </c>
      <c r="R256" t="inlineStr">
        <is>
          <t xml:space="preserve">ND </t>
        </is>
      </c>
      <c r="S256" t="n">
        <v>6</v>
      </c>
      <c r="T256" t="n">
        <v>6</v>
      </c>
      <c r="U256" t="inlineStr">
        <is>
          <t>2003-04-22</t>
        </is>
      </c>
      <c r="V256" t="inlineStr">
        <is>
          <t>2003-04-22</t>
        </is>
      </c>
      <c r="W256" t="inlineStr">
        <is>
          <t>1993-05-20</t>
        </is>
      </c>
      <c r="X256" t="inlineStr">
        <is>
          <t>1993-05-20</t>
        </is>
      </c>
      <c r="Y256" t="n">
        <v>916</v>
      </c>
      <c r="Z256" t="n">
        <v>767</v>
      </c>
      <c r="AA256" t="n">
        <v>780</v>
      </c>
      <c r="AB256" t="n">
        <v>8</v>
      </c>
      <c r="AC256" t="n">
        <v>9</v>
      </c>
      <c r="AD256" t="n">
        <v>24</v>
      </c>
      <c r="AE256" t="n">
        <v>24</v>
      </c>
      <c r="AF256" t="n">
        <v>11</v>
      </c>
      <c r="AG256" t="n">
        <v>11</v>
      </c>
      <c r="AH256" t="n">
        <v>5</v>
      </c>
      <c r="AI256" t="n">
        <v>5</v>
      </c>
      <c r="AJ256" t="n">
        <v>8</v>
      </c>
      <c r="AK256" t="n">
        <v>8</v>
      </c>
      <c r="AL256" t="n">
        <v>5</v>
      </c>
      <c r="AM256" t="n">
        <v>5</v>
      </c>
      <c r="AN256" t="n">
        <v>0</v>
      </c>
      <c r="AO256" t="n">
        <v>0</v>
      </c>
      <c r="AP256" t="inlineStr">
        <is>
          <t>No</t>
        </is>
      </c>
      <c r="AQ256" t="inlineStr">
        <is>
          <t>Yes</t>
        </is>
      </c>
      <c r="AR256">
        <f>HYPERLINK("http://catalog.hathitrust.org/Record/000631943","HathiTrust Record")</f>
        <v/>
      </c>
      <c r="AS256">
        <f>HYPERLINK("https://creighton-primo.hosted.exlibrisgroup.com/primo-explore/search?tab=default_tab&amp;search_scope=EVERYTHING&amp;vid=01CRU&amp;lang=en_US&amp;offset=0&amp;query=any,contains,991000726079702656","Catalog Record")</f>
        <v/>
      </c>
      <c r="AT256">
        <f>HYPERLINK("http://www.worldcat.org/oclc/12695612","WorldCat Record")</f>
        <v/>
      </c>
      <c r="AU256" t="inlineStr">
        <is>
          <t>2070144383:eng</t>
        </is>
      </c>
      <c r="AV256" t="inlineStr">
        <is>
          <t>12695612</t>
        </is>
      </c>
      <c r="AW256" t="inlineStr">
        <is>
          <t>991000726079702656</t>
        </is>
      </c>
      <c r="AX256" t="inlineStr">
        <is>
          <t>991000726079702656</t>
        </is>
      </c>
      <c r="AY256" t="inlineStr">
        <is>
          <t>2255080850002656</t>
        </is>
      </c>
      <c r="AZ256" t="inlineStr">
        <is>
          <t>BOOK</t>
        </is>
      </c>
      <c r="BB256" t="inlineStr">
        <is>
          <t>9780896596061</t>
        </is>
      </c>
      <c r="BC256" t="inlineStr">
        <is>
          <t>32285001691251</t>
        </is>
      </c>
      <c r="BD256" t="inlineStr">
        <is>
          <t>893871953</t>
        </is>
      </c>
    </row>
    <row r="257">
      <c r="A257" t="inlineStr">
        <is>
          <t>No</t>
        </is>
      </c>
      <c r="B257" t="inlineStr">
        <is>
          <t>ND237.H7 B4</t>
        </is>
      </c>
      <c r="C257" t="inlineStr">
        <is>
          <t>0                      ND 0237000H  7                  B  4</t>
        </is>
      </c>
      <c r="D257" t="inlineStr">
        <is>
          <t>Winslow Homer at Prout's Neck, by Philip C. Beam. With a foreword by Charles Lowell Homer.</t>
        </is>
      </c>
      <c r="F257" t="inlineStr">
        <is>
          <t>No</t>
        </is>
      </c>
      <c r="G257" t="inlineStr">
        <is>
          <t>1</t>
        </is>
      </c>
      <c r="H257" t="inlineStr">
        <is>
          <t>No</t>
        </is>
      </c>
      <c r="I257" t="inlineStr">
        <is>
          <t>No</t>
        </is>
      </c>
      <c r="J257" t="inlineStr">
        <is>
          <t>0</t>
        </is>
      </c>
      <c r="K257" t="inlineStr">
        <is>
          <t>Beam, Philip C.</t>
        </is>
      </c>
      <c r="L257" t="inlineStr">
        <is>
          <t>Boston, Little, Brown [1966]</t>
        </is>
      </c>
      <c r="M257" t="inlineStr">
        <is>
          <t>1966</t>
        </is>
      </c>
      <c r="N257" t="inlineStr">
        <is>
          <t>[1st ed.]</t>
        </is>
      </c>
      <c r="O257" t="inlineStr">
        <is>
          <t>eng</t>
        </is>
      </c>
      <c r="P257" t="inlineStr">
        <is>
          <t>mau</t>
        </is>
      </c>
      <c r="R257" t="inlineStr">
        <is>
          <t xml:space="preserve">ND </t>
        </is>
      </c>
      <c r="S257" t="n">
        <v>1</v>
      </c>
      <c r="T257" t="n">
        <v>1</v>
      </c>
      <c r="U257" t="inlineStr">
        <is>
          <t>2010-05-04</t>
        </is>
      </c>
      <c r="V257" t="inlineStr">
        <is>
          <t>2010-05-04</t>
        </is>
      </c>
      <c r="W257" t="inlineStr">
        <is>
          <t>1997-07-24</t>
        </is>
      </c>
      <c r="X257" t="inlineStr">
        <is>
          <t>1997-07-24</t>
        </is>
      </c>
      <c r="Y257" t="n">
        <v>1095</v>
      </c>
      <c r="Z257" t="n">
        <v>1060</v>
      </c>
      <c r="AA257" t="n">
        <v>1103</v>
      </c>
      <c r="AB257" t="n">
        <v>7</v>
      </c>
      <c r="AC257" t="n">
        <v>8</v>
      </c>
      <c r="AD257" t="n">
        <v>26</v>
      </c>
      <c r="AE257" t="n">
        <v>26</v>
      </c>
      <c r="AF257" t="n">
        <v>10</v>
      </c>
      <c r="AG257" t="n">
        <v>10</v>
      </c>
      <c r="AH257" t="n">
        <v>6</v>
      </c>
      <c r="AI257" t="n">
        <v>6</v>
      </c>
      <c r="AJ257" t="n">
        <v>12</v>
      </c>
      <c r="AK257" t="n">
        <v>12</v>
      </c>
      <c r="AL257" t="n">
        <v>6</v>
      </c>
      <c r="AM257" t="n">
        <v>6</v>
      </c>
      <c r="AN257" t="n">
        <v>0</v>
      </c>
      <c r="AO257" t="n">
        <v>0</v>
      </c>
      <c r="AP257" t="inlineStr">
        <is>
          <t>No</t>
        </is>
      </c>
      <c r="AQ257" t="inlineStr">
        <is>
          <t>Yes</t>
        </is>
      </c>
      <c r="AR257">
        <f>HYPERLINK("http://catalog.hathitrust.org/Record/000369155","HathiTrust Record")</f>
        <v/>
      </c>
      <c r="AS257">
        <f>HYPERLINK("https://creighton-primo.hosted.exlibrisgroup.com/primo-explore/search?tab=default_tab&amp;search_scope=EVERYTHING&amp;vid=01CRU&amp;lang=en_US&amp;offset=0&amp;query=any,contains,991003159329702656","Catalog Record")</f>
        <v/>
      </c>
      <c r="AT257">
        <f>HYPERLINK("http://www.worldcat.org/oclc/698353","WorldCat Record")</f>
        <v/>
      </c>
      <c r="AU257" t="inlineStr">
        <is>
          <t>1826116:eng</t>
        </is>
      </c>
      <c r="AV257" t="inlineStr">
        <is>
          <t>698353</t>
        </is>
      </c>
      <c r="AW257" t="inlineStr">
        <is>
          <t>991003159329702656</t>
        </is>
      </c>
      <c r="AX257" t="inlineStr">
        <is>
          <t>991003159329702656</t>
        </is>
      </c>
      <c r="AY257" t="inlineStr">
        <is>
          <t>2265116170002656</t>
        </is>
      </c>
      <c r="AZ257" t="inlineStr">
        <is>
          <t>BOOK</t>
        </is>
      </c>
      <c r="BC257" t="inlineStr">
        <is>
          <t>32285002966611</t>
        </is>
      </c>
      <c r="BD257" t="inlineStr">
        <is>
          <t>893440978</t>
        </is>
      </c>
    </row>
    <row r="258">
      <c r="A258" t="inlineStr">
        <is>
          <t>No</t>
        </is>
      </c>
      <c r="B258" t="inlineStr">
        <is>
          <t>ND237.H7 F4</t>
        </is>
      </c>
      <c r="C258" t="inlineStr">
        <is>
          <t>0                      ND 0237000H  7                  F  4</t>
        </is>
      </c>
      <c r="D258" t="inlineStr">
        <is>
          <t>The world of Winslow Homer, 1836-1910 / by James Thomas Flexner and the editors of Time-Life Books.</t>
        </is>
      </c>
      <c r="F258" t="inlineStr">
        <is>
          <t>No</t>
        </is>
      </c>
      <c r="G258" t="inlineStr">
        <is>
          <t>1</t>
        </is>
      </c>
      <c r="H258" t="inlineStr">
        <is>
          <t>No</t>
        </is>
      </c>
      <c r="I258" t="inlineStr">
        <is>
          <t>No</t>
        </is>
      </c>
      <c r="J258" t="inlineStr">
        <is>
          <t>0</t>
        </is>
      </c>
      <c r="K258" t="inlineStr">
        <is>
          <t>Flexner, James Thomas, 1908-2003.</t>
        </is>
      </c>
      <c r="L258" t="inlineStr">
        <is>
          <t>New York : Time, inc., [1966]</t>
        </is>
      </c>
      <c r="M258" t="inlineStr">
        <is>
          <t>1966</t>
        </is>
      </c>
      <c r="O258" t="inlineStr">
        <is>
          <t>eng</t>
        </is>
      </c>
      <c r="P258" t="inlineStr">
        <is>
          <t>nyu</t>
        </is>
      </c>
      <c r="Q258" t="inlineStr">
        <is>
          <t>Time-Life library of art</t>
        </is>
      </c>
      <c r="R258" t="inlineStr">
        <is>
          <t xml:space="preserve">ND </t>
        </is>
      </c>
      <c r="S258" t="n">
        <v>3</v>
      </c>
      <c r="T258" t="n">
        <v>3</v>
      </c>
      <c r="U258" t="inlineStr">
        <is>
          <t>2010-05-04</t>
        </is>
      </c>
      <c r="V258" t="inlineStr">
        <is>
          <t>2010-05-04</t>
        </is>
      </c>
      <c r="W258" t="inlineStr">
        <is>
          <t>1990-05-30</t>
        </is>
      </c>
      <c r="X258" t="inlineStr">
        <is>
          <t>1990-05-30</t>
        </is>
      </c>
      <c r="Y258" t="n">
        <v>2808</v>
      </c>
      <c r="Z258" t="n">
        <v>2665</v>
      </c>
      <c r="AA258" t="n">
        <v>2913</v>
      </c>
      <c r="AB258" t="n">
        <v>21</v>
      </c>
      <c r="AC258" t="n">
        <v>25</v>
      </c>
      <c r="AD258" t="n">
        <v>41</v>
      </c>
      <c r="AE258" t="n">
        <v>45</v>
      </c>
      <c r="AF258" t="n">
        <v>13</v>
      </c>
      <c r="AG258" t="n">
        <v>15</v>
      </c>
      <c r="AH258" t="n">
        <v>10</v>
      </c>
      <c r="AI258" t="n">
        <v>10</v>
      </c>
      <c r="AJ258" t="n">
        <v>19</v>
      </c>
      <c r="AK258" t="n">
        <v>20</v>
      </c>
      <c r="AL258" t="n">
        <v>9</v>
      </c>
      <c r="AM258" t="n">
        <v>10</v>
      </c>
      <c r="AN258" t="n">
        <v>0</v>
      </c>
      <c r="AO258" t="n">
        <v>0</v>
      </c>
      <c r="AP258" t="inlineStr">
        <is>
          <t>No</t>
        </is>
      </c>
      <c r="AQ258" t="inlineStr">
        <is>
          <t>Yes</t>
        </is>
      </c>
      <c r="AR258">
        <f>HYPERLINK("http://catalog.hathitrust.org/Record/008511583","HathiTrust Record")</f>
        <v/>
      </c>
      <c r="AS258">
        <f>HYPERLINK("https://creighton-primo.hosted.exlibrisgroup.com/primo-explore/search?tab=default_tab&amp;search_scope=EVERYTHING&amp;vid=01CRU&amp;lang=en_US&amp;offset=0&amp;query=any,contains,991003606539702656","Catalog Record")</f>
        <v/>
      </c>
      <c r="AT258">
        <f>HYPERLINK("http://www.worldcat.org/oclc/1186864","WorldCat Record")</f>
        <v/>
      </c>
      <c r="AU258" t="inlineStr">
        <is>
          <t>50863965:eng</t>
        </is>
      </c>
      <c r="AV258" t="inlineStr">
        <is>
          <t>1186864</t>
        </is>
      </c>
      <c r="AW258" t="inlineStr">
        <is>
          <t>991003606539702656</t>
        </is>
      </c>
      <c r="AX258" t="inlineStr">
        <is>
          <t>991003606539702656</t>
        </is>
      </c>
      <c r="AY258" t="inlineStr">
        <is>
          <t>2266822350002656</t>
        </is>
      </c>
      <c r="AZ258" t="inlineStr">
        <is>
          <t>BOOK</t>
        </is>
      </c>
      <c r="BC258" t="inlineStr">
        <is>
          <t>32285000159516</t>
        </is>
      </c>
      <c r="BD258" t="inlineStr">
        <is>
          <t>893324244</t>
        </is>
      </c>
    </row>
    <row r="259">
      <c r="A259" t="inlineStr">
        <is>
          <t>No</t>
        </is>
      </c>
      <c r="B259" t="inlineStr">
        <is>
          <t>ND237.H7 G3</t>
        </is>
      </c>
      <c r="C259" t="inlineStr">
        <is>
          <t>0                      ND 0237000H  7                  G  3</t>
        </is>
      </c>
      <c r="D259" t="inlineStr">
        <is>
          <t>Winslow Homer, American artist : his world and his work.</t>
        </is>
      </c>
      <c r="F259" t="inlineStr">
        <is>
          <t>No</t>
        </is>
      </c>
      <c r="G259" t="inlineStr">
        <is>
          <t>1</t>
        </is>
      </c>
      <c r="H259" t="inlineStr">
        <is>
          <t>No</t>
        </is>
      </c>
      <c r="I259" t="inlineStr">
        <is>
          <t>No</t>
        </is>
      </c>
      <c r="J259" t="inlineStr">
        <is>
          <t>0</t>
        </is>
      </c>
      <c r="K259" t="inlineStr">
        <is>
          <t>Gardner, Albert Ten Eyck.</t>
        </is>
      </c>
      <c r="L259" t="inlineStr">
        <is>
          <t>New York : C. N. Potter, [c1961]</t>
        </is>
      </c>
      <c r="M259" t="inlineStr">
        <is>
          <t>1961</t>
        </is>
      </c>
      <c r="N259" t="inlineStr">
        <is>
          <t>[1st ed.]</t>
        </is>
      </c>
      <c r="O259" t="inlineStr">
        <is>
          <t>eng</t>
        </is>
      </c>
      <c r="P259" t="inlineStr">
        <is>
          <t>nyu</t>
        </is>
      </c>
      <c r="R259" t="inlineStr">
        <is>
          <t xml:space="preserve">ND </t>
        </is>
      </c>
      <c r="S259" t="n">
        <v>4</v>
      </c>
      <c r="T259" t="n">
        <v>4</v>
      </c>
      <c r="U259" t="inlineStr">
        <is>
          <t>2010-05-04</t>
        </is>
      </c>
      <c r="V259" t="inlineStr">
        <is>
          <t>2010-05-04</t>
        </is>
      </c>
      <c r="W259" t="inlineStr">
        <is>
          <t>1990-05-30</t>
        </is>
      </c>
      <c r="X259" t="inlineStr">
        <is>
          <t>1990-05-30</t>
        </is>
      </c>
      <c r="Y259" t="n">
        <v>1553</v>
      </c>
      <c r="Z259" t="n">
        <v>1507</v>
      </c>
      <c r="AA259" t="n">
        <v>1891</v>
      </c>
      <c r="AB259" t="n">
        <v>9</v>
      </c>
      <c r="AC259" t="n">
        <v>13</v>
      </c>
      <c r="AD259" t="n">
        <v>38</v>
      </c>
      <c r="AE259" t="n">
        <v>48</v>
      </c>
      <c r="AF259" t="n">
        <v>16</v>
      </c>
      <c r="AG259" t="n">
        <v>23</v>
      </c>
      <c r="AH259" t="n">
        <v>6</v>
      </c>
      <c r="AI259" t="n">
        <v>8</v>
      </c>
      <c r="AJ259" t="n">
        <v>19</v>
      </c>
      <c r="AK259" t="n">
        <v>21</v>
      </c>
      <c r="AL259" t="n">
        <v>5</v>
      </c>
      <c r="AM259" t="n">
        <v>7</v>
      </c>
      <c r="AN259" t="n">
        <v>0</v>
      </c>
      <c r="AO259" t="n">
        <v>0</v>
      </c>
      <c r="AP259" t="inlineStr">
        <is>
          <t>No</t>
        </is>
      </c>
      <c r="AQ259" t="inlineStr">
        <is>
          <t>No</t>
        </is>
      </c>
      <c r="AR259">
        <f>HYPERLINK("http://catalog.hathitrust.org/Record/000369369","HathiTrust Record")</f>
        <v/>
      </c>
      <c r="AS259">
        <f>HYPERLINK("https://creighton-primo.hosted.exlibrisgroup.com/primo-explore/search?tab=default_tab&amp;search_scope=EVERYTHING&amp;vid=01CRU&amp;lang=en_US&amp;offset=0&amp;query=any,contains,991001046719702656","Catalog Record")</f>
        <v/>
      </c>
      <c r="AT259">
        <f>HYPERLINK("http://www.worldcat.org/oclc/176276","WorldCat Record")</f>
        <v/>
      </c>
      <c r="AU259" t="inlineStr">
        <is>
          <t>497938:eng</t>
        </is>
      </c>
      <c r="AV259" t="inlineStr">
        <is>
          <t>176276</t>
        </is>
      </c>
      <c r="AW259" t="inlineStr">
        <is>
          <t>991001046719702656</t>
        </is>
      </c>
      <c r="AX259" t="inlineStr">
        <is>
          <t>991001046719702656</t>
        </is>
      </c>
      <c r="AY259" t="inlineStr">
        <is>
          <t>2267733050002656</t>
        </is>
      </c>
      <c r="AZ259" t="inlineStr">
        <is>
          <t>BOOK</t>
        </is>
      </c>
      <c r="BC259" t="inlineStr">
        <is>
          <t>32285000159524</t>
        </is>
      </c>
      <c r="BD259" t="inlineStr">
        <is>
          <t>893327832</t>
        </is>
      </c>
    </row>
    <row r="260">
      <c r="A260" t="inlineStr">
        <is>
          <t>No</t>
        </is>
      </c>
      <c r="B260" t="inlineStr">
        <is>
          <t>ND237.H7 H46</t>
        </is>
      </c>
      <c r="C260" t="inlineStr">
        <is>
          <t>0                      ND 0237000H  7                  H  46</t>
        </is>
      </c>
      <c r="D260" t="inlineStr">
        <is>
          <t>The life and work of Winslow Homer / Gordon Hendricks.</t>
        </is>
      </c>
      <c r="F260" t="inlineStr">
        <is>
          <t>No</t>
        </is>
      </c>
      <c r="G260" t="inlineStr">
        <is>
          <t>1</t>
        </is>
      </c>
      <c r="H260" t="inlineStr">
        <is>
          <t>No</t>
        </is>
      </c>
      <c r="I260" t="inlineStr">
        <is>
          <t>No</t>
        </is>
      </c>
      <c r="J260" t="inlineStr">
        <is>
          <t>0</t>
        </is>
      </c>
      <c r="K260" t="inlineStr">
        <is>
          <t>Hendricks, Gordon.</t>
        </is>
      </c>
      <c r="L260" t="inlineStr">
        <is>
          <t>New York : H. N. Abrams, 1979.</t>
        </is>
      </c>
      <c r="M260" t="inlineStr">
        <is>
          <t>1979</t>
        </is>
      </c>
      <c r="O260" t="inlineStr">
        <is>
          <t>eng</t>
        </is>
      </c>
      <c r="P260" t="inlineStr">
        <is>
          <t>nyu</t>
        </is>
      </c>
      <c r="R260" t="inlineStr">
        <is>
          <t xml:space="preserve">ND </t>
        </is>
      </c>
      <c r="S260" t="n">
        <v>6</v>
      </c>
      <c r="T260" t="n">
        <v>6</v>
      </c>
      <c r="U260" t="inlineStr">
        <is>
          <t>2010-05-04</t>
        </is>
      </c>
      <c r="V260" t="inlineStr">
        <is>
          <t>2010-05-04</t>
        </is>
      </c>
      <c r="W260" t="inlineStr">
        <is>
          <t>1992-09-15</t>
        </is>
      </c>
      <c r="X260" t="inlineStr">
        <is>
          <t>1992-09-15</t>
        </is>
      </c>
      <c r="Y260" t="n">
        <v>1284</v>
      </c>
      <c r="Z260" t="n">
        <v>1166</v>
      </c>
      <c r="AA260" t="n">
        <v>1166</v>
      </c>
      <c r="AB260" t="n">
        <v>10</v>
      </c>
      <c r="AC260" t="n">
        <v>10</v>
      </c>
      <c r="AD260" t="n">
        <v>31</v>
      </c>
      <c r="AE260" t="n">
        <v>31</v>
      </c>
      <c r="AF260" t="n">
        <v>14</v>
      </c>
      <c r="AG260" t="n">
        <v>14</v>
      </c>
      <c r="AH260" t="n">
        <v>5</v>
      </c>
      <c r="AI260" t="n">
        <v>5</v>
      </c>
      <c r="AJ260" t="n">
        <v>13</v>
      </c>
      <c r="AK260" t="n">
        <v>13</v>
      </c>
      <c r="AL260" t="n">
        <v>7</v>
      </c>
      <c r="AM260" t="n">
        <v>7</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HYPERLINK("https://creighton-primo.hosted.exlibrisgroup.com/primo-explore/search?tab=default_tab&amp;search_scope=EVERYTHING&amp;vid=01CRU&amp;lang=en_US&amp;offset=0&amp;query=any,contains,991004684899702656","Catalog Record")</f>
        <v/>
      </c>
      <c r="AT260">
        <f>HYPERLINK("http://www.worldcat.org/oclc/4591338","WorldCat Record")</f>
        <v/>
      </c>
      <c r="AU260" t="inlineStr">
        <is>
          <t>14919012:eng</t>
        </is>
      </c>
      <c r="AV260" t="inlineStr">
        <is>
          <t>4591338</t>
        </is>
      </c>
      <c r="AW260" t="inlineStr">
        <is>
          <t>991004684899702656</t>
        </is>
      </c>
      <c r="AX260" t="inlineStr">
        <is>
          <t>991004684899702656</t>
        </is>
      </c>
      <c r="AY260" t="inlineStr">
        <is>
          <t>2266095820002656</t>
        </is>
      </c>
      <c r="AZ260" t="inlineStr">
        <is>
          <t>BOOK</t>
        </is>
      </c>
      <c r="BB260" t="inlineStr">
        <is>
          <t>9780810910638</t>
        </is>
      </c>
      <c r="BC260" t="inlineStr">
        <is>
          <t>32285001300705</t>
        </is>
      </c>
      <c r="BD260" t="inlineStr">
        <is>
          <t>893507116</t>
        </is>
      </c>
    </row>
    <row r="261">
      <c r="A261" t="inlineStr">
        <is>
          <t>No</t>
        </is>
      </c>
      <c r="B261" t="inlineStr">
        <is>
          <t>ND237.H75 L48 1984</t>
        </is>
      </c>
      <c r="C261" t="inlineStr">
        <is>
          <t>0                      ND 0237000H  75                 L  48          1984</t>
        </is>
      </c>
      <c r="D261" t="inlineStr">
        <is>
          <t>Edward Hopper / by Gail Levin.</t>
        </is>
      </c>
      <c r="F261" t="inlineStr">
        <is>
          <t>No</t>
        </is>
      </c>
      <c r="G261" t="inlineStr">
        <is>
          <t>1</t>
        </is>
      </c>
      <c r="H261" t="inlineStr">
        <is>
          <t>No</t>
        </is>
      </c>
      <c r="I261" t="inlineStr">
        <is>
          <t>No</t>
        </is>
      </c>
      <c r="J261" t="inlineStr">
        <is>
          <t>0</t>
        </is>
      </c>
      <c r="K261" t="inlineStr">
        <is>
          <t>Levin, Gail, 1948-</t>
        </is>
      </c>
      <c r="L261" t="inlineStr">
        <is>
          <t>New York : Crown, c1984.</t>
        </is>
      </c>
      <c r="M261" t="inlineStr">
        <is>
          <t>1984</t>
        </is>
      </c>
      <c r="O261" t="inlineStr">
        <is>
          <t>eng</t>
        </is>
      </c>
      <c r="P261" t="inlineStr">
        <is>
          <t>nyu</t>
        </is>
      </c>
      <c r="R261" t="inlineStr">
        <is>
          <t xml:space="preserve">ND </t>
        </is>
      </c>
      <c r="S261" t="n">
        <v>10</v>
      </c>
      <c r="T261" t="n">
        <v>10</v>
      </c>
      <c r="U261" t="inlineStr">
        <is>
          <t>2003-04-28</t>
        </is>
      </c>
      <c r="V261" t="inlineStr">
        <is>
          <t>2003-04-28</t>
        </is>
      </c>
      <c r="W261" t="inlineStr">
        <is>
          <t>1990-04-03</t>
        </is>
      </c>
      <c r="X261" t="inlineStr">
        <is>
          <t>1990-04-03</t>
        </is>
      </c>
      <c r="Y261" t="n">
        <v>660</v>
      </c>
      <c r="Z261" t="n">
        <v>599</v>
      </c>
      <c r="AA261" t="n">
        <v>602</v>
      </c>
      <c r="AB261" t="n">
        <v>5</v>
      </c>
      <c r="AC261" t="n">
        <v>5</v>
      </c>
      <c r="AD261" t="n">
        <v>13</v>
      </c>
      <c r="AE261" t="n">
        <v>13</v>
      </c>
      <c r="AF261" t="n">
        <v>7</v>
      </c>
      <c r="AG261" t="n">
        <v>7</v>
      </c>
      <c r="AH261" t="n">
        <v>2</v>
      </c>
      <c r="AI261" t="n">
        <v>2</v>
      </c>
      <c r="AJ261" t="n">
        <v>6</v>
      </c>
      <c r="AK261" t="n">
        <v>6</v>
      </c>
      <c r="AL261" t="n">
        <v>2</v>
      </c>
      <c r="AM261" t="n">
        <v>2</v>
      </c>
      <c r="AN261" t="n">
        <v>0</v>
      </c>
      <c r="AO261" t="n">
        <v>0</v>
      </c>
      <c r="AP261" t="inlineStr">
        <is>
          <t>No</t>
        </is>
      </c>
      <c r="AQ261" t="inlineStr">
        <is>
          <t>Yes</t>
        </is>
      </c>
      <c r="AR261">
        <f>HYPERLINK("http://catalog.hathitrust.org/Record/000412706","HathiTrust Record")</f>
        <v/>
      </c>
      <c r="AS261">
        <f>HYPERLINK("https://creighton-primo.hosted.exlibrisgroup.com/primo-explore/search?tab=default_tab&amp;search_scope=EVERYTHING&amp;vid=01CRU&amp;lang=en_US&amp;offset=0&amp;query=any,contains,991000424359702656","Catalog Record")</f>
        <v/>
      </c>
      <c r="AT261">
        <f>HYPERLINK("http://www.worldcat.org/oclc/10752396","WorldCat Record")</f>
        <v/>
      </c>
      <c r="AU261" t="inlineStr">
        <is>
          <t>2863402812:eng</t>
        </is>
      </c>
      <c r="AV261" t="inlineStr">
        <is>
          <t>10752396</t>
        </is>
      </c>
      <c r="AW261" t="inlineStr">
        <is>
          <t>991000424359702656</t>
        </is>
      </c>
      <c r="AX261" t="inlineStr">
        <is>
          <t>991000424359702656</t>
        </is>
      </c>
      <c r="AY261" t="inlineStr">
        <is>
          <t>2265161930002656</t>
        </is>
      </c>
      <c r="AZ261" t="inlineStr">
        <is>
          <t>BOOK</t>
        </is>
      </c>
      <c r="BB261" t="inlineStr">
        <is>
          <t>9780517554081</t>
        </is>
      </c>
      <c r="BC261" t="inlineStr">
        <is>
          <t>32285000108505</t>
        </is>
      </c>
      <c r="BD261" t="inlineStr">
        <is>
          <t>893515265</t>
        </is>
      </c>
    </row>
    <row r="262">
      <c r="A262" t="inlineStr">
        <is>
          <t>No</t>
        </is>
      </c>
      <c r="B262" t="inlineStr">
        <is>
          <t>ND237.H83 B6</t>
        </is>
      </c>
      <c r="C262" t="inlineStr">
        <is>
          <t>0                      ND 0237000H  83                 B  6</t>
        </is>
      </c>
      <c r="D262" t="inlineStr">
        <is>
          <t>The painter lady : Grace Carpenter Hudson / Searles R. Boynton. --</t>
        </is>
      </c>
      <c r="F262" t="inlineStr">
        <is>
          <t>No</t>
        </is>
      </c>
      <c r="G262" t="inlineStr">
        <is>
          <t>1</t>
        </is>
      </c>
      <c r="H262" t="inlineStr">
        <is>
          <t>No</t>
        </is>
      </c>
      <c r="I262" t="inlineStr">
        <is>
          <t>No</t>
        </is>
      </c>
      <c r="J262" t="inlineStr">
        <is>
          <t>0</t>
        </is>
      </c>
      <c r="K262" t="inlineStr">
        <is>
          <t>Boynton, Searles R., 1926-</t>
        </is>
      </c>
      <c r="L262" t="inlineStr">
        <is>
          <t>Eureka, Calif. : Interface California Corporation, 1978.</t>
        </is>
      </c>
      <c r="M262" t="inlineStr">
        <is>
          <t>1978</t>
        </is>
      </c>
      <c r="O262" t="inlineStr">
        <is>
          <t>eng</t>
        </is>
      </c>
      <c r="P262" t="inlineStr">
        <is>
          <t>cau</t>
        </is>
      </c>
      <c r="R262" t="inlineStr">
        <is>
          <t xml:space="preserve">ND </t>
        </is>
      </c>
      <c r="S262" t="n">
        <v>3</v>
      </c>
      <c r="T262" t="n">
        <v>3</v>
      </c>
      <c r="U262" t="inlineStr">
        <is>
          <t>1997-06-11</t>
        </is>
      </c>
      <c r="V262" t="inlineStr">
        <is>
          <t>1997-06-11</t>
        </is>
      </c>
      <c r="W262" t="inlineStr">
        <is>
          <t>1993-05-20</t>
        </is>
      </c>
      <c r="X262" t="inlineStr">
        <is>
          <t>1993-05-20</t>
        </is>
      </c>
      <c r="Y262" t="n">
        <v>200</v>
      </c>
      <c r="Z262" t="n">
        <v>198</v>
      </c>
      <c r="AA262" t="n">
        <v>209</v>
      </c>
      <c r="AB262" t="n">
        <v>2</v>
      </c>
      <c r="AC262" t="n">
        <v>2</v>
      </c>
      <c r="AD262" t="n">
        <v>2</v>
      </c>
      <c r="AE262" t="n">
        <v>3</v>
      </c>
      <c r="AF262" t="n">
        <v>0</v>
      </c>
      <c r="AG262" t="n">
        <v>1</v>
      </c>
      <c r="AH262" t="n">
        <v>0</v>
      </c>
      <c r="AI262" t="n">
        <v>0</v>
      </c>
      <c r="AJ262" t="n">
        <v>1</v>
      </c>
      <c r="AK262" t="n">
        <v>1</v>
      </c>
      <c r="AL262" t="n">
        <v>1</v>
      </c>
      <c r="AM262" t="n">
        <v>1</v>
      </c>
      <c r="AN262" t="n">
        <v>0</v>
      </c>
      <c r="AO262" t="n">
        <v>0</v>
      </c>
      <c r="AP262" t="inlineStr">
        <is>
          <t>No</t>
        </is>
      </c>
      <c r="AQ262" t="inlineStr">
        <is>
          <t>Yes</t>
        </is>
      </c>
      <c r="AR262">
        <f>HYPERLINK("http://catalog.hathitrust.org/Record/008511560","HathiTrust Record")</f>
        <v/>
      </c>
      <c r="AS262">
        <f>HYPERLINK("https://creighton-primo.hosted.exlibrisgroup.com/primo-explore/search?tab=default_tab&amp;search_scope=EVERYTHING&amp;vid=01CRU&amp;lang=en_US&amp;offset=0&amp;query=any,contains,991004462529702656","Catalog Record")</f>
        <v/>
      </c>
      <c r="AT262">
        <f>HYPERLINK("http://www.worldcat.org/oclc/3550380","WorldCat Record")</f>
        <v/>
      </c>
      <c r="AU262" t="inlineStr">
        <is>
          <t>10372332:eng</t>
        </is>
      </c>
      <c r="AV262" t="inlineStr">
        <is>
          <t>3550380</t>
        </is>
      </c>
      <c r="AW262" t="inlineStr">
        <is>
          <t>991004462529702656</t>
        </is>
      </c>
      <c r="AX262" t="inlineStr">
        <is>
          <t>991004462529702656</t>
        </is>
      </c>
      <c r="AY262" t="inlineStr">
        <is>
          <t>2266613500002656</t>
        </is>
      </c>
      <c r="AZ262" t="inlineStr">
        <is>
          <t>BOOK</t>
        </is>
      </c>
      <c r="BB262" t="inlineStr">
        <is>
          <t>9780915580040</t>
        </is>
      </c>
      <c r="BC262" t="inlineStr">
        <is>
          <t>32285001691285</t>
        </is>
      </c>
      <c r="BD262" t="inlineStr">
        <is>
          <t>893423832</t>
        </is>
      </c>
    </row>
    <row r="263">
      <c r="A263" t="inlineStr">
        <is>
          <t>No</t>
        </is>
      </c>
      <c r="B263" t="inlineStr">
        <is>
          <t>ND237.I5 A4 2003</t>
        </is>
      </c>
      <c r="C263" t="inlineStr">
        <is>
          <t>0                      ND 0237000I  5                  A  4           2003</t>
        </is>
      </c>
      <c r="D263" t="inlineStr">
        <is>
          <t>George Inness and the visionary landscape / Adrienne Baxter Bell.</t>
        </is>
      </c>
      <c r="F263" t="inlineStr">
        <is>
          <t>No</t>
        </is>
      </c>
      <c r="G263" t="inlineStr">
        <is>
          <t>1</t>
        </is>
      </c>
      <c r="H263" t="inlineStr">
        <is>
          <t>No</t>
        </is>
      </c>
      <c r="I263" t="inlineStr">
        <is>
          <t>No</t>
        </is>
      </c>
      <c r="J263" t="inlineStr">
        <is>
          <t>0</t>
        </is>
      </c>
      <c r="K263" t="inlineStr">
        <is>
          <t>Bell, Adrienne Baxter.</t>
        </is>
      </c>
      <c r="L263" t="inlineStr">
        <is>
          <t>New York : National Academy of Design : G. Braziller, 2003.</t>
        </is>
      </c>
      <c r="M263" t="inlineStr">
        <is>
          <t>2003</t>
        </is>
      </c>
      <c r="N263" t="inlineStr">
        <is>
          <t>1st ed.</t>
        </is>
      </c>
      <c r="O263" t="inlineStr">
        <is>
          <t>eng</t>
        </is>
      </c>
      <c r="P263" t="inlineStr">
        <is>
          <t>nyu</t>
        </is>
      </c>
      <c r="R263" t="inlineStr">
        <is>
          <t xml:space="preserve">ND </t>
        </is>
      </c>
      <c r="S263" t="n">
        <v>1</v>
      </c>
      <c r="T263" t="n">
        <v>1</v>
      </c>
      <c r="U263" t="inlineStr">
        <is>
          <t>2005-05-24</t>
        </is>
      </c>
      <c r="V263" t="inlineStr">
        <is>
          <t>2005-05-24</t>
        </is>
      </c>
      <c r="W263" t="inlineStr">
        <is>
          <t>2005-05-24</t>
        </is>
      </c>
      <c r="X263" t="inlineStr">
        <is>
          <t>2005-05-24</t>
        </is>
      </c>
      <c r="Y263" t="n">
        <v>783</v>
      </c>
      <c r="Z263" t="n">
        <v>743</v>
      </c>
      <c r="AA263" t="n">
        <v>750</v>
      </c>
      <c r="AB263" t="n">
        <v>4</v>
      </c>
      <c r="AC263" t="n">
        <v>4</v>
      </c>
      <c r="AD263" t="n">
        <v>28</v>
      </c>
      <c r="AE263" t="n">
        <v>28</v>
      </c>
      <c r="AF263" t="n">
        <v>12</v>
      </c>
      <c r="AG263" t="n">
        <v>12</v>
      </c>
      <c r="AH263" t="n">
        <v>6</v>
      </c>
      <c r="AI263" t="n">
        <v>6</v>
      </c>
      <c r="AJ263" t="n">
        <v>15</v>
      </c>
      <c r="AK263" t="n">
        <v>15</v>
      </c>
      <c r="AL263" t="n">
        <v>3</v>
      </c>
      <c r="AM263" t="n">
        <v>3</v>
      </c>
      <c r="AN263" t="n">
        <v>0</v>
      </c>
      <c r="AO263" t="n">
        <v>0</v>
      </c>
      <c r="AP263" t="inlineStr">
        <is>
          <t>No</t>
        </is>
      </c>
      <c r="AQ263" t="inlineStr">
        <is>
          <t>Yes</t>
        </is>
      </c>
      <c r="AR263">
        <f>HYPERLINK("http://catalog.hathitrust.org/Record/004350141","HathiTrust Record")</f>
        <v/>
      </c>
      <c r="AS263">
        <f>HYPERLINK("https://creighton-primo.hosted.exlibrisgroup.com/primo-explore/search?tab=default_tab&amp;search_scope=EVERYTHING&amp;vid=01CRU&amp;lang=en_US&amp;offset=0&amp;query=any,contains,991004539599702656","Catalog Record")</f>
        <v/>
      </c>
      <c r="AT263">
        <f>HYPERLINK("http://www.worldcat.org/oclc/52375154","WorldCat Record")</f>
        <v/>
      </c>
      <c r="AU263" t="inlineStr">
        <is>
          <t>786438:eng</t>
        </is>
      </c>
      <c r="AV263" t="inlineStr">
        <is>
          <t>52375154</t>
        </is>
      </c>
      <c r="AW263" t="inlineStr">
        <is>
          <t>991004539599702656</t>
        </is>
      </c>
      <c r="AX263" t="inlineStr">
        <is>
          <t>991004539599702656</t>
        </is>
      </c>
      <c r="AY263" t="inlineStr">
        <is>
          <t>2270029880002656</t>
        </is>
      </c>
      <c r="AZ263" t="inlineStr">
        <is>
          <t>BOOK</t>
        </is>
      </c>
      <c r="BB263" t="inlineStr">
        <is>
          <t>9780807615256</t>
        </is>
      </c>
      <c r="BC263" t="inlineStr">
        <is>
          <t>32285005039770</t>
        </is>
      </c>
      <c r="BD263" t="inlineStr">
        <is>
          <t>893259835</t>
        </is>
      </c>
    </row>
    <row r="264">
      <c r="A264" t="inlineStr">
        <is>
          <t>No</t>
        </is>
      </c>
      <c r="B264" t="inlineStr">
        <is>
          <t>ND237.J76 B46 1994</t>
        </is>
      </c>
      <c r="C264" t="inlineStr">
        <is>
          <t>0                      ND 0237000J  76                 B  46          1994</t>
        </is>
      </c>
      <c r="D264" t="inlineStr">
        <is>
          <t>The life and art of Lois Mailou Jones / Tritobia Hayes Benjamin.</t>
        </is>
      </c>
      <c r="F264" t="inlineStr">
        <is>
          <t>No</t>
        </is>
      </c>
      <c r="G264" t="inlineStr">
        <is>
          <t>1</t>
        </is>
      </c>
      <c r="H264" t="inlineStr">
        <is>
          <t>No</t>
        </is>
      </c>
      <c r="I264" t="inlineStr">
        <is>
          <t>No</t>
        </is>
      </c>
      <c r="J264" t="inlineStr">
        <is>
          <t>0</t>
        </is>
      </c>
      <c r="K264" t="inlineStr">
        <is>
          <t>Benjamin, Tritobia H.</t>
        </is>
      </c>
      <c r="L264" t="inlineStr">
        <is>
          <t>San Francisco : Pomegranate Artbooks, c1994.</t>
        </is>
      </c>
      <c r="M264" t="inlineStr">
        <is>
          <t>1994</t>
        </is>
      </c>
      <c r="O264" t="inlineStr">
        <is>
          <t>eng</t>
        </is>
      </c>
      <c r="P264" t="inlineStr">
        <is>
          <t>cau</t>
        </is>
      </c>
      <c r="R264" t="inlineStr">
        <is>
          <t xml:space="preserve">ND </t>
        </is>
      </c>
      <c r="S264" t="n">
        <v>3</v>
      </c>
      <c r="T264" t="n">
        <v>3</v>
      </c>
      <c r="U264" t="inlineStr">
        <is>
          <t>2005-09-03</t>
        </is>
      </c>
      <c r="V264" t="inlineStr">
        <is>
          <t>2005-09-03</t>
        </is>
      </c>
      <c r="W264" t="inlineStr">
        <is>
          <t>1995-05-31</t>
        </is>
      </c>
      <c r="X264" t="inlineStr">
        <is>
          <t>1995-05-31</t>
        </is>
      </c>
      <c r="Y264" t="n">
        <v>441</v>
      </c>
      <c r="Z264" t="n">
        <v>427</v>
      </c>
      <c r="AA264" t="n">
        <v>434</v>
      </c>
      <c r="AB264" t="n">
        <v>4</v>
      </c>
      <c r="AC264" t="n">
        <v>4</v>
      </c>
      <c r="AD264" t="n">
        <v>9</v>
      </c>
      <c r="AE264" t="n">
        <v>9</v>
      </c>
      <c r="AF264" t="n">
        <v>0</v>
      </c>
      <c r="AG264" t="n">
        <v>0</v>
      </c>
      <c r="AH264" t="n">
        <v>4</v>
      </c>
      <c r="AI264" t="n">
        <v>4</v>
      </c>
      <c r="AJ264" t="n">
        <v>3</v>
      </c>
      <c r="AK264" t="n">
        <v>3</v>
      </c>
      <c r="AL264" t="n">
        <v>2</v>
      </c>
      <c r="AM264" t="n">
        <v>2</v>
      </c>
      <c r="AN264" t="n">
        <v>0</v>
      </c>
      <c r="AO264" t="n">
        <v>0</v>
      </c>
      <c r="AP264" t="inlineStr">
        <is>
          <t>No</t>
        </is>
      </c>
      <c r="AQ264" t="inlineStr">
        <is>
          <t>Yes</t>
        </is>
      </c>
      <c r="AR264">
        <f>HYPERLINK("http://catalog.hathitrust.org/Record/002985312","HathiTrust Record")</f>
        <v/>
      </c>
      <c r="AS264">
        <f>HYPERLINK("https://creighton-primo.hosted.exlibrisgroup.com/primo-explore/search?tab=default_tab&amp;search_scope=EVERYTHING&amp;vid=01CRU&amp;lang=en_US&amp;offset=0&amp;query=any,contains,991002346379702656","Catalog Record")</f>
        <v/>
      </c>
      <c r="AT264">
        <f>HYPERLINK("http://www.worldcat.org/oclc/30545360","WorldCat Record")</f>
        <v/>
      </c>
      <c r="AU264" t="inlineStr">
        <is>
          <t>32798751:eng</t>
        </is>
      </c>
      <c r="AV264" t="inlineStr">
        <is>
          <t>30545360</t>
        </is>
      </c>
      <c r="AW264" t="inlineStr">
        <is>
          <t>991002346379702656</t>
        </is>
      </c>
      <c r="AX264" t="inlineStr">
        <is>
          <t>991002346379702656</t>
        </is>
      </c>
      <c r="AY264" t="inlineStr">
        <is>
          <t>2258259510002656</t>
        </is>
      </c>
      <c r="AZ264" t="inlineStr">
        <is>
          <t>BOOK</t>
        </is>
      </c>
      <c r="BB264" t="inlineStr">
        <is>
          <t>9780876541043</t>
        </is>
      </c>
      <c r="BC264" t="inlineStr">
        <is>
          <t>32285002047685</t>
        </is>
      </c>
      <c r="BD264" t="inlineStr">
        <is>
          <t>893716332</t>
        </is>
      </c>
    </row>
    <row r="265">
      <c r="A265" t="inlineStr">
        <is>
          <t>No</t>
        </is>
      </c>
      <c r="B265" t="inlineStr">
        <is>
          <t>ND237.K444 G66</t>
        </is>
      </c>
      <c r="C265" t="inlineStr">
        <is>
          <t>0                      ND 0237000K  444                G  66</t>
        </is>
      </c>
      <c r="D265" t="inlineStr">
        <is>
          <t>Ellsworth Kelly [by] E. C. Goossen.</t>
        </is>
      </c>
      <c r="F265" t="inlineStr">
        <is>
          <t>No</t>
        </is>
      </c>
      <c r="G265" t="inlineStr">
        <is>
          <t>1</t>
        </is>
      </c>
      <c r="H265" t="inlineStr">
        <is>
          <t>No</t>
        </is>
      </c>
      <c r="I265" t="inlineStr">
        <is>
          <t>No</t>
        </is>
      </c>
      <c r="J265" t="inlineStr">
        <is>
          <t>0</t>
        </is>
      </c>
      <c r="K265" t="inlineStr">
        <is>
          <t>Goossen, E. C.</t>
        </is>
      </c>
      <c r="L265" t="inlineStr">
        <is>
          <t>New York, Museum of Modern Art; distributed by New York Graphic Society, Greenwich, Conn. [1973]</t>
        </is>
      </c>
      <c r="M265" t="inlineStr">
        <is>
          <t>1973</t>
        </is>
      </c>
      <c r="O265" t="inlineStr">
        <is>
          <t>eng</t>
        </is>
      </c>
      <c r="P265" t="inlineStr">
        <is>
          <t>nyu</t>
        </is>
      </c>
      <c r="R265" t="inlineStr">
        <is>
          <t xml:space="preserve">ND </t>
        </is>
      </c>
      <c r="S265" t="n">
        <v>3</v>
      </c>
      <c r="T265" t="n">
        <v>3</v>
      </c>
      <c r="U265" t="inlineStr">
        <is>
          <t>2008-01-30</t>
        </is>
      </c>
      <c r="V265" t="inlineStr">
        <is>
          <t>2008-01-30</t>
        </is>
      </c>
      <c r="W265" t="inlineStr">
        <is>
          <t>1997-07-24</t>
        </is>
      </c>
      <c r="X265" t="inlineStr">
        <is>
          <t>1997-07-24</t>
        </is>
      </c>
      <c r="Y265" t="n">
        <v>787</v>
      </c>
      <c r="Z265" t="n">
        <v>689</v>
      </c>
      <c r="AA265" t="n">
        <v>720</v>
      </c>
      <c r="AB265" t="n">
        <v>7</v>
      </c>
      <c r="AC265" t="n">
        <v>7</v>
      </c>
      <c r="AD265" t="n">
        <v>27</v>
      </c>
      <c r="AE265" t="n">
        <v>27</v>
      </c>
      <c r="AF265" t="n">
        <v>9</v>
      </c>
      <c r="AG265" t="n">
        <v>9</v>
      </c>
      <c r="AH265" t="n">
        <v>5</v>
      </c>
      <c r="AI265" t="n">
        <v>5</v>
      </c>
      <c r="AJ265" t="n">
        <v>11</v>
      </c>
      <c r="AK265" t="n">
        <v>11</v>
      </c>
      <c r="AL265" t="n">
        <v>5</v>
      </c>
      <c r="AM265" t="n">
        <v>5</v>
      </c>
      <c r="AN265" t="n">
        <v>0</v>
      </c>
      <c r="AO265" t="n">
        <v>0</v>
      </c>
      <c r="AP265" t="inlineStr">
        <is>
          <t>No</t>
        </is>
      </c>
      <c r="AQ265" t="inlineStr">
        <is>
          <t>Yes</t>
        </is>
      </c>
      <c r="AR265">
        <f>HYPERLINK("http://catalog.hathitrust.org/Record/000369688","HathiTrust Record")</f>
        <v/>
      </c>
      <c r="AS265">
        <f>HYPERLINK("https://creighton-primo.hosted.exlibrisgroup.com/primo-explore/search?tab=default_tab&amp;search_scope=EVERYTHING&amp;vid=01CRU&amp;lang=en_US&amp;offset=0&amp;query=any,contains,991003219729702656","Catalog Record")</f>
        <v/>
      </c>
      <c r="AT265">
        <f>HYPERLINK("http://www.worldcat.org/oclc/745753","WorldCat Record")</f>
        <v/>
      </c>
      <c r="AU265" t="inlineStr">
        <is>
          <t>4915173100:eng</t>
        </is>
      </c>
      <c r="AV265" t="inlineStr">
        <is>
          <t>745753</t>
        </is>
      </c>
      <c r="AW265" t="inlineStr">
        <is>
          <t>991003219729702656</t>
        </is>
      </c>
      <c r="AX265" t="inlineStr">
        <is>
          <t>991003219729702656</t>
        </is>
      </c>
      <c r="AY265" t="inlineStr">
        <is>
          <t>2268838870002656</t>
        </is>
      </c>
      <c r="AZ265" t="inlineStr">
        <is>
          <t>BOOK</t>
        </is>
      </c>
      <c r="BB265" t="inlineStr">
        <is>
          <t>9780870704147</t>
        </is>
      </c>
      <c r="BC265" t="inlineStr">
        <is>
          <t>32285002966652</t>
        </is>
      </c>
      <c r="BD265" t="inlineStr">
        <is>
          <t>893330081</t>
        </is>
      </c>
    </row>
    <row r="266">
      <c r="A266" t="inlineStr">
        <is>
          <t>No</t>
        </is>
      </c>
      <c r="B266" t="inlineStr">
        <is>
          <t>ND237.K53 V56 1976</t>
        </is>
      </c>
      <c r="C266" t="inlineStr">
        <is>
          <t>0                      ND 0237000K  53                 V  56          1976</t>
        </is>
      </c>
      <c r="D266" t="inlineStr">
        <is>
          <t>The Indian legacy of Charles Bird King / Herman J. Viola.</t>
        </is>
      </c>
      <c r="F266" t="inlineStr">
        <is>
          <t>No</t>
        </is>
      </c>
      <c r="G266" t="inlineStr">
        <is>
          <t>1</t>
        </is>
      </c>
      <c r="H266" t="inlineStr">
        <is>
          <t>No</t>
        </is>
      </c>
      <c r="I266" t="inlineStr">
        <is>
          <t>No</t>
        </is>
      </c>
      <c r="J266" t="inlineStr">
        <is>
          <t>0</t>
        </is>
      </c>
      <c r="K266" t="inlineStr">
        <is>
          <t>Viola, Herman J.</t>
        </is>
      </c>
      <c r="L266" t="inlineStr">
        <is>
          <t>Washington : Smithsonian Institution Press, c1976.</t>
        </is>
      </c>
      <c r="M266" t="inlineStr">
        <is>
          <t>1976</t>
        </is>
      </c>
      <c r="N266" t="inlineStr">
        <is>
          <t>1st ed.</t>
        </is>
      </c>
      <c r="O266" t="inlineStr">
        <is>
          <t>eng</t>
        </is>
      </c>
      <c r="P266" t="inlineStr">
        <is>
          <t>dcu</t>
        </is>
      </c>
      <c r="Q266" t="inlineStr">
        <is>
          <t>Smithsonian Institution Press publication ; no. 6256</t>
        </is>
      </c>
      <c r="R266" t="inlineStr">
        <is>
          <t xml:space="preserve">ND </t>
        </is>
      </c>
      <c r="S266" t="n">
        <v>1</v>
      </c>
      <c r="T266" t="n">
        <v>1</v>
      </c>
      <c r="U266" t="inlineStr">
        <is>
          <t>2003-06-04</t>
        </is>
      </c>
      <c r="V266" t="inlineStr">
        <is>
          <t>2003-06-04</t>
        </is>
      </c>
      <c r="W266" t="inlineStr">
        <is>
          <t>2003-06-04</t>
        </is>
      </c>
      <c r="X266" t="inlineStr">
        <is>
          <t>2003-06-04</t>
        </is>
      </c>
      <c r="Y266" t="n">
        <v>807</v>
      </c>
      <c r="Z266" t="n">
        <v>755</v>
      </c>
      <c r="AA266" t="n">
        <v>799</v>
      </c>
      <c r="AB266" t="n">
        <v>7</v>
      </c>
      <c r="AC266" t="n">
        <v>7</v>
      </c>
      <c r="AD266" t="n">
        <v>23</v>
      </c>
      <c r="AE266" t="n">
        <v>23</v>
      </c>
      <c r="AF266" t="n">
        <v>7</v>
      </c>
      <c r="AG266" t="n">
        <v>7</v>
      </c>
      <c r="AH266" t="n">
        <v>5</v>
      </c>
      <c r="AI266" t="n">
        <v>5</v>
      </c>
      <c r="AJ266" t="n">
        <v>13</v>
      </c>
      <c r="AK266" t="n">
        <v>13</v>
      </c>
      <c r="AL266" t="n">
        <v>3</v>
      </c>
      <c r="AM266" t="n">
        <v>3</v>
      </c>
      <c r="AN266" t="n">
        <v>0</v>
      </c>
      <c r="AO266" t="n">
        <v>0</v>
      </c>
      <c r="AP266" t="inlineStr">
        <is>
          <t>No</t>
        </is>
      </c>
      <c r="AQ266" t="inlineStr">
        <is>
          <t>Yes</t>
        </is>
      </c>
      <c r="AR266">
        <f>HYPERLINK("http://catalog.hathitrust.org/Record/000706569","HathiTrust Record")</f>
        <v/>
      </c>
      <c r="AS266">
        <f>HYPERLINK("https://creighton-primo.hosted.exlibrisgroup.com/primo-explore/search?tab=default_tab&amp;search_scope=EVERYTHING&amp;vid=01CRU&amp;lang=en_US&amp;offset=0&amp;query=any,contains,991004070389702656","Catalog Record")</f>
        <v/>
      </c>
      <c r="AT266">
        <f>HYPERLINK("http://www.worldcat.org/oclc/2224980","WorldCat Record")</f>
        <v/>
      </c>
      <c r="AU266" t="inlineStr">
        <is>
          <t>454639:eng</t>
        </is>
      </c>
      <c r="AV266" t="inlineStr">
        <is>
          <t>2224980</t>
        </is>
      </c>
      <c r="AW266" t="inlineStr">
        <is>
          <t>991004070389702656</t>
        </is>
      </c>
      <c r="AX266" t="inlineStr">
        <is>
          <t>991004070389702656</t>
        </is>
      </c>
      <c r="AY266" t="inlineStr">
        <is>
          <t>2259018590002656</t>
        </is>
      </c>
      <c r="AZ266" t="inlineStr">
        <is>
          <t>BOOK</t>
        </is>
      </c>
      <c r="BB266" t="inlineStr">
        <is>
          <t>9780385124850</t>
        </is>
      </c>
      <c r="BC266" t="inlineStr">
        <is>
          <t>32285004750815</t>
        </is>
      </c>
      <c r="BD266" t="inlineStr">
        <is>
          <t>893500088</t>
        </is>
      </c>
    </row>
    <row r="267">
      <c r="A267" t="inlineStr">
        <is>
          <t>No</t>
        </is>
      </c>
      <c r="B267" t="inlineStr">
        <is>
          <t>ND237.K56 G38 1996</t>
        </is>
      </c>
      <c r="C267" t="inlineStr">
        <is>
          <t>0                      ND 0237000K  56                 G  38          1996</t>
        </is>
      </c>
      <c r="D267" t="inlineStr">
        <is>
          <t>Franz Kline : Cincinnati Art Museum / Harry F. Gaugh.</t>
        </is>
      </c>
      <c r="F267" t="inlineStr">
        <is>
          <t>No</t>
        </is>
      </c>
      <c r="G267" t="inlineStr">
        <is>
          <t>1</t>
        </is>
      </c>
      <c r="H267" t="inlineStr">
        <is>
          <t>No</t>
        </is>
      </c>
      <c r="I267" t="inlineStr">
        <is>
          <t>No</t>
        </is>
      </c>
      <c r="J267" t="inlineStr">
        <is>
          <t>0</t>
        </is>
      </c>
      <c r="K267" t="inlineStr">
        <is>
          <t>Gaugh, Harry F.</t>
        </is>
      </c>
      <c r="L267" t="inlineStr">
        <is>
          <t>New York : Abbeville Press, [1996?], c1985.</t>
        </is>
      </c>
      <c r="M267" t="inlineStr">
        <is>
          <t>1996</t>
        </is>
      </c>
      <c r="N267" t="inlineStr">
        <is>
          <t>1st ed.</t>
        </is>
      </c>
      <c r="O267" t="inlineStr">
        <is>
          <t>eng</t>
        </is>
      </c>
      <c r="P267" t="inlineStr">
        <is>
          <t>ohu</t>
        </is>
      </c>
      <c r="R267" t="inlineStr">
        <is>
          <t xml:space="preserve">ND </t>
        </is>
      </c>
      <c r="S267" t="n">
        <v>1</v>
      </c>
      <c r="T267" t="n">
        <v>1</v>
      </c>
      <c r="U267" t="inlineStr">
        <is>
          <t>2003-08-27</t>
        </is>
      </c>
      <c r="V267" t="inlineStr">
        <is>
          <t>2003-08-27</t>
        </is>
      </c>
      <c r="W267" t="inlineStr">
        <is>
          <t>2003-08-27</t>
        </is>
      </c>
      <c r="X267" t="inlineStr">
        <is>
          <t>2003-08-27</t>
        </is>
      </c>
      <c r="Y267" t="n">
        <v>311</v>
      </c>
      <c r="Z267" t="n">
        <v>282</v>
      </c>
      <c r="AA267" t="n">
        <v>284</v>
      </c>
      <c r="AB267" t="n">
        <v>2</v>
      </c>
      <c r="AC267" t="n">
        <v>2</v>
      </c>
      <c r="AD267" t="n">
        <v>8</v>
      </c>
      <c r="AE267" t="n">
        <v>8</v>
      </c>
      <c r="AF267" t="n">
        <v>1</v>
      </c>
      <c r="AG267" t="n">
        <v>1</v>
      </c>
      <c r="AH267" t="n">
        <v>3</v>
      </c>
      <c r="AI267" t="n">
        <v>3</v>
      </c>
      <c r="AJ267" t="n">
        <v>5</v>
      </c>
      <c r="AK267" t="n">
        <v>5</v>
      </c>
      <c r="AL267" t="n">
        <v>1</v>
      </c>
      <c r="AM267" t="n">
        <v>1</v>
      </c>
      <c r="AN267" t="n">
        <v>0</v>
      </c>
      <c r="AO267" t="n">
        <v>0</v>
      </c>
      <c r="AP267" t="inlineStr">
        <is>
          <t>No</t>
        </is>
      </c>
      <c r="AQ267" t="inlineStr">
        <is>
          <t>Yes</t>
        </is>
      </c>
      <c r="AR267">
        <f>HYPERLINK("http://catalog.hathitrust.org/Record/008222982","HathiTrust Record")</f>
        <v/>
      </c>
      <c r="AS267">
        <f>HYPERLINK("https://creighton-primo.hosted.exlibrisgroup.com/primo-explore/search?tab=default_tab&amp;search_scope=EVERYTHING&amp;vid=01CRU&amp;lang=en_US&amp;offset=0&amp;query=any,contains,991004101159702656","Catalog Record")</f>
        <v/>
      </c>
      <c r="AT267">
        <f>HYPERLINK("http://www.worldcat.org/oclc/28929702","WorldCat Record")</f>
        <v/>
      </c>
      <c r="AU267" t="inlineStr">
        <is>
          <t>5196337994:eng</t>
        </is>
      </c>
      <c r="AV267" t="inlineStr">
        <is>
          <t>28929702</t>
        </is>
      </c>
      <c r="AW267" t="inlineStr">
        <is>
          <t>991004101159702656</t>
        </is>
      </c>
      <c r="AX267" t="inlineStr">
        <is>
          <t>991004101159702656</t>
        </is>
      </c>
      <c r="AY267" t="inlineStr">
        <is>
          <t>2270784050002656</t>
        </is>
      </c>
      <c r="AZ267" t="inlineStr">
        <is>
          <t>BOOK</t>
        </is>
      </c>
      <c r="BB267" t="inlineStr">
        <is>
          <t>9781558597709</t>
        </is>
      </c>
      <c r="BC267" t="inlineStr">
        <is>
          <t>32285004780127</t>
        </is>
      </c>
      <c r="BD267" t="inlineStr">
        <is>
          <t>893512812</t>
        </is>
      </c>
    </row>
    <row r="268">
      <c r="A268" t="inlineStr">
        <is>
          <t>No</t>
        </is>
      </c>
      <c r="B268" t="inlineStr">
        <is>
          <t>ND237.L29 A4 1986</t>
        </is>
      </c>
      <c r="C268" t="inlineStr">
        <is>
          <t>0                      ND 0237000L  29                 A  4           1986</t>
        </is>
      </c>
      <c r="D268" t="inlineStr">
        <is>
          <t>Jacob Lawrence, American painter / Ellen Harkins Wheat ; with a contribution by Patricia Hills.</t>
        </is>
      </c>
      <c r="F268" t="inlineStr">
        <is>
          <t>No</t>
        </is>
      </c>
      <c r="G268" t="inlineStr">
        <is>
          <t>1</t>
        </is>
      </c>
      <c r="H268" t="inlineStr">
        <is>
          <t>No</t>
        </is>
      </c>
      <c r="I268" t="inlineStr">
        <is>
          <t>No</t>
        </is>
      </c>
      <c r="J268" t="inlineStr">
        <is>
          <t>0</t>
        </is>
      </c>
      <c r="K268" t="inlineStr">
        <is>
          <t>Wheat, Ellen Harkins.</t>
        </is>
      </c>
      <c r="L268" t="inlineStr">
        <is>
          <t>Seattle : University of Washington Press in association with the Seattle Art Museum, c1986.</t>
        </is>
      </c>
      <c r="M268" t="inlineStr">
        <is>
          <t>1986</t>
        </is>
      </c>
      <c r="O268" t="inlineStr">
        <is>
          <t>eng</t>
        </is>
      </c>
      <c r="P268" t="inlineStr">
        <is>
          <t>wau</t>
        </is>
      </c>
      <c r="R268" t="inlineStr">
        <is>
          <t xml:space="preserve">ND </t>
        </is>
      </c>
      <c r="S268" t="n">
        <v>8</v>
      </c>
      <c r="T268" t="n">
        <v>8</v>
      </c>
      <c r="U268" t="inlineStr">
        <is>
          <t>2009-11-25</t>
        </is>
      </c>
      <c r="V268" t="inlineStr">
        <is>
          <t>2009-11-25</t>
        </is>
      </c>
      <c r="W268" t="inlineStr">
        <is>
          <t>1992-03-17</t>
        </is>
      </c>
      <c r="X268" t="inlineStr">
        <is>
          <t>1992-03-17</t>
        </is>
      </c>
      <c r="Y268" t="n">
        <v>1030</v>
      </c>
      <c r="Z268" t="n">
        <v>961</v>
      </c>
      <c r="AA268" t="n">
        <v>971</v>
      </c>
      <c r="AB268" t="n">
        <v>8</v>
      </c>
      <c r="AC268" t="n">
        <v>8</v>
      </c>
      <c r="AD268" t="n">
        <v>34</v>
      </c>
      <c r="AE268" t="n">
        <v>35</v>
      </c>
      <c r="AF268" t="n">
        <v>18</v>
      </c>
      <c r="AG268" t="n">
        <v>19</v>
      </c>
      <c r="AH268" t="n">
        <v>5</v>
      </c>
      <c r="AI268" t="n">
        <v>5</v>
      </c>
      <c r="AJ268" t="n">
        <v>12</v>
      </c>
      <c r="AK268" t="n">
        <v>13</v>
      </c>
      <c r="AL268" t="n">
        <v>4</v>
      </c>
      <c r="AM268" t="n">
        <v>4</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HYPERLINK("https://creighton-primo.hosted.exlibrisgroup.com/primo-explore/search?tab=default_tab&amp;search_scope=EVERYTHING&amp;vid=01CRU&amp;lang=en_US&amp;offset=0&amp;query=any,contains,991000809939702656","Catalog Record")</f>
        <v/>
      </c>
      <c r="AT268">
        <f>HYPERLINK("http://www.worldcat.org/oclc/13330584","WorldCat Record")</f>
        <v/>
      </c>
      <c r="AU268" t="inlineStr">
        <is>
          <t>7455677:eng</t>
        </is>
      </c>
      <c r="AV268" t="inlineStr">
        <is>
          <t>13330584</t>
        </is>
      </c>
      <c r="AW268" t="inlineStr">
        <is>
          <t>991000809939702656</t>
        </is>
      </c>
      <c r="AX268" t="inlineStr">
        <is>
          <t>991000809939702656</t>
        </is>
      </c>
      <c r="AY268" t="inlineStr">
        <is>
          <t>2266085920002656</t>
        </is>
      </c>
      <c r="AZ268" t="inlineStr">
        <is>
          <t>BOOK</t>
        </is>
      </c>
      <c r="BB268" t="inlineStr">
        <is>
          <t>9780295963440</t>
        </is>
      </c>
      <c r="BC268" t="inlineStr">
        <is>
          <t>32285001022663</t>
        </is>
      </c>
      <c r="BD268" t="inlineStr">
        <is>
          <t>893771986</t>
        </is>
      </c>
    </row>
    <row r="269">
      <c r="A269" t="inlineStr">
        <is>
          <t>No</t>
        </is>
      </c>
      <c r="B269" t="inlineStr">
        <is>
          <t>ND237.L29 A4 1993</t>
        </is>
      </c>
      <c r="C269" t="inlineStr">
        <is>
          <t>0                      ND 0237000L  29                 A  4           1993</t>
        </is>
      </c>
      <c r="D269" t="inlineStr">
        <is>
          <t>The great migration : an American story / paintings by Jacob Lawrence ; with a poem in appreciation by Walter Dean Myers.</t>
        </is>
      </c>
      <c r="F269" t="inlineStr">
        <is>
          <t>No</t>
        </is>
      </c>
      <c r="G269" t="inlineStr">
        <is>
          <t>1</t>
        </is>
      </c>
      <c r="H269" t="inlineStr">
        <is>
          <t>No</t>
        </is>
      </c>
      <c r="I269" t="inlineStr">
        <is>
          <t>No</t>
        </is>
      </c>
      <c r="J269" t="inlineStr">
        <is>
          <t>0</t>
        </is>
      </c>
      <c r="K269" t="inlineStr">
        <is>
          <t>Lawrence, Jacob, 1917-2000.</t>
        </is>
      </c>
      <c r="L269" t="inlineStr">
        <is>
          <t>New York : Museum of Modern Art ; [Washington, D.C.] : Phillips Collection ; New York : HarperCollins, c1993.</t>
        </is>
      </c>
      <c r="M269" t="inlineStr">
        <is>
          <t>1993</t>
        </is>
      </c>
      <c r="O269" t="inlineStr">
        <is>
          <t>eng</t>
        </is>
      </c>
      <c r="P269" t="inlineStr">
        <is>
          <t>nyu</t>
        </is>
      </c>
      <c r="R269" t="inlineStr">
        <is>
          <t xml:space="preserve">ND </t>
        </is>
      </c>
      <c r="S269" t="n">
        <v>3</v>
      </c>
      <c r="T269" t="n">
        <v>3</v>
      </c>
      <c r="U269" t="inlineStr">
        <is>
          <t>2000-11-06</t>
        </is>
      </c>
      <c r="V269" t="inlineStr">
        <is>
          <t>2000-11-06</t>
        </is>
      </c>
      <c r="W269" t="inlineStr">
        <is>
          <t>2000-11-06</t>
        </is>
      </c>
      <c r="X269" t="inlineStr">
        <is>
          <t>2000-11-06</t>
        </is>
      </c>
      <c r="Y269" t="n">
        <v>1493</v>
      </c>
      <c r="Z269" t="n">
        <v>1468</v>
      </c>
      <c r="AA269" t="n">
        <v>1485</v>
      </c>
      <c r="AB269" t="n">
        <v>16</v>
      </c>
      <c r="AC269" t="n">
        <v>16</v>
      </c>
      <c r="AD269" t="n">
        <v>25</v>
      </c>
      <c r="AE269" t="n">
        <v>25</v>
      </c>
      <c r="AF269" t="n">
        <v>10</v>
      </c>
      <c r="AG269" t="n">
        <v>10</v>
      </c>
      <c r="AH269" t="n">
        <v>5</v>
      </c>
      <c r="AI269" t="n">
        <v>5</v>
      </c>
      <c r="AJ269" t="n">
        <v>9</v>
      </c>
      <c r="AK269" t="n">
        <v>9</v>
      </c>
      <c r="AL269" t="n">
        <v>6</v>
      </c>
      <c r="AM269" t="n">
        <v>6</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HYPERLINK("https://creighton-primo.hosted.exlibrisgroup.com/primo-explore/search?tab=default_tab&amp;search_scope=EVERYTHING&amp;vid=01CRU&amp;lang=en_US&amp;offset=0&amp;query=any,contains,991003316139702656","Catalog Record")</f>
        <v/>
      </c>
      <c r="AT269">
        <f>HYPERLINK("http://www.worldcat.org/oclc/28257690","WorldCat Record")</f>
        <v/>
      </c>
      <c r="AU269" t="inlineStr">
        <is>
          <t>392244224:eng</t>
        </is>
      </c>
      <c r="AV269" t="inlineStr">
        <is>
          <t>28257690</t>
        </is>
      </c>
      <c r="AW269" t="inlineStr">
        <is>
          <t>991003316139702656</t>
        </is>
      </c>
      <c r="AX269" t="inlineStr">
        <is>
          <t>991003316139702656</t>
        </is>
      </c>
      <c r="AY269" t="inlineStr">
        <is>
          <t>2260950830002656</t>
        </is>
      </c>
      <c r="AZ269" t="inlineStr">
        <is>
          <t>BOOK</t>
        </is>
      </c>
      <c r="BB269" t="inlineStr">
        <is>
          <t>9780060230371</t>
        </is>
      </c>
      <c r="BC269" t="inlineStr">
        <is>
          <t>32285004263280</t>
        </is>
      </c>
      <c r="BD269" t="inlineStr">
        <is>
          <t>893217489</t>
        </is>
      </c>
    </row>
    <row r="270">
      <c r="A270" t="inlineStr">
        <is>
          <t>No</t>
        </is>
      </c>
      <c r="B270" t="inlineStr">
        <is>
          <t>ND237.M16 A4 1992</t>
        </is>
      </c>
      <c r="C270" t="inlineStr">
        <is>
          <t>0                      ND 0237000M  16                 A  4           1992</t>
        </is>
      </c>
      <c r="D270" t="inlineStr">
        <is>
          <t>The art of Frank C. McCarthy / text by Elmer Kelton ; introduction by James K. Ballinger.</t>
        </is>
      </c>
      <c r="F270" t="inlineStr">
        <is>
          <t>No</t>
        </is>
      </c>
      <c r="G270" t="inlineStr">
        <is>
          <t>1</t>
        </is>
      </c>
      <c r="H270" t="inlineStr">
        <is>
          <t>No</t>
        </is>
      </c>
      <c r="I270" t="inlineStr">
        <is>
          <t>No</t>
        </is>
      </c>
      <c r="J270" t="inlineStr">
        <is>
          <t>0</t>
        </is>
      </c>
      <c r="K270" t="inlineStr">
        <is>
          <t>Kelton, Elmer.</t>
        </is>
      </c>
      <c r="L270" t="inlineStr">
        <is>
          <t>New York : Morrow, c1992.</t>
        </is>
      </c>
      <c r="M270" t="inlineStr">
        <is>
          <t>1992</t>
        </is>
      </c>
      <c r="N270" t="inlineStr">
        <is>
          <t>1st ed.</t>
        </is>
      </c>
      <c r="O270" t="inlineStr">
        <is>
          <t>eng</t>
        </is>
      </c>
      <c r="P270" t="inlineStr">
        <is>
          <t>nyu</t>
        </is>
      </c>
      <c r="R270" t="inlineStr">
        <is>
          <t xml:space="preserve">ND </t>
        </is>
      </c>
      <c r="S270" t="n">
        <v>1</v>
      </c>
      <c r="T270" t="n">
        <v>1</v>
      </c>
      <c r="U270" t="inlineStr">
        <is>
          <t>2005-10-19</t>
        </is>
      </c>
      <c r="V270" t="inlineStr">
        <is>
          <t>2005-10-19</t>
        </is>
      </c>
      <c r="W270" t="inlineStr">
        <is>
          <t>2005-10-19</t>
        </is>
      </c>
      <c r="X270" t="inlineStr">
        <is>
          <t>2005-10-19</t>
        </is>
      </c>
      <c r="Y270" t="n">
        <v>238</v>
      </c>
      <c r="Z270" t="n">
        <v>221</v>
      </c>
      <c r="AA270" t="n">
        <v>240</v>
      </c>
      <c r="AB270" t="n">
        <v>4</v>
      </c>
      <c r="AC270" t="n">
        <v>4</v>
      </c>
      <c r="AD270" t="n">
        <v>2</v>
      </c>
      <c r="AE270" t="n">
        <v>2</v>
      </c>
      <c r="AF270" t="n">
        <v>0</v>
      </c>
      <c r="AG270" t="n">
        <v>0</v>
      </c>
      <c r="AH270" t="n">
        <v>1</v>
      </c>
      <c r="AI270" t="n">
        <v>1</v>
      </c>
      <c r="AJ270" t="n">
        <v>0</v>
      </c>
      <c r="AK270" t="n">
        <v>0</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HYPERLINK("https://creighton-primo.hosted.exlibrisgroup.com/primo-explore/search?tab=default_tab&amp;search_scope=EVERYTHING&amp;vid=01CRU&amp;lang=en_US&amp;offset=0&amp;query=any,contains,991004679949702656","Catalog Record")</f>
        <v/>
      </c>
      <c r="AT270">
        <f>HYPERLINK("http://www.worldcat.org/oclc/25508582","WorldCat Record")</f>
        <v/>
      </c>
      <c r="AU270" t="inlineStr">
        <is>
          <t>27804932:eng</t>
        </is>
      </c>
      <c r="AV270" t="inlineStr">
        <is>
          <t>25508582</t>
        </is>
      </c>
      <c r="AW270" t="inlineStr">
        <is>
          <t>991004679949702656</t>
        </is>
      </c>
      <c r="AX270" t="inlineStr">
        <is>
          <t>991004679949702656</t>
        </is>
      </c>
      <c r="AY270" t="inlineStr">
        <is>
          <t>2272435940002656</t>
        </is>
      </c>
      <c r="AZ270" t="inlineStr">
        <is>
          <t>BOOK</t>
        </is>
      </c>
      <c r="BB270" t="inlineStr">
        <is>
          <t>9780688118839</t>
        </is>
      </c>
      <c r="BC270" t="inlineStr">
        <is>
          <t>32285005089791</t>
        </is>
      </c>
      <c r="BD270" t="inlineStr">
        <is>
          <t>893776307</t>
        </is>
      </c>
    </row>
    <row r="271">
      <c r="A271" t="inlineStr">
        <is>
          <t>No</t>
        </is>
      </c>
      <c r="B271" t="inlineStr">
        <is>
          <t>ND237.M48 R67 1974</t>
        </is>
      </c>
      <c r="C271" t="inlineStr">
        <is>
          <t>0                      ND 0237000M  48                 R  67          1974</t>
        </is>
      </c>
      <c r="D271" t="inlineStr">
        <is>
          <t>To keep art alive : the effort of Kenneth Hayes Miller, American painter (1876-1952) / Lincoln Rothschild.</t>
        </is>
      </c>
      <c r="F271" t="inlineStr">
        <is>
          <t>No</t>
        </is>
      </c>
      <c r="G271" t="inlineStr">
        <is>
          <t>1</t>
        </is>
      </c>
      <c r="H271" t="inlineStr">
        <is>
          <t>No</t>
        </is>
      </c>
      <c r="I271" t="inlineStr">
        <is>
          <t>No</t>
        </is>
      </c>
      <c r="J271" t="inlineStr">
        <is>
          <t>0</t>
        </is>
      </c>
      <c r="K271" t="inlineStr">
        <is>
          <t>Rothschild, Lincoln, 1902-1983.</t>
        </is>
      </c>
      <c r="L271" t="inlineStr">
        <is>
          <t>Philadelphia : Art Alliance Press, [1974]</t>
        </is>
      </c>
      <c r="M271" t="inlineStr">
        <is>
          <t>1974</t>
        </is>
      </c>
      <c r="O271" t="inlineStr">
        <is>
          <t>eng</t>
        </is>
      </c>
      <c r="P271" t="inlineStr">
        <is>
          <t>pau</t>
        </is>
      </c>
      <c r="R271" t="inlineStr">
        <is>
          <t xml:space="preserve">ND </t>
        </is>
      </c>
      <c r="S271" t="n">
        <v>1</v>
      </c>
      <c r="T271" t="n">
        <v>1</v>
      </c>
      <c r="U271" t="inlineStr">
        <is>
          <t>2000-11-08</t>
        </is>
      </c>
      <c r="V271" t="inlineStr">
        <is>
          <t>2000-11-08</t>
        </is>
      </c>
      <c r="W271" t="inlineStr">
        <is>
          <t>1993-05-20</t>
        </is>
      </c>
      <c r="X271" t="inlineStr">
        <is>
          <t>1993-05-20</t>
        </is>
      </c>
      <c r="Y271" t="n">
        <v>358</v>
      </c>
      <c r="Z271" t="n">
        <v>333</v>
      </c>
      <c r="AA271" t="n">
        <v>333</v>
      </c>
      <c r="AB271" t="n">
        <v>3</v>
      </c>
      <c r="AC271" t="n">
        <v>3</v>
      </c>
      <c r="AD271" t="n">
        <v>19</v>
      </c>
      <c r="AE271" t="n">
        <v>19</v>
      </c>
      <c r="AF271" t="n">
        <v>9</v>
      </c>
      <c r="AG271" t="n">
        <v>9</v>
      </c>
      <c r="AH271" t="n">
        <v>5</v>
      </c>
      <c r="AI271" t="n">
        <v>5</v>
      </c>
      <c r="AJ271" t="n">
        <v>9</v>
      </c>
      <c r="AK271" t="n">
        <v>9</v>
      </c>
      <c r="AL271" t="n">
        <v>2</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HYPERLINK("https://creighton-primo.hosted.exlibrisgroup.com/primo-explore/search?tab=default_tab&amp;search_scope=EVERYTHING&amp;vid=01CRU&amp;lang=en_US&amp;offset=0&amp;query=any,contains,991003238459702656","Catalog Record")</f>
        <v/>
      </c>
      <c r="AT271">
        <f>HYPERLINK("http://www.worldcat.org/oclc/762395","WorldCat Record")</f>
        <v/>
      </c>
      <c r="AU271" t="inlineStr">
        <is>
          <t>1638979:eng</t>
        </is>
      </c>
      <c r="AV271" t="inlineStr">
        <is>
          <t>762395</t>
        </is>
      </c>
      <c r="AW271" t="inlineStr">
        <is>
          <t>991003238459702656</t>
        </is>
      </c>
      <c r="AX271" t="inlineStr">
        <is>
          <t>991003238459702656</t>
        </is>
      </c>
      <c r="AY271" t="inlineStr">
        <is>
          <t>2265195020002656</t>
        </is>
      </c>
      <c r="AZ271" t="inlineStr">
        <is>
          <t>BOOK</t>
        </is>
      </c>
      <c r="BB271" t="inlineStr">
        <is>
          <t>9780879820121</t>
        </is>
      </c>
      <c r="BC271" t="inlineStr">
        <is>
          <t>32285001691301</t>
        </is>
      </c>
      <c r="BD271" t="inlineStr">
        <is>
          <t>893227839</t>
        </is>
      </c>
    </row>
    <row r="272">
      <c r="A272" t="inlineStr">
        <is>
          <t>No</t>
        </is>
      </c>
      <c r="B272" t="inlineStr">
        <is>
          <t>ND237.M78 K32</t>
        </is>
      </c>
      <c r="C272" t="inlineStr">
        <is>
          <t>0                      ND 0237000M  78                 K  32</t>
        </is>
      </c>
      <c r="D272" t="inlineStr">
        <is>
          <t>Grandma Moses.</t>
        </is>
      </c>
      <c r="F272" t="inlineStr">
        <is>
          <t>No</t>
        </is>
      </c>
      <c r="G272" t="inlineStr">
        <is>
          <t>1</t>
        </is>
      </c>
      <c r="H272" t="inlineStr">
        <is>
          <t>No</t>
        </is>
      </c>
      <c r="I272" t="inlineStr">
        <is>
          <t>No</t>
        </is>
      </c>
      <c r="J272" t="inlineStr">
        <is>
          <t>0</t>
        </is>
      </c>
      <c r="K272" t="inlineStr">
        <is>
          <t>Kallir, Otto, 1894-1978.</t>
        </is>
      </c>
      <c r="L272" t="inlineStr">
        <is>
          <t>New York : Abrams, [1973]</t>
        </is>
      </c>
      <c r="M272" t="inlineStr">
        <is>
          <t>1973</t>
        </is>
      </c>
      <c r="O272" t="inlineStr">
        <is>
          <t>eng</t>
        </is>
      </c>
      <c r="P272" t="inlineStr">
        <is>
          <t>nyu</t>
        </is>
      </c>
      <c r="R272" t="inlineStr">
        <is>
          <t xml:space="preserve">ND </t>
        </is>
      </c>
      <c r="S272" t="n">
        <v>10</v>
      </c>
      <c r="T272" t="n">
        <v>10</v>
      </c>
      <c r="U272" t="inlineStr">
        <is>
          <t>2002-10-28</t>
        </is>
      </c>
      <c r="V272" t="inlineStr">
        <is>
          <t>2002-10-28</t>
        </is>
      </c>
      <c r="W272" t="inlineStr">
        <is>
          <t>1994-06-22</t>
        </is>
      </c>
      <c r="X272" t="inlineStr">
        <is>
          <t>1994-06-22</t>
        </is>
      </c>
      <c r="Y272" t="n">
        <v>2110</v>
      </c>
      <c r="Z272" t="n">
        <v>1979</v>
      </c>
      <c r="AA272" t="n">
        <v>1981</v>
      </c>
      <c r="AB272" t="n">
        <v>20</v>
      </c>
      <c r="AC272" t="n">
        <v>20</v>
      </c>
      <c r="AD272" t="n">
        <v>37</v>
      </c>
      <c r="AE272" t="n">
        <v>37</v>
      </c>
      <c r="AF272" t="n">
        <v>15</v>
      </c>
      <c r="AG272" t="n">
        <v>15</v>
      </c>
      <c r="AH272" t="n">
        <v>6</v>
      </c>
      <c r="AI272" t="n">
        <v>6</v>
      </c>
      <c r="AJ272" t="n">
        <v>15</v>
      </c>
      <c r="AK272" t="n">
        <v>15</v>
      </c>
      <c r="AL272" t="n">
        <v>9</v>
      </c>
      <c r="AM272" t="n">
        <v>9</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HYPERLINK("https://creighton-primo.hosted.exlibrisgroup.com/primo-explore/search?tab=default_tab&amp;search_scope=EVERYTHING&amp;vid=01CRU&amp;lang=en_US&amp;offset=0&amp;query=any,contains,991003069379702656","Catalog Record")</f>
        <v/>
      </c>
      <c r="AT272">
        <f>HYPERLINK("http://www.worldcat.org/oclc/624042","WorldCat Record")</f>
        <v/>
      </c>
      <c r="AU272" t="inlineStr">
        <is>
          <t>49474314:eng</t>
        </is>
      </c>
      <c r="AV272" t="inlineStr">
        <is>
          <t>624042</t>
        </is>
      </c>
      <c r="AW272" t="inlineStr">
        <is>
          <t>991003069379702656</t>
        </is>
      </c>
      <c r="AX272" t="inlineStr">
        <is>
          <t>991003069379702656</t>
        </is>
      </c>
      <c r="AY272" t="inlineStr">
        <is>
          <t>2258667180002656</t>
        </is>
      </c>
      <c r="AZ272" t="inlineStr">
        <is>
          <t>BOOK</t>
        </is>
      </c>
      <c r="BB272" t="inlineStr">
        <is>
          <t>9780810901667</t>
        </is>
      </c>
      <c r="BC272" t="inlineStr">
        <is>
          <t>32285001777589</t>
        </is>
      </c>
      <c r="BD272" t="inlineStr">
        <is>
          <t>893518106</t>
        </is>
      </c>
    </row>
    <row r="273">
      <c r="A273" t="inlineStr">
        <is>
          <t>No</t>
        </is>
      </c>
      <c r="B273" t="inlineStr">
        <is>
          <t>ND237.O5 A4 1989</t>
        </is>
      </c>
      <c r="C273" t="inlineStr">
        <is>
          <t>0                      ND 0237000O  5                  A  4           1989</t>
        </is>
      </c>
      <c r="D273" t="inlineStr">
        <is>
          <t>Georgia O'Keeffe : in the West / edited by Doris Bry and Nicholas Callaway.</t>
        </is>
      </c>
      <c r="F273" t="inlineStr">
        <is>
          <t>No</t>
        </is>
      </c>
      <c r="G273" t="inlineStr">
        <is>
          <t>1</t>
        </is>
      </c>
      <c r="H273" t="inlineStr">
        <is>
          <t>No</t>
        </is>
      </c>
      <c r="I273" t="inlineStr">
        <is>
          <t>No</t>
        </is>
      </c>
      <c r="J273" t="inlineStr">
        <is>
          <t>0</t>
        </is>
      </c>
      <c r="L273" t="inlineStr">
        <is>
          <t>New York : Knopf in association with Callaway, 1989.</t>
        </is>
      </c>
      <c r="M273" t="inlineStr">
        <is>
          <t>1989</t>
        </is>
      </c>
      <c r="N273" t="inlineStr">
        <is>
          <t>1st ed.</t>
        </is>
      </c>
      <c r="O273" t="inlineStr">
        <is>
          <t>eng</t>
        </is>
      </c>
      <c r="P273" t="inlineStr">
        <is>
          <t>nyu</t>
        </is>
      </c>
      <c r="R273" t="inlineStr">
        <is>
          <t xml:space="preserve">ND </t>
        </is>
      </c>
      <c r="S273" t="n">
        <v>16</v>
      </c>
      <c r="T273" t="n">
        <v>16</v>
      </c>
      <c r="U273" t="inlineStr">
        <is>
          <t>2005-12-14</t>
        </is>
      </c>
      <c r="V273" t="inlineStr">
        <is>
          <t>2005-12-14</t>
        </is>
      </c>
      <c r="W273" t="inlineStr">
        <is>
          <t>1990-06-06</t>
        </is>
      </c>
      <c r="X273" t="inlineStr">
        <is>
          <t>1990-06-06</t>
        </is>
      </c>
      <c r="Y273" t="n">
        <v>747</v>
      </c>
      <c r="Z273" t="n">
        <v>699</v>
      </c>
      <c r="AA273" t="n">
        <v>733</v>
      </c>
      <c r="AB273" t="n">
        <v>5</v>
      </c>
      <c r="AC273" t="n">
        <v>6</v>
      </c>
      <c r="AD273" t="n">
        <v>15</v>
      </c>
      <c r="AE273" t="n">
        <v>16</v>
      </c>
      <c r="AF273" t="n">
        <v>6</v>
      </c>
      <c r="AG273" t="n">
        <v>6</v>
      </c>
      <c r="AH273" t="n">
        <v>3</v>
      </c>
      <c r="AI273" t="n">
        <v>3</v>
      </c>
      <c r="AJ273" t="n">
        <v>8</v>
      </c>
      <c r="AK273" t="n">
        <v>8</v>
      </c>
      <c r="AL273" t="n">
        <v>2</v>
      </c>
      <c r="AM273" t="n">
        <v>3</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HYPERLINK("https://creighton-primo.hosted.exlibrisgroup.com/primo-explore/search?tab=default_tab&amp;search_scope=EVERYTHING&amp;vid=01CRU&amp;lang=en_US&amp;offset=0&amp;query=any,contains,991001488369702656","Catalog Record")</f>
        <v/>
      </c>
      <c r="AT273">
        <f>HYPERLINK("http://www.worldcat.org/oclc/19672226","WorldCat Record")</f>
        <v/>
      </c>
      <c r="AU273" t="inlineStr">
        <is>
          <t>3943542753:eng</t>
        </is>
      </c>
      <c r="AV273" t="inlineStr">
        <is>
          <t>19672226</t>
        </is>
      </c>
      <c r="AW273" t="inlineStr">
        <is>
          <t>991001488369702656</t>
        </is>
      </c>
      <c r="AX273" t="inlineStr">
        <is>
          <t>991001488369702656</t>
        </is>
      </c>
      <c r="AY273" t="inlineStr">
        <is>
          <t>2262618000002656</t>
        </is>
      </c>
      <c r="AZ273" t="inlineStr">
        <is>
          <t>BOOK</t>
        </is>
      </c>
      <c r="BB273" t="inlineStr">
        <is>
          <t>9780394579719</t>
        </is>
      </c>
      <c r="BC273" t="inlineStr">
        <is>
          <t>32285000175082</t>
        </is>
      </c>
      <c r="BD273" t="inlineStr">
        <is>
          <t>893238149</t>
        </is>
      </c>
    </row>
    <row r="274">
      <c r="A274" t="inlineStr">
        <is>
          <t>No</t>
        </is>
      </c>
      <c r="B274" t="inlineStr">
        <is>
          <t>ND237.O5 A4 1992</t>
        </is>
      </c>
      <c r="C274" t="inlineStr">
        <is>
          <t>0                      ND 0237000O  5                  A  4           1992</t>
        </is>
      </c>
      <c r="D274" t="inlineStr">
        <is>
          <t>Georgia O'Keeffe : natural issues, 1918-1924 / Marion M. Goethals ; with an essay by Charles C. Eldredge.</t>
        </is>
      </c>
      <c r="F274" t="inlineStr">
        <is>
          <t>No</t>
        </is>
      </c>
      <c r="G274" t="inlineStr">
        <is>
          <t>1</t>
        </is>
      </c>
      <c r="H274" t="inlineStr">
        <is>
          <t>No</t>
        </is>
      </c>
      <c r="I274" t="inlineStr">
        <is>
          <t>No</t>
        </is>
      </c>
      <c r="J274" t="inlineStr">
        <is>
          <t>0</t>
        </is>
      </c>
      <c r="K274" t="inlineStr">
        <is>
          <t>Goethals, Marion M., 1946-</t>
        </is>
      </c>
      <c r="L274" t="inlineStr">
        <is>
          <t>Williamstown, Mass. : Williams College Museum of Art, c1992.</t>
        </is>
      </c>
      <c r="M274" t="inlineStr">
        <is>
          <t>1992</t>
        </is>
      </c>
      <c r="O274" t="inlineStr">
        <is>
          <t>eng</t>
        </is>
      </c>
      <c r="P274" t="inlineStr">
        <is>
          <t>mau</t>
        </is>
      </c>
      <c r="R274" t="inlineStr">
        <is>
          <t xml:space="preserve">ND </t>
        </is>
      </c>
      <c r="S274" t="n">
        <v>4</v>
      </c>
      <c r="T274" t="n">
        <v>4</v>
      </c>
      <c r="U274" t="inlineStr">
        <is>
          <t>2000-04-05</t>
        </is>
      </c>
      <c r="V274" t="inlineStr">
        <is>
          <t>2000-04-05</t>
        </is>
      </c>
      <c r="W274" t="inlineStr">
        <is>
          <t>1993-10-26</t>
        </is>
      </c>
      <c r="X274" t="inlineStr">
        <is>
          <t>1993-10-26</t>
        </is>
      </c>
      <c r="Y274" t="n">
        <v>205</v>
      </c>
      <c r="Z274" t="n">
        <v>190</v>
      </c>
      <c r="AA274" t="n">
        <v>192</v>
      </c>
      <c r="AB274" t="n">
        <v>3</v>
      </c>
      <c r="AC274" t="n">
        <v>3</v>
      </c>
      <c r="AD274" t="n">
        <v>5</v>
      </c>
      <c r="AE274" t="n">
        <v>5</v>
      </c>
      <c r="AF274" t="n">
        <v>1</v>
      </c>
      <c r="AG274" t="n">
        <v>1</v>
      </c>
      <c r="AH274" t="n">
        <v>1</v>
      </c>
      <c r="AI274" t="n">
        <v>1</v>
      </c>
      <c r="AJ274" t="n">
        <v>1</v>
      </c>
      <c r="AK274" t="n">
        <v>1</v>
      </c>
      <c r="AL274" t="n">
        <v>2</v>
      </c>
      <c r="AM274" t="n">
        <v>2</v>
      </c>
      <c r="AN274" t="n">
        <v>0</v>
      </c>
      <c r="AO274" t="n">
        <v>0</v>
      </c>
      <c r="AP274" t="inlineStr">
        <is>
          <t>No</t>
        </is>
      </c>
      <c r="AQ274" t="inlineStr">
        <is>
          <t>Yes</t>
        </is>
      </c>
      <c r="AR274">
        <f>HYPERLINK("http://catalog.hathitrust.org/Record/002619745","HathiTrust Record")</f>
        <v/>
      </c>
      <c r="AS274">
        <f>HYPERLINK("https://creighton-primo.hosted.exlibrisgroup.com/primo-explore/search?tab=default_tab&amp;search_scope=EVERYTHING&amp;vid=01CRU&amp;lang=en_US&amp;offset=0&amp;query=any,contains,991002024819702656","Catalog Record")</f>
        <v/>
      </c>
      <c r="AT274">
        <f>HYPERLINK("http://www.worldcat.org/oclc/25748113","WorldCat Record")</f>
        <v/>
      </c>
      <c r="AU274" t="inlineStr">
        <is>
          <t>476313920:eng</t>
        </is>
      </c>
      <c r="AV274" t="inlineStr">
        <is>
          <t>25748113</t>
        </is>
      </c>
      <c r="AW274" t="inlineStr">
        <is>
          <t>991002024819702656</t>
        </is>
      </c>
      <c r="AX274" t="inlineStr">
        <is>
          <t>991002024819702656</t>
        </is>
      </c>
      <c r="AY274" t="inlineStr">
        <is>
          <t>2272060630002656</t>
        </is>
      </c>
      <c r="AZ274" t="inlineStr">
        <is>
          <t>BOOK</t>
        </is>
      </c>
      <c r="BB274" t="inlineStr">
        <is>
          <t>9780913697085</t>
        </is>
      </c>
      <c r="BC274" t="inlineStr">
        <is>
          <t>32285001788651</t>
        </is>
      </c>
      <c r="BD274" t="inlineStr">
        <is>
          <t>893510199</t>
        </is>
      </c>
    </row>
    <row r="275">
      <c r="A275" t="inlineStr">
        <is>
          <t>No</t>
        </is>
      </c>
      <c r="B275" t="inlineStr">
        <is>
          <t>ND237.O5 A4 2004</t>
        </is>
      </c>
      <c r="C275" t="inlineStr">
        <is>
          <t>0                      ND 0237000O  5                  A  4           2004</t>
        </is>
      </c>
      <c r="D275" t="inlineStr">
        <is>
          <t>Georgia O'Keeffe and New Mexico : a sense of place / Barbara Buhler Lynes, Lesley Poling-Kempes, and Frederick W. Turner.</t>
        </is>
      </c>
      <c r="F275" t="inlineStr">
        <is>
          <t>No</t>
        </is>
      </c>
      <c r="G275" t="inlineStr">
        <is>
          <t>1</t>
        </is>
      </c>
      <c r="H275" t="inlineStr">
        <is>
          <t>No</t>
        </is>
      </c>
      <c r="I275" t="inlineStr">
        <is>
          <t>No</t>
        </is>
      </c>
      <c r="J275" t="inlineStr">
        <is>
          <t>0</t>
        </is>
      </c>
      <c r="K275" t="inlineStr">
        <is>
          <t>Lynes, Barbara Buhler, 1942-</t>
        </is>
      </c>
      <c r="L275" t="inlineStr">
        <is>
          <t>Princeton, N.J. : Princeton University Press ; Santa Fe, N.M. : Georgia O'Keeffe Museum, c2004.</t>
        </is>
      </c>
      <c r="M275" t="inlineStr">
        <is>
          <t>2004</t>
        </is>
      </c>
      <c r="O275" t="inlineStr">
        <is>
          <t>eng</t>
        </is>
      </c>
      <c r="P275" t="inlineStr">
        <is>
          <t>nju</t>
        </is>
      </c>
      <c r="R275" t="inlineStr">
        <is>
          <t xml:space="preserve">ND </t>
        </is>
      </c>
      <c r="S275" t="n">
        <v>2</v>
      </c>
      <c r="T275" t="n">
        <v>2</v>
      </c>
      <c r="U275" t="inlineStr">
        <is>
          <t>2005-10-26</t>
        </is>
      </c>
      <c r="V275" t="inlineStr">
        <is>
          <t>2005-10-26</t>
        </is>
      </c>
      <c r="W275" t="inlineStr">
        <is>
          <t>2004-07-29</t>
        </is>
      </c>
      <c r="X275" t="inlineStr">
        <is>
          <t>2004-07-29</t>
        </is>
      </c>
      <c r="Y275" t="n">
        <v>662</v>
      </c>
      <c r="Z275" t="n">
        <v>569</v>
      </c>
      <c r="AA275" t="n">
        <v>572</v>
      </c>
      <c r="AB275" t="n">
        <v>3</v>
      </c>
      <c r="AC275" t="n">
        <v>3</v>
      </c>
      <c r="AD275" t="n">
        <v>18</v>
      </c>
      <c r="AE275" t="n">
        <v>18</v>
      </c>
      <c r="AF275" t="n">
        <v>8</v>
      </c>
      <c r="AG275" t="n">
        <v>8</v>
      </c>
      <c r="AH275" t="n">
        <v>4</v>
      </c>
      <c r="AI275" t="n">
        <v>4</v>
      </c>
      <c r="AJ275" t="n">
        <v>8</v>
      </c>
      <c r="AK275" t="n">
        <v>8</v>
      </c>
      <c r="AL275" t="n">
        <v>2</v>
      </c>
      <c r="AM275" t="n">
        <v>2</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HYPERLINK("https://creighton-primo.hosted.exlibrisgroup.com/primo-explore/search?tab=default_tab&amp;search_scope=EVERYTHING&amp;vid=01CRU&amp;lang=en_US&amp;offset=0&amp;query=any,contains,991004313099702656","Catalog Record")</f>
        <v/>
      </c>
      <c r="AT275">
        <f>HYPERLINK("http://www.worldcat.org/oclc/52902460","WorldCat Record")</f>
        <v/>
      </c>
      <c r="AU275" t="inlineStr">
        <is>
          <t>2070311969:eng</t>
        </is>
      </c>
      <c r="AV275" t="inlineStr">
        <is>
          <t>52902460</t>
        </is>
      </c>
      <c r="AW275" t="inlineStr">
        <is>
          <t>991004313099702656</t>
        </is>
      </c>
      <c r="AX275" t="inlineStr">
        <is>
          <t>991004313099702656</t>
        </is>
      </c>
      <c r="AY275" t="inlineStr">
        <is>
          <t>2263208210002656</t>
        </is>
      </c>
      <c r="AZ275" t="inlineStr">
        <is>
          <t>BOOK</t>
        </is>
      </c>
      <c r="BB275" t="inlineStr">
        <is>
          <t>9780691116594</t>
        </is>
      </c>
      <c r="BC275" t="inlineStr">
        <is>
          <t>32285004926753</t>
        </is>
      </c>
      <c r="BD275" t="inlineStr">
        <is>
          <t>893806909</t>
        </is>
      </c>
    </row>
    <row r="276">
      <c r="A276" t="inlineStr">
        <is>
          <t>No</t>
        </is>
      </c>
      <c r="B276" t="inlineStr">
        <is>
          <t>ND237.O5 C3 1985</t>
        </is>
      </c>
      <c r="C276" t="inlineStr">
        <is>
          <t>0                      ND 0237000O  5                  C  3           1985</t>
        </is>
      </c>
      <c r="D276" t="inlineStr">
        <is>
          <t>The art &amp; life of Georgia O'Keeffe / by Jan Garden Castro.</t>
        </is>
      </c>
      <c r="F276" t="inlineStr">
        <is>
          <t>No</t>
        </is>
      </c>
      <c r="G276" t="inlineStr">
        <is>
          <t>1</t>
        </is>
      </c>
      <c r="H276" t="inlineStr">
        <is>
          <t>No</t>
        </is>
      </c>
      <c r="I276" t="inlineStr">
        <is>
          <t>No</t>
        </is>
      </c>
      <c r="J276" t="inlineStr">
        <is>
          <t>0</t>
        </is>
      </c>
      <c r="K276" t="inlineStr">
        <is>
          <t>Castro, Jan Garden.</t>
        </is>
      </c>
      <c r="L276" t="inlineStr">
        <is>
          <t>New York : Crown, c1985.</t>
        </is>
      </c>
      <c r="M276" t="inlineStr">
        <is>
          <t>1985</t>
        </is>
      </c>
      <c r="N276" t="inlineStr">
        <is>
          <t>1st ed.</t>
        </is>
      </c>
      <c r="O276" t="inlineStr">
        <is>
          <t>eng</t>
        </is>
      </c>
      <c r="P276" t="inlineStr">
        <is>
          <t>nyu</t>
        </is>
      </c>
      <c r="R276" t="inlineStr">
        <is>
          <t xml:space="preserve">ND </t>
        </is>
      </c>
      <c r="S276" t="n">
        <v>16</v>
      </c>
      <c r="T276" t="n">
        <v>16</v>
      </c>
      <c r="U276" t="inlineStr">
        <is>
          <t>2008-05-03</t>
        </is>
      </c>
      <c r="V276" t="inlineStr">
        <is>
          <t>2008-05-03</t>
        </is>
      </c>
      <c r="W276" t="inlineStr">
        <is>
          <t>1990-02-28</t>
        </is>
      </c>
      <c r="X276" t="inlineStr">
        <is>
          <t>1990-02-28</t>
        </is>
      </c>
      <c r="Y276" t="n">
        <v>1432</v>
      </c>
      <c r="Z276" t="n">
        <v>1346</v>
      </c>
      <c r="AA276" t="n">
        <v>1443</v>
      </c>
      <c r="AB276" t="n">
        <v>15</v>
      </c>
      <c r="AC276" t="n">
        <v>16</v>
      </c>
      <c r="AD276" t="n">
        <v>31</v>
      </c>
      <c r="AE276" t="n">
        <v>31</v>
      </c>
      <c r="AF276" t="n">
        <v>14</v>
      </c>
      <c r="AG276" t="n">
        <v>14</v>
      </c>
      <c r="AH276" t="n">
        <v>2</v>
      </c>
      <c r="AI276" t="n">
        <v>2</v>
      </c>
      <c r="AJ276" t="n">
        <v>11</v>
      </c>
      <c r="AK276" t="n">
        <v>11</v>
      </c>
      <c r="AL276" t="n">
        <v>7</v>
      </c>
      <c r="AM276" t="n">
        <v>7</v>
      </c>
      <c r="AN276" t="n">
        <v>0</v>
      </c>
      <c r="AO276" t="n">
        <v>0</v>
      </c>
      <c r="AP276" t="inlineStr">
        <is>
          <t>No</t>
        </is>
      </c>
      <c r="AQ276" t="inlineStr">
        <is>
          <t>Yes</t>
        </is>
      </c>
      <c r="AR276">
        <f>HYPERLINK("http://catalog.hathitrust.org/Record/000357826","HathiTrust Record")</f>
        <v/>
      </c>
      <c r="AS276">
        <f>HYPERLINK("https://creighton-primo.hosted.exlibrisgroup.com/primo-explore/search?tab=default_tab&amp;search_scope=EVERYTHING&amp;vid=01CRU&amp;lang=en_US&amp;offset=0&amp;query=any,contains,991000436559702656","Catalog Record")</f>
        <v/>
      </c>
      <c r="AT276">
        <f>HYPERLINK("http://www.worldcat.org/oclc/10799143","WorldCat Record")</f>
        <v/>
      </c>
      <c r="AU276" t="inlineStr">
        <is>
          <t>3798085:eng</t>
        </is>
      </c>
      <c r="AV276" t="inlineStr">
        <is>
          <t>10799143</t>
        </is>
      </c>
      <c r="AW276" t="inlineStr">
        <is>
          <t>991000436559702656</t>
        </is>
      </c>
      <c r="AX276" t="inlineStr">
        <is>
          <t>991000436559702656</t>
        </is>
      </c>
      <c r="AY276" t="inlineStr">
        <is>
          <t>2269768130002656</t>
        </is>
      </c>
      <c r="AZ276" t="inlineStr">
        <is>
          <t>BOOK</t>
        </is>
      </c>
      <c r="BB276" t="inlineStr">
        <is>
          <t>9780517550588</t>
        </is>
      </c>
      <c r="BC276" t="inlineStr">
        <is>
          <t>32285000073113</t>
        </is>
      </c>
      <c r="BD276" t="inlineStr">
        <is>
          <t>893695830</t>
        </is>
      </c>
    </row>
    <row r="277">
      <c r="A277" t="inlineStr">
        <is>
          <t>No</t>
        </is>
      </c>
      <c r="B277" t="inlineStr">
        <is>
          <t>ND237.O5 M4 1988</t>
        </is>
      </c>
      <c r="C277" t="inlineStr">
        <is>
          <t>0                      ND 0237000O  5                  M  4           1988</t>
        </is>
      </c>
      <c r="D277" t="inlineStr">
        <is>
          <t>Georgia O'Keeffe / Lisa Mintz Messinger.</t>
        </is>
      </c>
      <c r="F277" t="inlineStr">
        <is>
          <t>No</t>
        </is>
      </c>
      <c r="G277" t="inlineStr">
        <is>
          <t>1</t>
        </is>
      </c>
      <c r="H277" t="inlineStr">
        <is>
          <t>No</t>
        </is>
      </c>
      <c r="I277" t="inlineStr">
        <is>
          <t>No</t>
        </is>
      </c>
      <c r="J277" t="inlineStr">
        <is>
          <t>0</t>
        </is>
      </c>
      <c r="K277" t="inlineStr">
        <is>
          <t>Messinger, Lisa Mintz.</t>
        </is>
      </c>
      <c r="L277" t="inlineStr">
        <is>
          <t>New York, N.Y. : Thames and Hudson ; Metropolitan Museum of Art, 1988.</t>
        </is>
      </c>
      <c r="M277" t="inlineStr">
        <is>
          <t>1988</t>
        </is>
      </c>
      <c r="O277" t="inlineStr">
        <is>
          <t>eng</t>
        </is>
      </c>
      <c r="P277" t="inlineStr">
        <is>
          <t>nyu</t>
        </is>
      </c>
      <c r="R277" t="inlineStr">
        <is>
          <t xml:space="preserve">ND </t>
        </is>
      </c>
      <c r="S277" t="n">
        <v>15</v>
      </c>
      <c r="T277" t="n">
        <v>15</v>
      </c>
      <c r="U277" t="inlineStr">
        <is>
          <t>2004-02-27</t>
        </is>
      </c>
      <c r="V277" t="inlineStr">
        <is>
          <t>2004-02-27</t>
        </is>
      </c>
      <c r="W277" t="inlineStr">
        <is>
          <t>1991-12-13</t>
        </is>
      </c>
      <c r="X277" t="inlineStr">
        <is>
          <t>1991-12-13</t>
        </is>
      </c>
      <c r="Y277" t="n">
        <v>809</v>
      </c>
      <c r="Z277" t="n">
        <v>700</v>
      </c>
      <c r="AA277" t="n">
        <v>705</v>
      </c>
      <c r="AB277" t="n">
        <v>6</v>
      </c>
      <c r="AC277" t="n">
        <v>6</v>
      </c>
      <c r="AD277" t="n">
        <v>24</v>
      </c>
      <c r="AE277" t="n">
        <v>24</v>
      </c>
      <c r="AF277" t="n">
        <v>8</v>
      </c>
      <c r="AG277" t="n">
        <v>8</v>
      </c>
      <c r="AH277" t="n">
        <v>5</v>
      </c>
      <c r="AI277" t="n">
        <v>5</v>
      </c>
      <c r="AJ277" t="n">
        <v>11</v>
      </c>
      <c r="AK277" t="n">
        <v>11</v>
      </c>
      <c r="AL277" t="n">
        <v>4</v>
      </c>
      <c r="AM277" t="n">
        <v>4</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HYPERLINK("https://creighton-primo.hosted.exlibrisgroup.com/primo-explore/search?tab=default_tab&amp;search_scope=EVERYTHING&amp;vid=01CRU&amp;lang=en_US&amp;offset=0&amp;query=any,contains,991001396999702656","Catalog Record")</f>
        <v/>
      </c>
      <c r="AT277">
        <f>HYPERLINK("http://www.worldcat.org/oclc/18806311","WorldCat Record")</f>
        <v/>
      </c>
      <c r="AU277" t="inlineStr">
        <is>
          <t>10678121034:eng</t>
        </is>
      </c>
      <c r="AV277" t="inlineStr">
        <is>
          <t>18806311</t>
        </is>
      </c>
      <c r="AW277" t="inlineStr">
        <is>
          <t>991001396999702656</t>
        </is>
      </c>
      <c r="AX277" t="inlineStr">
        <is>
          <t>991001396999702656</t>
        </is>
      </c>
      <c r="AY277" t="inlineStr">
        <is>
          <t>2266804630002656</t>
        </is>
      </c>
      <c r="AZ277" t="inlineStr">
        <is>
          <t>BOOK</t>
        </is>
      </c>
      <c r="BB277" t="inlineStr">
        <is>
          <t>9780500274996</t>
        </is>
      </c>
      <c r="BC277" t="inlineStr">
        <is>
          <t>32285000905272</t>
        </is>
      </c>
      <c r="BD277" t="inlineStr">
        <is>
          <t>893328118</t>
        </is>
      </c>
    </row>
    <row r="278">
      <c r="A278" t="inlineStr">
        <is>
          <t>No</t>
        </is>
      </c>
      <c r="B278" t="inlineStr">
        <is>
          <t>ND237.O5 V46 1993</t>
        </is>
      </c>
      <c r="C278" t="inlineStr">
        <is>
          <t>0                      ND 0237000O  5                  V  46          1993</t>
        </is>
      </c>
      <c r="D278" t="inlineStr">
        <is>
          <t>Georgia O'Keeffe / written and illustrated by Mike Venezia.</t>
        </is>
      </c>
      <c r="F278" t="inlineStr">
        <is>
          <t>No</t>
        </is>
      </c>
      <c r="G278" t="inlineStr">
        <is>
          <t>1</t>
        </is>
      </c>
      <c r="H278" t="inlineStr">
        <is>
          <t>No</t>
        </is>
      </c>
      <c r="I278" t="inlineStr">
        <is>
          <t>No</t>
        </is>
      </c>
      <c r="J278" t="inlineStr">
        <is>
          <t>0</t>
        </is>
      </c>
      <c r="K278" t="inlineStr">
        <is>
          <t>Venezia, Mike.</t>
        </is>
      </c>
      <c r="L278" t="inlineStr">
        <is>
          <t>Chicago : Childrens Press, c1993.</t>
        </is>
      </c>
      <c r="M278" t="inlineStr">
        <is>
          <t>1993</t>
        </is>
      </c>
      <c r="O278" t="inlineStr">
        <is>
          <t>eng</t>
        </is>
      </c>
      <c r="P278" t="inlineStr">
        <is>
          <t>ilu</t>
        </is>
      </c>
      <c r="Q278" t="inlineStr">
        <is>
          <t>Getting to know the world's greatest artists</t>
        </is>
      </c>
      <c r="R278" t="inlineStr">
        <is>
          <t xml:space="preserve">ND </t>
        </is>
      </c>
      <c r="S278" t="n">
        <v>4</v>
      </c>
      <c r="T278" t="n">
        <v>4</v>
      </c>
      <c r="U278" t="inlineStr">
        <is>
          <t>2000-11-30</t>
        </is>
      </c>
      <c r="V278" t="inlineStr">
        <is>
          <t>2000-11-30</t>
        </is>
      </c>
      <c r="W278" t="inlineStr">
        <is>
          <t>1995-10-19</t>
        </is>
      </c>
      <c r="X278" t="inlineStr">
        <is>
          <t>1995-10-19</t>
        </is>
      </c>
      <c r="Y278" t="n">
        <v>1005</v>
      </c>
      <c r="Z278" t="n">
        <v>949</v>
      </c>
      <c r="AA278" t="n">
        <v>1111</v>
      </c>
      <c r="AB278" t="n">
        <v>11</v>
      </c>
      <c r="AC278" t="n">
        <v>14</v>
      </c>
      <c r="AD278" t="n">
        <v>5</v>
      </c>
      <c r="AE278" t="n">
        <v>6</v>
      </c>
      <c r="AF278" t="n">
        <v>3</v>
      </c>
      <c r="AG278" t="n">
        <v>3</v>
      </c>
      <c r="AH278" t="n">
        <v>0</v>
      </c>
      <c r="AI278" t="n">
        <v>0</v>
      </c>
      <c r="AJ278" t="n">
        <v>2</v>
      </c>
      <c r="AK278" t="n">
        <v>3</v>
      </c>
      <c r="AL278" t="n">
        <v>1</v>
      </c>
      <c r="AM278" t="n">
        <v>1</v>
      </c>
      <c r="AN278" t="n">
        <v>0</v>
      </c>
      <c r="AO278" t="n">
        <v>0</v>
      </c>
      <c r="AP278" t="inlineStr">
        <is>
          <t>No</t>
        </is>
      </c>
      <c r="AQ278" t="inlineStr">
        <is>
          <t>Yes</t>
        </is>
      </c>
      <c r="AR278">
        <f>HYPERLINK("http://catalog.hathitrust.org/Record/101711749","HathiTrust Record")</f>
        <v/>
      </c>
      <c r="AS278">
        <f>HYPERLINK("https://creighton-primo.hosted.exlibrisgroup.com/primo-explore/search?tab=default_tab&amp;search_scope=EVERYTHING&amp;vid=01CRU&amp;lang=en_US&amp;offset=0&amp;query=any,contains,991004570719702656","Catalog Record")</f>
        <v/>
      </c>
      <c r="AT278">
        <f>HYPERLINK("http://www.worldcat.org/oclc/28425024","WorldCat Record")</f>
        <v/>
      </c>
      <c r="AU278" t="inlineStr">
        <is>
          <t>3757146271:eng</t>
        </is>
      </c>
      <c r="AV278" t="inlineStr">
        <is>
          <t>28425024</t>
        </is>
      </c>
      <c r="AW278" t="inlineStr">
        <is>
          <t>991004570719702656</t>
        </is>
      </c>
      <c r="AX278" t="inlineStr">
        <is>
          <t>991004570719702656</t>
        </is>
      </c>
      <c r="AY278" t="inlineStr">
        <is>
          <t>2268781140002656</t>
        </is>
      </c>
      <c r="AZ278" t="inlineStr">
        <is>
          <t>BOOK</t>
        </is>
      </c>
      <c r="BB278" t="inlineStr">
        <is>
          <t>9780516022970</t>
        </is>
      </c>
      <c r="BC278" t="inlineStr">
        <is>
          <t>32285002096468</t>
        </is>
      </c>
      <c r="BD278" t="inlineStr">
        <is>
          <t>893585484</t>
        </is>
      </c>
    </row>
    <row r="279">
      <c r="A279" t="inlineStr">
        <is>
          <t>No</t>
        </is>
      </c>
      <c r="B279" t="inlineStr">
        <is>
          <t>ND237.P257 P39 1984</t>
        </is>
      </c>
      <c r="C279" t="inlineStr">
        <is>
          <t>0                      ND 0237000P  257                P  39          1984</t>
        </is>
      </c>
      <c r="D279" t="inlineStr">
        <is>
          <t>E.S. Paxson, frontier artist / William Edgar Paxson, Jr.</t>
        </is>
      </c>
      <c r="F279" t="inlineStr">
        <is>
          <t>No</t>
        </is>
      </c>
      <c r="G279" t="inlineStr">
        <is>
          <t>1</t>
        </is>
      </c>
      <c r="H279" t="inlineStr">
        <is>
          <t>No</t>
        </is>
      </c>
      <c r="I279" t="inlineStr">
        <is>
          <t>No</t>
        </is>
      </c>
      <c r="J279" t="inlineStr">
        <is>
          <t>0</t>
        </is>
      </c>
      <c r="K279" t="inlineStr">
        <is>
          <t>Paxson, William Edgar, 1948-</t>
        </is>
      </c>
      <c r="L279" t="inlineStr">
        <is>
          <t>Boulder, Colo. : Pruett Pub. Co., c1984.</t>
        </is>
      </c>
      <c r="M279" t="inlineStr">
        <is>
          <t>1984</t>
        </is>
      </c>
      <c r="N279" t="inlineStr">
        <is>
          <t>1st ed.</t>
        </is>
      </c>
      <c r="O279" t="inlineStr">
        <is>
          <t>eng</t>
        </is>
      </c>
      <c r="P279" t="inlineStr">
        <is>
          <t>cou</t>
        </is>
      </c>
      <c r="R279" t="inlineStr">
        <is>
          <t xml:space="preserve">ND </t>
        </is>
      </c>
      <c r="S279" t="n">
        <v>1</v>
      </c>
      <c r="T279" t="n">
        <v>1</v>
      </c>
      <c r="U279" t="inlineStr">
        <is>
          <t>2005-09-28</t>
        </is>
      </c>
      <c r="V279" t="inlineStr">
        <is>
          <t>2005-09-28</t>
        </is>
      </c>
      <c r="W279" t="inlineStr">
        <is>
          <t>2005-09-28</t>
        </is>
      </c>
      <c r="X279" t="inlineStr">
        <is>
          <t>2005-09-28</t>
        </is>
      </c>
      <c r="Y279" t="n">
        <v>183</v>
      </c>
      <c r="Z279" t="n">
        <v>180</v>
      </c>
      <c r="AA279" t="n">
        <v>182</v>
      </c>
      <c r="AB279" t="n">
        <v>4</v>
      </c>
      <c r="AC279" t="n">
        <v>4</v>
      </c>
      <c r="AD279" t="n">
        <v>1</v>
      </c>
      <c r="AE279" t="n">
        <v>1</v>
      </c>
      <c r="AF279" t="n">
        <v>0</v>
      </c>
      <c r="AG279" t="n">
        <v>0</v>
      </c>
      <c r="AH279" t="n">
        <v>0</v>
      </c>
      <c r="AI279" t="n">
        <v>0</v>
      </c>
      <c r="AJ279" t="n">
        <v>0</v>
      </c>
      <c r="AK279" t="n">
        <v>0</v>
      </c>
      <c r="AL279" t="n">
        <v>1</v>
      </c>
      <c r="AM279" t="n">
        <v>1</v>
      </c>
      <c r="AN279" t="n">
        <v>0</v>
      </c>
      <c r="AO279" t="n">
        <v>0</v>
      </c>
      <c r="AP279" t="inlineStr">
        <is>
          <t>No</t>
        </is>
      </c>
      <c r="AQ279" t="inlineStr">
        <is>
          <t>Yes</t>
        </is>
      </c>
      <c r="AR279">
        <f>HYPERLINK("http://catalog.hathitrust.org/Record/000574168","HathiTrust Record")</f>
        <v/>
      </c>
      <c r="AS279">
        <f>HYPERLINK("https://creighton-primo.hosted.exlibrisgroup.com/primo-explore/search?tab=default_tab&amp;search_scope=EVERYTHING&amp;vid=01CRU&amp;lang=en_US&amp;offset=0&amp;query=any,contains,991004668529702656","Catalog Record")</f>
        <v/>
      </c>
      <c r="AT279">
        <f>HYPERLINK("http://www.worldcat.org/oclc/10533626","WorldCat Record")</f>
        <v/>
      </c>
      <c r="AU279" t="inlineStr">
        <is>
          <t>3426162:eng</t>
        </is>
      </c>
      <c r="AV279" t="inlineStr">
        <is>
          <t>10533626</t>
        </is>
      </c>
      <c r="AW279" t="inlineStr">
        <is>
          <t>991004668529702656</t>
        </is>
      </c>
      <c r="AX279" t="inlineStr">
        <is>
          <t>991004668529702656</t>
        </is>
      </c>
      <c r="AY279" t="inlineStr">
        <is>
          <t>2257572930002656</t>
        </is>
      </c>
      <c r="AZ279" t="inlineStr">
        <is>
          <t>BOOK</t>
        </is>
      </c>
      <c r="BB279" t="inlineStr">
        <is>
          <t>9780871086631</t>
        </is>
      </c>
      <c r="BC279" t="inlineStr">
        <is>
          <t>32285005086185</t>
        </is>
      </c>
      <c r="BD279" t="inlineStr">
        <is>
          <t>893500829</t>
        </is>
      </c>
    </row>
    <row r="280">
      <c r="A280" t="inlineStr">
        <is>
          <t>No</t>
        </is>
      </c>
      <c r="B280" t="inlineStr">
        <is>
          <t>ND237.P27 S44 1969</t>
        </is>
      </c>
      <c r="C280" t="inlineStr">
        <is>
          <t>0                      ND 0237000P  27                 S  44          1969</t>
        </is>
      </c>
      <c r="D280" t="inlineStr">
        <is>
          <t>Charles Willson Peale / Charles Coleman Sellers.</t>
        </is>
      </c>
      <c r="F280" t="inlineStr">
        <is>
          <t>No</t>
        </is>
      </c>
      <c r="G280" t="inlineStr">
        <is>
          <t>1</t>
        </is>
      </c>
      <c r="H280" t="inlineStr">
        <is>
          <t>No</t>
        </is>
      </c>
      <c r="I280" t="inlineStr">
        <is>
          <t>No</t>
        </is>
      </c>
      <c r="J280" t="inlineStr">
        <is>
          <t>0</t>
        </is>
      </c>
      <c r="K280" t="inlineStr">
        <is>
          <t>Sellers, Charles Coleman, 1903-1980.</t>
        </is>
      </c>
      <c r="L280" t="inlineStr">
        <is>
          <t>New York : Scribner, c1969.</t>
        </is>
      </c>
      <c r="M280" t="inlineStr">
        <is>
          <t>1969</t>
        </is>
      </c>
      <c r="O280" t="inlineStr">
        <is>
          <t>eng</t>
        </is>
      </c>
      <c r="P280" t="inlineStr">
        <is>
          <t>nyu</t>
        </is>
      </c>
      <c r="R280" t="inlineStr">
        <is>
          <t xml:space="preserve">ND </t>
        </is>
      </c>
      <c r="S280" t="n">
        <v>2</v>
      </c>
      <c r="T280" t="n">
        <v>2</v>
      </c>
      <c r="U280" t="inlineStr">
        <is>
          <t>2005-08-22</t>
        </is>
      </c>
      <c r="V280" t="inlineStr">
        <is>
          <t>2005-08-22</t>
        </is>
      </c>
      <c r="W280" t="inlineStr">
        <is>
          <t>2005-08-22</t>
        </is>
      </c>
      <c r="X280" t="inlineStr">
        <is>
          <t>2005-08-22</t>
        </is>
      </c>
      <c r="Y280" t="n">
        <v>930</v>
      </c>
      <c r="Z280" t="n">
        <v>883</v>
      </c>
      <c r="AA280" t="n">
        <v>1022</v>
      </c>
      <c r="AB280" t="n">
        <v>6</v>
      </c>
      <c r="AC280" t="n">
        <v>8</v>
      </c>
      <c r="AD280" t="n">
        <v>25</v>
      </c>
      <c r="AE280" t="n">
        <v>34</v>
      </c>
      <c r="AF280" t="n">
        <v>9</v>
      </c>
      <c r="AG280" t="n">
        <v>12</v>
      </c>
      <c r="AH280" t="n">
        <v>6</v>
      </c>
      <c r="AI280" t="n">
        <v>8</v>
      </c>
      <c r="AJ280" t="n">
        <v>14</v>
      </c>
      <c r="AK280" t="n">
        <v>16</v>
      </c>
      <c r="AL280" t="n">
        <v>4</v>
      </c>
      <c r="AM280" t="n">
        <v>6</v>
      </c>
      <c r="AN280" t="n">
        <v>0</v>
      </c>
      <c r="AO280" t="n">
        <v>0</v>
      </c>
      <c r="AP280" t="inlineStr">
        <is>
          <t>No</t>
        </is>
      </c>
      <c r="AQ280" t="inlineStr">
        <is>
          <t>Yes</t>
        </is>
      </c>
      <c r="AR280">
        <f>HYPERLINK("http://catalog.hathitrust.org/Record/000369456","HathiTrust Record")</f>
        <v/>
      </c>
      <c r="AS280">
        <f>HYPERLINK("https://creighton-primo.hosted.exlibrisgroup.com/primo-explore/search?tab=default_tab&amp;search_scope=EVERYTHING&amp;vid=01CRU&amp;lang=en_US&amp;offset=0&amp;query=any,contains,991004632459702656","Catalog Record")</f>
        <v/>
      </c>
      <c r="AT280">
        <f>HYPERLINK("http://www.worldcat.org/oclc/44339","WorldCat Record")</f>
        <v/>
      </c>
      <c r="AU280" t="inlineStr">
        <is>
          <t>2863637097:eng</t>
        </is>
      </c>
      <c r="AV280" t="inlineStr">
        <is>
          <t>44339</t>
        </is>
      </c>
      <c r="AW280" t="inlineStr">
        <is>
          <t>991004632459702656</t>
        </is>
      </c>
      <c r="AX280" t="inlineStr">
        <is>
          <t>991004632459702656</t>
        </is>
      </c>
      <c r="AY280" t="inlineStr">
        <is>
          <t>2260995110002656</t>
        </is>
      </c>
      <c r="AZ280" t="inlineStr">
        <is>
          <t>BOOK</t>
        </is>
      </c>
      <c r="BC280" t="inlineStr">
        <is>
          <t>32285005081699</t>
        </is>
      </c>
      <c r="BD280" t="inlineStr">
        <is>
          <t>893436507</t>
        </is>
      </c>
    </row>
    <row r="281">
      <c r="A281" t="inlineStr">
        <is>
          <t>No</t>
        </is>
      </c>
      <c r="B281" t="inlineStr">
        <is>
          <t>ND237.P33 V5 1982</t>
        </is>
      </c>
      <c r="C281" t="inlineStr">
        <is>
          <t>0                      ND 0237000P  33                 V  5           1982</t>
        </is>
      </c>
      <c r="D281" t="inlineStr">
        <is>
          <t>The painting and teaching of Philip Pearlstein / by Jerome Viola.</t>
        </is>
      </c>
      <c r="F281" t="inlineStr">
        <is>
          <t>No</t>
        </is>
      </c>
      <c r="G281" t="inlineStr">
        <is>
          <t>1</t>
        </is>
      </c>
      <c r="H281" t="inlineStr">
        <is>
          <t>No</t>
        </is>
      </c>
      <c r="I281" t="inlineStr">
        <is>
          <t>No</t>
        </is>
      </c>
      <c r="J281" t="inlineStr">
        <is>
          <t>0</t>
        </is>
      </c>
      <c r="K281" t="inlineStr">
        <is>
          <t>Viola, Jerome.</t>
        </is>
      </c>
      <c r="L281" t="inlineStr">
        <is>
          <t>New York : Watson-Guptill Publications, 1982.</t>
        </is>
      </c>
      <c r="M281" t="inlineStr">
        <is>
          <t>1982</t>
        </is>
      </c>
      <c r="O281" t="inlineStr">
        <is>
          <t>eng</t>
        </is>
      </c>
      <c r="P281" t="inlineStr">
        <is>
          <t>nyu</t>
        </is>
      </c>
      <c r="R281" t="inlineStr">
        <is>
          <t xml:space="preserve">ND </t>
        </is>
      </c>
      <c r="S281" t="n">
        <v>6</v>
      </c>
      <c r="T281" t="n">
        <v>6</v>
      </c>
      <c r="U281" t="inlineStr">
        <is>
          <t>1996-09-11</t>
        </is>
      </c>
      <c r="V281" t="inlineStr">
        <is>
          <t>1996-09-11</t>
        </is>
      </c>
      <c r="W281" t="inlineStr">
        <is>
          <t>1992-04-03</t>
        </is>
      </c>
      <c r="X281" t="inlineStr">
        <is>
          <t>1992-04-03</t>
        </is>
      </c>
      <c r="Y281" t="n">
        <v>675</v>
      </c>
      <c r="Z281" t="n">
        <v>586</v>
      </c>
      <c r="AA281" t="n">
        <v>588</v>
      </c>
      <c r="AB281" t="n">
        <v>9</v>
      </c>
      <c r="AC281" t="n">
        <v>9</v>
      </c>
      <c r="AD281" t="n">
        <v>21</v>
      </c>
      <c r="AE281" t="n">
        <v>21</v>
      </c>
      <c r="AF281" t="n">
        <v>7</v>
      </c>
      <c r="AG281" t="n">
        <v>7</v>
      </c>
      <c r="AH281" t="n">
        <v>3</v>
      </c>
      <c r="AI281" t="n">
        <v>3</v>
      </c>
      <c r="AJ281" t="n">
        <v>9</v>
      </c>
      <c r="AK281" t="n">
        <v>9</v>
      </c>
      <c r="AL281" t="n">
        <v>7</v>
      </c>
      <c r="AM281" t="n">
        <v>7</v>
      </c>
      <c r="AN281" t="n">
        <v>0</v>
      </c>
      <c r="AO281" t="n">
        <v>0</v>
      </c>
      <c r="AP281" t="inlineStr">
        <is>
          <t>No</t>
        </is>
      </c>
      <c r="AQ281" t="inlineStr">
        <is>
          <t>Yes</t>
        </is>
      </c>
      <c r="AR281">
        <f>HYPERLINK("http://catalog.hathitrust.org/Record/000272805","HathiTrust Record")</f>
        <v/>
      </c>
      <c r="AS281">
        <f>HYPERLINK("https://creighton-primo.hosted.exlibrisgroup.com/primo-explore/search?tab=default_tab&amp;search_scope=EVERYTHING&amp;vid=01CRU&amp;lang=en_US&amp;offset=0&amp;query=any,contains,991000035179702656","Catalog Record")</f>
        <v/>
      </c>
      <c r="AT281">
        <f>HYPERLINK("http://www.worldcat.org/oclc/8627314","WorldCat Record")</f>
        <v/>
      </c>
      <c r="AU281" t="inlineStr">
        <is>
          <t>20808092:eng</t>
        </is>
      </c>
      <c r="AV281" t="inlineStr">
        <is>
          <t>8627314</t>
        </is>
      </c>
      <c r="AW281" t="inlineStr">
        <is>
          <t>991000035179702656</t>
        </is>
      </c>
      <c r="AX281" t="inlineStr">
        <is>
          <t>991000035179702656</t>
        </is>
      </c>
      <c r="AY281" t="inlineStr">
        <is>
          <t>2261762980002656</t>
        </is>
      </c>
      <c r="AZ281" t="inlineStr">
        <is>
          <t>BOOK</t>
        </is>
      </c>
      <c r="BB281" t="inlineStr">
        <is>
          <t>9780823038626</t>
        </is>
      </c>
      <c r="BC281" t="inlineStr">
        <is>
          <t>32285001033595</t>
        </is>
      </c>
      <c r="BD281" t="inlineStr">
        <is>
          <t>893527733</t>
        </is>
      </c>
    </row>
    <row r="282">
      <c r="A282" t="inlineStr">
        <is>
          <t>No</t>
        </is>
      </c>
      <c r="B282" t="inlineStr">
        <is>
          <t>ND237.P65 P48 1976</t>
        </is>
      </c>
      <c r="C282" t="inlineStr">
        <is>
          <t>0                      ND 0237000P  65                 P  48          1976</t>
        </is>
      </c>
      <c r="D282" t="inlineStr">
        <is>
          <t>Horace Pippin : the Phillips Collection, Washington, D.C., Feb. 25-March 27, 1977, Terry Dintenfass Gallery, New York, N.Y., April 5-April 30, 1977, Brandywine River Museum, Chadds Ford, Pa., June 4-Sept. 5, 1977 / with an essay by Romare Bearden.</t>
        </is>
      </c>
      <c r="F282" t="inlineStr">
        <is>
          <t>No</t>
        </is>
      </c>
      <c r="G282" t="inlineStr">
        <is>
          <t>1</t>
        </is>
      </c>
      <c r="H282" t="inlineStr">
        <is>
          <t>No</t>
        </is>
      </c>
      <c r="I282" t="inlineStr">
        <is>
          <t>No</t>
        </is>
      </c>
      <c r="J282" t="inlineStr">
        <is>
          <t>0</t>
        </is>
      </c>
      <c r="K282" t="inlineStr">
        <is>
          <t>Pippin, Horace, 1888-1946.</t>
        </is>
      </c>
      <c r="L282" t="inlineStr">
        <is>
          <t>Washington : [Phillips Collection], c1976.</t>
        </is>
      </c>
      <c r="M282" t="inlineStr">
        <is>
          <t>1976</t>
        </is>
      </c>
      <c r="O282" t="inlineStr">
        <is>
          <t>eng</t>
        </is>
      </c>
      <c r="P282" t="inlineStr">
        <is>
          <t>dcu</t>
        </is>
      </c>
      <c r="R282" t="inlineStr">
        <is>
          <t xml:space="preserve">ND </t>
        </is>
      </c>
      <c r="S282" t="n">
        <v>3</v>
      </c>
      <c r="T282" t="n">
        <v>3</v>
      </c>
      <c r="U282" t="inlineStr">
        <is>
          <t>1999-07-26</t>
        </is>
      </c>
      <c r="V282" t="inlineStr">
        <is>
          <t>1999-07-26</t>
        </is>
      </c>
      <c r="W282" t="inlineStr">
        <is>
          <t>1993-05-21</t>
        </is>
      </c>
      <c r="X282" t="inlineStr">
        <is>
          <t>1993-05-21</t>
        </is>
      </c>
      <c r="Y282" t="n">
        <v>469</v>
      </c>
      <c r="Z282" t="n">
        <v>459</v>
      </c>
      <c r="AA282" t="n">
        <v>459</v>
      </c>
      <c r="AB282" t="n">
        <v>2</v>
      </c>
      <c r="AC282" t="n">
        <v>2</v>
      </c>
      <c r="AD282" t="n">
        <v>12</v>
      </c>
      <c r="AE282" t="n">
        <v>12</v>
      </c>
      <c r="AF282" t="n">
        <v>8</v>
      </c>
      <c r="AG282" t="n">
        <v>8</v>
      </c>
      <c r="AH282" t="n">
        <v>4</v>
      </c>
      <c r="AI282" t="n">
        <v>4</v>
      </c>
      <c r="AJ282" t="n">
        <v>4</v>
      </c>
      <c r="AK282" t="n">
        <v>4</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HYPERLINK("https://creighton-primo.hosted.exlibrisgroup.com/primo-explore/search?tab=default_tab&amp;search_scope=EVERYTHING&amp;vid=01CRU&amp;lang=en_US&amp;offset=0&amp;query=any,contains,991004359719702656","Catalog Record")</f>
        <v/>
      </c>
      <c r="AT282">
        <f>HYPERLINK("http://www.worldcat.org/oclc/3160983","WorldCat Record")</f>
        <v/>
      </c>
      <c r="AU282" t="inlineStr">
        <is>
          <t>3858366685:eng</t>
        </is>
      </c>
      <c r="AV282" t="inlineStr">
        <is>
          <t>3160983</t>
        </is>
      </c>
      <c r="AW282" t="inlineStr">
        <is>
          <t>991004359719702656</t>
        </is>
      </c>
      <c r="AX282" t="inlineStr">
        <is>
          <t>991004359719702656</t>
        </is>
      </c>
      <c r="AY282" t="inlineStr">
        <is>
          <t>2266500740002656</t>
        </is>
      </c>
      <c r="AZ282" t="inlineStr">
        <is>
          <t>BOOK</t>
        </is>
      </c>
      <c r="BC282" t="inlineStr">
        <is>
          <t>32285001691376</t>
        </is>
      </c>
      <c r="BD282" t="inlineStr">
        <is>
          <t>893901150</t>
        </is>
      </c>
    </row>
    <row r="283">
      <c r="A283" t="inlineStr">
        <is>
          <t>No</t>
        </is>
      </c>
      <c r="B283" t="inlineStr">
        <is>
          <t>ND237.P73 N34 1991</t>
        </is>
      </c>
      <c r="C283" t="inlineStr">
        <is>
          <t>0                      ND 0237000P  73                 N  34          1991</t>
        </is>
      </c>
      <c r="D283" t="inlineStr">
        <is>
          <t>Jackson Pollock : an American saga / by Steven Naifeh and Gregory White Smith.</t>
        </is>
      </c>
      <c r="F283" t="inlineStr">
        <is>
          <t>No</t>
        </is>
      </c>
      <c r="G283" t="inlineStr">
        <is>
          <t>1</t>
        </is>
      </c>
      <c r="H283" t="inlineStr">
        <is>
          <t>No</t>
        </is>
      </c>
      <c r="I283" t="inlineStr">
        <is>
          <t>No</t>
        </is>
      </c>
      <c r="J283" t="inlineStr">
        <is>
          <t>0</t>
        </is>
      </c>
      <c r="K283" t="inlineStr">
        <is>
          <t>Naifeh, Steven, 1952-</t>
        </is>
      </c>
      <c r="L283" t="inlineStr">
        <is>
          <t>New York, NY : HarperPerennial, 1991.</t>
        </is>
      </c>
      <c r="M283" t="inlineStr">
        <is>
          <t>1991</t>
        </is>
      </c>
      <c r="N283" t="inlineStr">
        <is>
          <t>1st HarperPerennial ed.</t>
        </is>
      </c>
      <c r="O283" t="inlineStr">
        <is>
          <t>eng</t>
        </is>
      </c>
      <c r="P283" t="inlineStr">
        <is>
          <t>nyu</t>
        </is>
      </c>
      <c r="R283" t="inlineStr">
        <is>
          <t xml:space="preserve">ND </t>
        </is>
      </c>
      <c r="S283" t="n">
        <v>18</v>
      </c>
      <c r="T283" t="n">
        <v>18</v>
      </c>
      <c r="U283" t="inlineStr">
        <is>
          <t>2009-06-04</t>
        </is>
      </c>
      <c r="V283" t="inlineStr">
        <is>
          <t>2009-06-04</t>
        </is>
      </c>
      <c r="W283" t="inlineStr">
        <is>
          <t>1995-02-13</t>
        </is>
      </c>
      <c r="X283" t="inlineStr">
        <is>
          <t>1995-02-13</t>
        </is>
      </c>
      <c r="Y283" t="n">
        <v>223</v>
      </c>
      <c r="Z283" t="n">
        <v>212</v>
      </c>
      <c r="AA283" t="n">
        <v>1563</v>
      </c>
      <c r="AB283" t="n">
        <v>2</v>
      </c>
      <c r="AC283" t="n">
        <v>12</v>
      </c>
      <c r="AD283" t="n">
        <v>7</v>
      </c>
      <c r="AE283" t="n">
        <v>35</v>
      </c>
      <c r="AF283" t="n">
        <v>2</v>
      </c>
      <c r="AG283" t="n">
        <v>16</v>
      </c>
      <c r="AH283" t="n">
        <v>3</v>
      </c>
      <c r="AI283" t="n">
        <v>8</v>
      </c>
      <c r="AJ283" t="n">
        <v>4</v>
      </c>
      <c r="AK283" t="n">
        <v>18</v>
      </c>
      <c r="AL283" t="n">
        <v>1</v>
      </c>
      <c r="AM283" t="n">
        <v>4</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HYPERLINK("https://creighton-primo.hosted.exlibrisgroup.com/primo-explore/search?tab=default_tab&amp;search_scope=EVERYTHING&amp;vid=01CRU&amp;lang=en_US&amp;offset=0&amp;query=any,contains,991001788459702656","Catalog Record")</f>
        <v/>
      </c>
      <c r="AT283">
        <f>HYPERLINK("http://www.worldcat.org/oclc/22511131","WorldCat Record")</f>
        <v/>
      </c>
      <c r="AU283" t="inlineStr">
        <is>
          <t>34017366:eng</t>
        </is>
      </c>
      <c r="AV283" t="inlineStr">
        <is>
          <t>22511131</t>
        </is>
      </c>
      <c r="AW283" t="inlineStr">
        <is>
          <t>991001788459702656</t>
        </is>
      </c>
      <c r="AX283" t="inlineStr">
        <is>
          <t>991001788459702656</t>
        </is>
      </c>
      <c r="AY283" t="inlineStr">
        <is>
          <t>2268323850002656</t>
        </is>
      </c>
      <c r="AZ283" t="inlineStr">
        <is>
          <t>BOOK</t>
        </is>
      </c>
      <c r="BB283" t="inlineStr">
        <is>
          <t>9780060973674</t>
        </is>
      </c>
      <c r="BC283" t="inlineStr">
        <is>
          <t>32285001998342</t>
        </is>
      </c>
      <c r="BD283" t="inlineStr">
        <is>
          <t>893621626</t>
        </is>
      </c>
    </row>
    <row r="284">
      <c r="A284" t="inlineStr">
        <is>
          <t>No</t>
        </is>
      </c>
      <c r="B284" t="inlineStr">
        <is>
          <t>ND237.P85 A4 1990</t>
        </is>
      </c>
      <c r="C284" t="inlineStr">
        <is>
          <t>0                      ND 0237000P  85                 A  4           1990</t>
        </is>
      </c>
      <c r="D284" t="inlineStr">
        <is>
          <t>Maurice Prendergast / Nancy Mowll Mathews.</t>
        </is>
      </c>
      <c r="F284" t="inlineStr">
        <is>
          <t>No</t>
        </is>
      </c>
      <c r="G284" t="inlineStr">
        <is>
          <t>1</t>
        </is>
      </c>
      <c r="H284" t="inlineStr">
        <is>
          <t>No</t>
        </is>
      </c>
      <c r="I284" t="inlineStr">
        <is>
          <t>No</t>
        </is>
      </c>
      <c r="J284" t="inlineStr">
        <is>
          <t>0</t>
        </is>
      </c>
      <c r="K284" t="inlineStr">
        <is>
          <t>Mathews, Nancy Mowll.</t>
        </is>
      </c>
      <c r="L284" t="inlineStr">
        <is>
          <t>Munich : Prestel ; Williamstown, Mass. : Williams College Museum of Art ; New York, NY, USA : Distributed in the USA and Canada by teNeues Pub. Co., c1990.</t>
        </is>
      </c>
      <c r="M284" t="inlineStr">
        <is>
          <t>1990</t>
        </is>
      </c>
      <c r="O284" t="inlineStr">
        <is>
          <t>eng</t>
        </is>
      </c>
      <c r="P284" t="inlineStr">
        <is>
          <t xml:space="preserve">gw </t>
        </is>
      </c>
      <c r="R284" t="inlineStr">
        <is>
          <t xml:space="preserve">ND </t>
        </is>
      </c>
      <c r="S284" t="n">
        <v>3</v>
      </c>
      <c r="T284" t="n">
        <v>3</v>
      </c>
      <c r="U284" t="inlineStr">
        <is>
          <t>2003-04-09</t>
        </is>
      </c>
      <c r="V284" t="inlineStr">
        <is>
          <t>2003-04-09</t>
        </is>
      </c>
      <c r="W284" t="inlineStr">
        <is>
          <t>1992-09-05</t>
        </is>
      </c>
      <c r="X284" t="inlineStr">
        <is>
          <t>1992-09-05</t>
        </is>
      </c>
      <c r="Y284" t="n">
        <v>820</v>
      </c>
      <c r="Z284" t="n">
        <v>722</v>
      </c>
      <c r="AA284" t="n">
        <v>726</v>
      </c>
      <c r="AB284" t="n">
        <v>4</v>
      </c>
      <c r="AC284" t="n">
        <v>4</v>
      </c>
      <c r="AD284" t="n">
        <v>22</v>
      </c>
      <c r="AE284" t="n">
        <v>22</v>
      </c>
      <c r="AF284" t="n">
        <v>8</v>
      </c>
      <c r="AG284" t="n">
        <v>8</v>
      </c>
      <c r="AH284" t="n">
        <v>6</v>
      </c>
      <c r="AI284" t="n">
        <v>6</v>
      </c>
      <c r="AJ284" t="n">
        <v>10</v>
      </c>
      <c r="AK284" t="n">
        <v>10</v>
      </c>
      <c r="AL284" t="n">
        <v>3</v>
      </c>
      <c r="AM284" t="n">
        <v>3</v>
      </c>
      <c r="AN284" t="n">
        <v>0</v>
      </c>
      <c r="AO284" t="n">
        <v>0</v>
      </c>
      <c r="AP284" t="inlineStr">
        <is>
          <t>No</t>
        </is>
      </c>
      <c r="AQ284" t="inlineStr">
        <is>
          <t>Yes</t>
        </is>
      </c>
      <c r="AR284">
        <f>HYPERLINK("http://catalog.hathitrust.org/Record/002235151","HathiTrust Record")</f>
        <v/>
      </c>
      <c r="AS284">
        <f>HYPERLINK("https://creighton-primo.hosted.exlibrisgroup.com/primo-explore/search?tab=default_tab&amp;search_scope=EVERYTHING&amp;vid=01CRU&amp;lang=en_US&amp;offset=0&amp;query=any,contains,991001667569702656","Catalog Record")</f>
        <v/>
      </c>
      <c r="AT284">
        <f>HYPERLINK("http://www.worldcat.org/oclc/21228605","WorldCat Record")</f>
        <v/>
      </c>
      <c r="AU284" t="inlineStr">
        <is>
          <t>4916974337:eng</t>
        </is>
      </c>
      <c r="AV284" t="inlineStr">
        <is>
          <t>21228605</t>
        </is>
      </c>
      <c r="AW284" t="inlineStr">
        <is>
          <t>991001667569702656</t>
        </is>
      </c>
      <c r="AX284" t="inlineStr">
        <is>
          <t>991001667569702656</t>
        </is>
      </c>
      <c r="AY284" t="inlineStr">
        <is>
          <t>2267422240002656</t>
        </is>
      </c>
      <c r="AZ284" t="inlineStr">
        <is>
          <t>BOOK</t>
        </is>
      </c>
      <c r="BB284" t="inlineStr">
        <is>
          <t>9783791309668</t>
        </is>
      </c>
      <c r="BC284" t="inlineStr">
        <is>
          <t>32285001286276</t>
        </is>
      </c>
      <c r="BD284" t="inlineStr">
        <is>
          <t>893509800</t>
        </is>
      </c>
    </row>
    <row r="285">
      <c r="A285" t="inlineStr">
        <is>
          <t>No</t>
        </is>
      </c>
      <c r="B285" t="inlineStr">
        <is>
          <t>ND237.R36 A4 1994</t>
        </is>
      </c>
      <c r="C285" t="inlineStr">
        <is>
          <t>0                      ND 0237000R  36                 A  4           1994</t>
        </is>
      </c>
      <c r="D285" t="inlineStr">
        <is>
          <t>Remington &amp; Russell : the Sid Richardson collection / by Brian W. Dippie.</t>
        </is>
      </c>
      <c r="F285" t="inlineStr">
        <is>
          <t>No</t>
        </is>
      </c>
      <c r="G285" t="inlineStr">
        <is>
          <t>1</t>
        </is>
      </c>
      <c r="H285" t="inlineStr">
        <is>
          <t>No</t>
        </is>
      </c>
      <c r="I285" t="inlineStr">
        <is>
          <t>No</t>
        </is>
      </c>
      <c r="J285" t="inlineStr">
        <is>
          <t>0</t>
        </is>
      </c>
      <c r="K285" t="inlineStr">
        <is>
          <t>Dippie, Brian W.</t>
        </is>
      </c>
      <c r="L285" t="inlineStr">
        <is>
          <t>Austin : University of Texas Press, 1994.</t>
        </is>
      </c>
      <c r="M285" t="inlineStr">
        <is>
          <t>1994</t>
        </is>
      </c>
      <c r="N285" t="inlineStr">
        <is>
          <t>Rev. ed.</t>
        </is>
      </c>
      <c r="O285" t="inlineStr">
        <is>
          <t>eng</t>
        </is>
      </c>
      <c r="P285" t="inlineStr">
        <is>
          <t>txu</t>
        </is>
      </c>
      <c r="R285" t="inlineStr">
        <is>
          <t xml:space="preserve">ND </t>
        </is>
      </c>
      <c r="S285" t="n">
        <v>2</v>
      </c>
      <c r="T285" t="n">
        <v>2</v>
      </c>
      <c r="U285" t="inlineStr">
        <is>
          <t>2007-11-20</t>
        </is>
      </c>
      <c r="V285" t="inlineStr">
        <is>
          <t>2007-11-20</t>
        </is>
      </c>
      <c r="W285" t="inlineStr">
        <is>
          <t>2005-08-22</t>
        </is>
      </c>
      <c r="X285" t="inlineStr">
        <is>
          <t>2005-08-22</t>
        </is>
      </c>
      <c r="Y285" t="n">
        <v>498</v>
      </c>
      <c r="Z285" t="n">
        <v>486</v>
      </c>
      <c r="AA285" t="n">
        <v>490</v>
      </c>
      <c r="AB285" t="n">
        <v>4</v>
      </c>
      <c r="AC285" t="n">
        <v>4</v>
      </c>
      <c r="AD285" t="n">
        <v>8</v>
      </c>
      <c r="AE285" t="n">
        <v>8</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HYPERLINK("http://catalog.hathitrust.org/Record/003164865","HathiTrust Record")</f>
        <v/>
      </c>
      <c r="AS285">
        <f>HYPERLINK("https://creighton-primo.hosted.exlibrisgroup.com/primo-explore/search?tab=default_tab&amp;search_scope=EVERYTHING&amp;vid=01CRU&amp;lang=en_US&amp;offset=0&amp;query=any,contains,991004632589702656","Catalog Record")</f>
        <v/>
      </c>
      <c r="AT285">
        <f>HYPERLINK("http://www.worldcat.org/oclc/28550119","WorldCat Record")</f>
        <v/>
      </c>
      <c r="AU285" t="inlineStr">
        <is>
          <t>2070238033:eng</t>
        </is>
      </c>
      <c r="AV285" t="inlineStr">
        <is>
          <t>28550119</t>
        </is>
      </c>
      <c r="AW285" t="inlineStr">
        <is>
          <t>991004632589702656</t>
        </is>
      </c>
      <c r="AX285" t="inlineStr">
        <is>
          <t>991004632589702656</t>
        </is>
      </c>
      <c r="AY285" t="inlineStr">
        <is>
          <t>2272350460002656</t>
        </is>
      </c>
      <c r="AZ285" t="inlineStr">
        <is>
          <t>BOOK</t>
        </is>
      </c>
      <c r="BB285" t="inlineStr">
        <is>
          <t>9780292715684</t>
        </is>
      </c>
      <c r="BC285" t="inlineStr">
        <is>
          <t>32285005081723</t>
        </is>
      </c>
      <c r="BD285" t="inlineStr">
        <is>
          <t>893442844</t>
        </is>
      </c>
    </row>
    <row r="286">
      <c r="A286" t="inlineStr">
        <is>
          <t>No</t>
        </is>
      </c>
      <c r="B286" t="inlineStr">
        <is>
          <t>ND237.R36 M3</t>
        </is>
      </c>
      <c r="C286" t="inlineStr">
        <is>
          <t>0                      ND 0237000R  36                 M  3</t>
        </is>
      </c>
      <c r="D286" t="inlineStr">
        <is>
          <t>Frederic Remington, artist of the Old West : with a bibliographical check list of Remington pictures and books / Introd. by James Chillman, Jr.</t>
        </is>
      </c>
      <c r="F286" t="inlineStr">
        <is>
          <t>No</t>
        </is>
      </c>
      <c r="G286" t="inlineStr">
        <is>
          <t>1</t>
        </is>
      </c>
      <c r="H286" t="inlineStr">
        <is>
          <t>No</t>
        </is>
      </c>
      <c r="I286" t="inlineStr">
        <is>
          <t>No</t>
        </is>
      </c>
      <c r="J286" t="inlineStr">
        <is>
          <t>0</t>
        </is>
      </c>
      <c r="K286" t="inlineStr">
        <is>
          <t>McCracken, Harold, 1894-1983.</t>
        </is>
      </c>
      <c r="L286" t="inlineStr">
        <is>
          <t>Philadelphia : J.B. Lippincott Co., [1947]</t>
        </is>
      </c>
      <c r="M286" t="inlineStr">
        <is>
          <t>1947</t>
        </is>
      </c>
      <c r="N286" t="inlineStr">
        <is>
          <t>[1st ed.]</t>
        </is>
      </c>
      <c r="O286" t="inlineStr">
        <is>
          <t>eng</t>
        </is>
      </c>
      <c r="P286" t="inlineStr">
        <is>
          <t>pau</t>
        </is>
      </c>
      <c r="R286" t="inlineStr">
        <is>
          <t xml:space="preserve">ND </t>
        </is>
      </c>
      <c r="S286" t="n">
        <v>6</v>
      </c>
      <c r="T286" t="n">
        <v>6</v>
      </c>
      <c r="U286" t="inlineStr">
        <is>
          <t>1999-05-04</t>
        </is>
      </c>
      <c r="V286" t="inlineStr">
        <is>
          <t>1999-05-04</t>
        </is>
      </c>
      <c r="W286" t="inlineStr">
        <is>
          <t>1994-03-11</t>
        </is>
      </c>
      <c r="X286" t="inlineStr">
        <is>
          <t>1994-03-11</t>
        </is>
      </c>
      <c r="Y286" t="n">
        <v>743</v>
      </c>
      <c r="Z286" t="n">
        <v>723</v>
      </c>
      <c r="AA286" t="n">
        <v>838</v>
      </c>
      <c r="AB286" t="n">
        <v>7</v>
      </c>
      <c r="AC286" t="n">
        <v>7</v>
      </c>
      <c r="AD286" t="n">
        <v>22</v>
      </c>
      <c r="AE286" t="n">
        <v>23</v>
      </c>
      <c r="AF286" t="n">
        <v>8</v>
      </c>
      <c r="AG286" t="n">
        <v>9</v>
      </c>
      <c r="AH286" t="n">
        <v>5</v>
      </c>
      <c r="AI286" t="n">
        <v>5</v>
      </c>
      <c r="AJ286" t="n">
        <v>11</v>
      </c>
      <c r="AK286" t="n">
        <v>11</v>
      </c>
      <c r="AL286" t="n">
        <v>3</v>
      </c>
      <c r="AM286" t="n">
        <v>3</v>
      </c>
      <c r="AN286" t="n">
        <v>0</v>
      </c>
      <c r="AO286" t="n">
        <v>0</v>
      </c>
      <c r="AP286" t="inlineStr">
        <is>
          <t>No</t>
        </is>
      </c>
      <c r="AQ286" t="inlineStr">
        <is>
          <t>Yes</t>
        </is>
      </c>
      <c r="AR286">
        <f>HYPERLINK("http://catalog.hathitrust.org/Record/000369936","HathiTrust Record")</f>
        <v/>
      </c>
      <c r="AS286">
        <f>HYPERLINK("https://creighton-primo.hosted.exlibrisgroup.com/primo-explore/search?tab=default_tab&amp;search_scope=EVERYTHING&amp;vid=01CRU&amp;lang=en_US&amp;offset=0&amp;query=any,contains,991004946409702656","Catalog Record")</f>
        <v/>
      </c>
      <c r="AT286">
        <f>HYPERLINK("http://www.worldcat.org/oclc/6217171","WorldCat Record")</f>
        <v/>
      </c>
      <c r="AU286" t="inlineStr">
        <is>
          <t>21355807:eng</t>
        </is>
      </c>
      <c r="AV286" t="inlineStr">
        <is>
          <t>6217171</t>
        </is>
      </c>
      <c r="AW286" t="inlineStr">
        <is>
          <t>991004946409702656</t>
        </is>
      </c>
      <c r="AX286" t="inlineStr">
        <is>
          <t>991004946409702656</t>
        </is>
      </c>
      <c r="AY286" t="inlineStr">
        <is>
          <t>2262051130002656</t>
        </is>
      </c>
      <c r="AZ286" t="inlineStr">
        <is>
          <t>BOOK</t>
        </is>
      </c>
      <c r="BC286" t="inlineStr">
        <is>
          <t>32285001853018</t>
        </is>
      </c>
      <c r="BD286" t="inlineStr">
        <is>
          <t>893418183</t>
        </is>
      </c>
    </row>
    <row r="287">
      <c r="A287" t="inlineStr">
        <is>
          <t>No</t>
        </is>
      </c>
      <c r="B287" t="inlineStr">
        <is>
          <t>ND237.R36 M32 1966</t>
        </is>
      </c>
      <c r="C287" t="inlineStr">
        <is>
          <t>0                      ND 0237000R  36                 M  32          1966</t>
        </is>
      </c>
      <c r="D287" t="inlineStr">
        <is>
          <t>The Frederic Remington book : a pictorial history of the West / Harold McCracken.</t>
        </is>
      </c>
      <c r="F287" t="inlineStr">
        <is>
          <t>No</t>
        </is>
      </c>
      <c r="G287" t="inlineStr">
        <is>
          <t>1</t>
        </is>
      </c>
      <c r="H287" t="inlineStr">
        <is>
          <t>No</t>
        </is>
      </c>
      <c r="I287" t="inlineStr">
        <is>
          <t>No</t>
        </is>
      </c>
      <c r="J287" t="inlineStr">
        <is>
          <t>0</t>
        </is>
      </c>
      <c r="K287" t="inlineStr">
        <is>
          <t>McCracken, Harold, 1894-1983.</t>
        </is>
      </c>
      <c r="L287" t="inlineStr">
        <is>
          <t>Garden City, N.Y. : Doubleday, 1966.</t>
        </is>
      </c>
      <c r="M287" t="inlineStr">
        <is>
          <t>1966</t>
        </is>
      </c>
      <c r="N287" t="inlineStr">
        <is>
          <t>[1st ed.]</t>
        </is>
      </c>
      <c r="O287" t="inlineStr">
        <is>
          <t>eng</t>
        </is>
      </c>
      <c r="P287" t="inlineStr">
        <is>
          <t>nyu</t>
        </is>
      </c>
      <c r="R287" t="inlineStr">
        <is>
          <t xml:space="preserve">ND </t>
        </is>
      </c>
      <c r="S287" t="n">
        <v>3</v>
      </c>
      <c r="T287" t="n">
        <v>3</v>
      </c>
      <c r="U287" t="inlineStr">
        <is>
          <t>1999-04-01</t>
        </is>
      </c>
      <c r="V287" t="inlineStr">
        <is>
          <t>1999-04-01</t>
        </is>
      </c>
      <c r="W287" t="inlineStr">
        <is>
          <t>1998-12-03</t>
        </is>
      </c>
      <c r="X287" t="inlineStr">
        <is>
          <t>1998-12-03</t>
        </is>
      </c>
      <c r="Y287" t="n">
        <v>1103</v>
      </c>
      <c r="Z287" t="n">
        <v>1033</v>
      </c>
      <c r="AA287" t="n">
        <v>1039</v>
      </c>
      <c r="AB287" t="n">
        <v>8</v>
      </c>
      <c r="AC287" t="n">
        <v>8</v>
      </c>
      <c r="AD287" t="n">
        <v>20</v>
      </c>
      <c r="AE287" t="n">
        <v>20</v>
      </c>
      <c r="AF287" t="n">
        <v>7</v>
      </c>
      <c r="AG287" t="n">
        <v>7</v>
      </c>
      <c r="AH287" t="n">
        <v>3</v>
      </c>
      <c r="AI287" t="n">
        <v>3</v>
      </c>
      <c r="AJ287" t="n">
        <v>11</v>
      </c>
      <c r="AK287" t="n">
        <v>11</v>
      </c>
      <c r="AL287" t="n">
        <v>3</v>
      </c>
      <c r="AM287" t="n">
        <v>3</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HYPERLINK("https://creighton-primo.hosted.exlibrisgroup.com/primo-explore/search?tab=default_tab&amp;search_scope=EVERYTHING&amp;vid=01CRU&amp;lang=en_US&amp;offset=0&amp;query=any,contains,991003395129702656","Catalog Record")</f>
        <v/>
      </c>
      <c r="AT287">
        <f>HYPERLINK("http://www.worldcat.org/oclc/934119","WorldCat Record")</f>
        <v/>
      </c>
      <c r="AU287" t="inlineStr">
        <is>
          <t>196075643:eng</t>
        </is>
      </c>
      <c r="AV287" t="inlineStr">
        <is>
          <t>934119</t>
        </is>
      </c>
      <c r="AW287" t="inlineStr">
        <is>
          <t>991003395129702656</t>
        </is>
      </c>
      <c r="AX287" t="inlineStr">
        <is>
          <t>991003395129702656</t>
        </is>
      </c>
      <c r="AY287" t="inlineStr">
        <is>
          <t>2269697740002656</t>
        </is>
      </c>
      <c r="AZ287" t="inlineStr">
        <is>
          <t>BOOK</t>
        </is>
      </c>
      <c r="BC287" t="inlineStr">
        <is>
          <t>32285003493284</t>
        </is>
      </c>
      <c r="BD287" t="inlineStr">
        <is>
          <t>893604759</t>
        </is>
      </c>
    </row>
    <row r="288">
      <c r="A288" t="inlineStr">
        <is>
          <t>No</t>
        </is>
      </c>
      <c r="B288" t="inlineStr">
        <is>
          <t>ND237.R68 A4 1979</t>
        </is>
      </c>
      <c r="C288" t="inlineStr">
        <is>
          <t>0                      ND 0237000R  68                 A  4           1979</t>
        </is>
      </c>
      <c r="D288" t="inlineStr">
        <is>
          <t>Rockwell on Rockwell : how I make a picture / by Norman Rockwell.</t>
        </is>
      </c>
      <c r="F288" t="inlineStr">
        <is>
          <t>No</t>
        </is>
      </c>
      <c r="G288" t="inlineStr">
        <is>
          <t>1</t>
        </is>
      </c>
      <c r="H288" t="inlineStr">
        <is>
          <t>No</t>
        </is>
      </c>
      <c r="I288" t="inlineStr">
        <is>
          <t>No</t>
        </is>
      </c>
      <c r="J288" t="inlineStr">
        <is>
          <t>0</t>
        </is>
      </c>
      <c r="K288" t="inlineStr">
        <is>
          <t>Rockwell, Norman, 1894-1978.</t>
        </is>
      </c>
      <c r="L288" t="inlineStr">
        <is>
          <t>New York : Watson-Guptill Publications, 1979.</t>
        </is>
      </c>
      <c r="M288" t="inlineStr">
        <is>
          <t>1979</t>
        </is>
      </c>
      <c r="O288" t="inlineStr">
        <is>
          <t>eng</t>
        </is>
      </c>
      <c r="P288" t="inlineStr">
        <is>
          <t>nyu</t>
        </is>
      </c>
      <c r="R288" t="inlineStr">
        <is>
          <t xml:space="preserve">ND </t>
        </is>
      </c>
      <c r="S288" t="n">
        <v>10</v>
      </c>
      <c r="T288" t="n">
        <v>10</v>
      </c>
      <c r="U288" t="inlineStr">
        <is>
          <t>2001-02-19</t>
        </is>
      </c>
      <c r="V288" t="inlineStr">
        <is>
          <t>2001-02-19</t>
        </is>
      </c>
      <c r="W288" t="inlineStr">
        <is>
          <t>1990-07-11</t>
        </is>
      </c>
      <c r="X288" t="inlineStr">
        <is>
          <t>1990-07-11</t>
        </is>
      </c>
      <c r="Y288" t="n">
        <v>466</v>
      </c>
      <c r="Z288" t="n">
        <v>440</v>
      </c>
      <c r="AA288" t="n">
        <v>441</v>
      </c>
      <c r="AB288" t="n">
        <v>6</v>
      </c>
      <c r="AC288" t="n">
        <v>6</v>
      </c>
      <c r="AD288" t="n">
        <v>6</v>
      </c>
      <c r="AE288" t="n">
        <v>6</v>
      </c>
      <c r="AF288" t="n">
        <v>2</v>
      </c>
      <c r="AG288" t="n">
        <v>2</v>
      </c>
      <c r="AH288" t="n">
        <v>1</v>
      </c>
      <c r="AI288" t="n">
        <v>1</v>
      </c>
      <c r="AJ288" t="n">
        <v>2</v>
      </c>
      <c r="AK288" t="n">
        <v>2</v>
      </c>
      <c r="AL288" t="n">
        <v>2</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HYPERLINK("https://creighton-primo.hosted.exlibrisgroup.com/primo-explore/search?tab=default_tab&amp;search_scope=EVERYTHING&amp;vid=01CRU&amp;lang=en_US&amp;offset=0&amp;query=any,contains,991004783269702656","Catalog Record")</f>
        <v/>
      </c>
      <c r="AT288">
        <f>HYPERLINK("http://www.worldcat.org/oclc/5126214","WorldCat Record")</f>
        <v/>
      </c>
      <c r="AU288" t="inlineStr">
        <is>
          <t>16532260:eng</t>
        </is>
      </c>
      <c r="AV288" t="inlineStr">
        <is>
          <t>5126214</t>
        </is>
      </c>
      <c r="AW288" t="inlineStr">
        <is>
          <t>991004783269702656</t>
        </is>
      </c>
      <c r="AX288" t="inlineStr">
        <is>
          <t>991004783269702656</t>
        </is>
      </c>
      <c r="AY288" t="inlineStr">
        <is>
          <t>2267896740002656</t>
        </is>
      </c>
      <c r="AZ288" t="inlineStr">
        <is>
          <t>BOOK</t>
        </is>
      </c>
      <c r="BC288" t="inlineStr">
        <is>
          <t>32285000223924</t>
        </is>
      </c>
      <c r="BD288" t="inlineStr">
        <is>
          <t>893443053</t>
        </is>
      </c>
    </row>
    <row r="289">
      <c r="A289" t="inlineStr">
        <is>
          <t>No</t>
        </is>
      </c>
      <c r="B289" t="inlineStr">
        <is>
          <t>ND237.R68 B38 1980</t>
        </is>
      </c>
      <c r="C289" t="inlineStr">
        <is>
          <t>0                      ND 0237000R  68                 B  38          1980</t>
        </is>
      </c>
      <c r="D289" t="inlineStr">
        <is>
          <t>The faith of America / illustrated by Norman Rockwell ; text by Fred Bauer.</t>
        </is>
      </c>
      <c r="F289" t="inlineStr">
        <is>
          <t>No</t>
        </is>
      </c>
      <c r="G289" t="inlineStr">
        <is>
          <t>1</t>
        </is>
      </c>
      <c r="H289" t="inlineStr">
        <is>
          <t>No</t>
        </is>
      </c>
      <c r="I289" t="inlineStr">
        <is>
          <t>No</t>
        </is>
      </c>
      <c r="J289" t="inlineStr">
        <is>
          <t>0</t>
        </is>
      </c>
      <c r="K289" t="inlineStr">
        <is>
          <t>Rockwell, Norman, 1894-1978.</t>
        </is>
      </c>
      <c r="L289" t="inlineStr">
        <is>
          <t>Carmel, N.Y. : Guideposts, c1980.</t>
        </is>
      </c>
      <c r="M289" t="inlineStr">
        <is>
          <t>1980</t>
        </is>
      </c>
      <c r="O289" t="inlineStr">
        <is>
          <t>eng</t>
        </is>
      </c>
      <c r="P289" t="inlineStr">
        <is>
          <t>nyu</t>
        </is>
      </c>
      <c r="R289" t="inlineStr">
        <is>
          <t xml:space="preserve">ND </t>
        </is>
      </c>
      <c r="S289" t="n">
        <v>8</v>
      </c>
      <c r="T289" t="n">
        <v>8</v>
      </c>
      <c r="U289" t="inlineStr">
        <is>
          <t>2010-03-02</t>
        </is>
      </c>
      <c r="V289" t="inlineStr">
        <is>
          <t>2010-03-02</t>
        </is>
      </c>
      <c r="W289" t="inlineStr">
        <is>
          <t>1994-06-20</t>
        </is>
      </c>
      <c r="X289" t="inlineStr">
        <is>
          <t>1994-06-20</t>
        </is>
      </c>
      <c r="Y289" t="n">
        <v>303</v>
      </c>
      <c r="Z289" t="n">
        <v>302</v>
      </c>
      <c r="AA289" t="n">
        <v>611</v>
      </c>
      <c r="AB289" t="n">
        <v>6</v>
      </c>
      <c r="AC289" t="n">
        <v>9</v>
      </c>
      <c r="AD289" t="n">
        <v>4</v>
      </c>
      <c r="AE289" t="n">
        <v>9</v>
      </c>
      <c r="AF289" t="n">
        <v>3</v>
      </c>
      <c r="AG289" t="n">
        <v>4</v>
      </c>
      <c r="AH289" t="n">
        <v>0</v>
      </c>
      <c r="AI289" t="n">
        <v>2</v>
      </c>
      <c r="AJ289" t="n">
        <v>1</v>
      </c>
      <c r="AK289" t="n">
        <v>3</v>
      </c>
      <c r="AL289" t="n">
        <v>0</v>
      </c>
      <c r="AM289" t="n">
        <v>1</v>
      </c>
      <c r="AN289" t="n">
        <v>0</v>
      </c>
      <c r="AO289" t="n">
        <v>0</v>
      </c>
      <c r="AP289" t="inlineStr">
        <is>
          <t>No</t>
        </is>
      </c>
      <c r="AQ289" t="inlineStr">
        <is>
          <t>Yes</t>
        </is>
      </c>
      <c r="AR289">
        <f>HYPERLINK("http://catalog.hathitrust.org/Record/003513711","HathiTrust Record")</f>
        <v/>
      </c>
      <c r="AS289">
        <f>HYPERLINK("https://creighton-primo.hosted.exlibrisgroup.com/primo-explore/search?tab=default_tab&amp;search_scope=EVERYTHING&amp;vid=01CRU&amp;lang=en_US&amp;offset=0&amp;query=any,contains,991005209569702656","Catalog Record")</f>
        <v/>
      </c>
      <c r="AT289">
        <f>HYPERLINK("http://www.worldcat.org/oclc/8151558","WorldCat Record")</f>
        <v/>
      </c>
      <c r="AU289" t="inlineStr">
        <is>
          <t>26188943:eng</t>
        </is>
      </c>
      <c r="AV289" t="inlineStr">
        <is>
          <t>8151558</t>
        </is>
      </c>
      <c r="AW289" t="inlineStr">
        <is>
          <t>991005209569702656</t>
        </is>
      </c>
      <c r="AX289" t="inlineStr">
        <is>
          <t>991005209569702656</t>
        </is>
      </c>
      <c r="AY289" t="inlineStr">
        <is>
          <t>2268909920002656</t>
        </is>
      </c>
      <c r="AZ289" t="inlineStr">
        <is>
          <t>BOOK</t>
        </is>
      </c>
      <c r="BC289" t="inlineStr">
        <is>
          <t>32285001916443</t>
        </is>
      </c>
      <c r="BD289" t="inlineStr">
        <is>
          <t>893507783</t>
        </is>
      </c>
    </row>
    <row r="290">
      <c r="A290" t="inlineStr">
        <is>
          <t>No</t>
        </is>
      </c>
      <c r="B290" t="inlineStr">
        <is>
          <t>ND237.R68 B4</t>
        </is>
      </c>
      <c r="C290" t="inlineStr">
        <is>
          <t>0                      ND 0237000R  68                 B  4</t>
        </is>
      </c>
      <c r="D290" t="inlineStr">
        <is>
          <t>Norman Rockwell: a sixty year retrospective. With text by Thomas S. Buechner.</t>
        </is>
      </c>
      <c r="F290" t="inlineStr">
        <is>
          <t>No</t>
        </is>
      </c>
      <c r="G290" t="inlineStr">
        <is>
          <t>1</t>
        </is>
      </c>
      <c r="H290" t="inlineStr">
        <is>
          <t>No</t>
        </is>
      </c>
      <c r="I290" t="inlineStr">
        <is>
          <t>No</t>
        </is>
      </c>
      <c r="J290" t="inlineStr">
        <is>
          <t>0</t>
        </is>
      </c>
      <c r="K290" t="inlineStr">
        <is>
          <t>Rockwell, Norman, 1894-1978.</t>
        </is>
      </c>
      <c r="L290" t="inlineStr">
        <is>
          <t>New York, Abrams [1972]</t>
        </is>
      </c>
      <c r="M290" t="inlineStr">
        <is>
          <t>1972</t>
        </is>
      </c>
      <c r="O290" t="inlineStr">
        <is>
          <t>eng</t>
        </is>
      </c>
      <c r="P290" t="inlineStr">
        <is>
          <t>nyu</t>
        </is>
      </c>
      <c r="R290" t="inlineStr">
        <is>
          <t xml:space="preserve">ND </t>
        </is>
      </c>
      <c r="S290" t="n">
        <v>13</v>
      </c>
      <c r="T290" t="n">
        <v>13</v>
      </c>
      <c r="U290" t="inlineStr">
        <is>
          <t>2010-03-02</t>
        </is>
      </c>
      <c r="V290" t="inlineStr">
        <is>
          <t>2010-03-02</t>
        </is>
      </c>
      <c r="W290" t="inlineStr">
        <is>
          <t>1991-12-09</t>
        </is>
      </c>
      <c r="X290" t="inlineStr">
        <is>
          <t>1991-12-09</t>
        </is>
      </c>
      <c r="Y290" t="n">
        <v>2108</v>
      </c>
      <c r="Z290" t="n">
        <v>1954</v>
      </c>
      <c r="AA290" t="n">
        <v>2021</v>
      </c>
      <c r="AB290" t="n">
        <v>19</v>
      </c>
      <c r="AC290" t="n">
        <v>19</v>
      </c>
      <c r="AD290" t="n">
        <v>32</v>
      </c>
      <c r="AE290" t="n">
        <v>35</v>
      </c>
      <c r="AF290" t="n">
        <v>12</v>
      </c>
      <c r="AG290" t="n">
        <v>15</v>
      </c>
      <c r="AH290" t="n">
        <v>7</v>
      </c>
      <c r="AI290" t="n">
        <v>7</v>
      </c>
      <c r="AJ290" t="n">
        <v>15</v>
      </c>
      <c r="AK290" t="n">
        <v>15</v>
      </c>
      <c r="AL290" t="n">
        <v>5</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HYPERLINK("https://creighton-primo.hosted.exlibrisgroup.com/primo-explore/search?tab=default_tab&amp;search_scope=EVERYTHING&amp;vid=01CRU&amp;lang=en_US&amp;offset=0&amp;query=any,contains,991002432839702656","Catalog Record")</f>
        <v/>
      </c>
      <c r="AT290">
        <f>HYPERLINK("http://www.worldcat.org/oclc/347742","WorldCat Record")</f>
        <v/>
      </c>
      <c r="AU290" t="inlineStr">
        <is>
          <t>1946569401:eng</t>
        </is>
      </c>
      <c r="AV290" t="inlineStr">
        <is>
          <t>347742</t>
        </is>
      </c>
      <c r="AW290" t="inlineStr">
        <is>
          <t>991002432839702656</t>
        </is>
      </c>
      <c r="AX290" t="inlineStr">
        <is>
          <t>991002432839702656</t>
        </is>
      </c>
      <c r="AY290" t="inlineStr">
        <is>
          <t>2272729800002656</t>
        </is>
      </c>
      <c r="AZ290" t="inlineStr">
        <is>
          <t>BOOK</t>
        </is>
      </c>
      <c r="BB290" t="inlineStr">
        <is>
          <t>9780810920491</t>
        </is>
      </c>
      <c r="BC290" t="inlineStr">
        <is>
          <t>32285000885425</t>
        </is>
      </c>
      <c r="BD290" t="inlineStr">
        <is>
          <t>893529979</t>
        </is>
      </c>
    </row>
    <row r="291">
      <c r="A291" t="inlineStr">
        <is>
          <t>No</t>
        </is>
      </c>
      <c r="B291" t="inlineStr">
        <is>
          <t>ND237.R68 F56</t>
        </is>
      </c>
      <c r="C291" t="inlineStr">
        <is>
          <t>0                      ND 0237000R  68                 F  56</t>
        </is>
      </c>
      <c r="D291" t="inlineStr">
        <is>
          <t>Norman Rockwell's America / Christopher Finch.</t>
        </is>
      </c>
      <c r="F291" t="inlineStr">
        <is>
          <t>No</t>
        </is>
      </c>
      <c r="G291" t="inlineStr">
        <is>
          <t>1</t>
        </is>
      </c>
      <c r="H291" t="inlineStr">
        <is>
          <t>No</t>
        </is>
      </c>
      <c r="I291" t="inlineStr">
        <is>
          <t>No</t>
        </is>
      </c>
      <c r="J291" t="inlineStr">
        <is>
          <t>0</t>
        </is>
      </c>
      <c r="K291" t="inlineStr">
        <is>
          <t>Finch, Christopher.</t>
        </is>
      </c>
      <c r="L291" t="inlineStr">
        <is>
          <t>New York : H. N. Abrams, [1975]</t>
        </is>
      </c>
      <c r="M291" t="inlineStr">
        <is>
          <t>1975</t>
        </is>
      </c>
      <c r="O291" t="inlineStr">
        <is>
          <t>eng</t>
        </is>
      </c>
      <c r="P291" t="inlineStr">
        <is>
          <t>nyu</t>
        </is>
      </c>
      <c r="R291" t="inlineStr">
        <is>
          <t xml:space="preserve">ND </t>
        </is>
      </c>
      <c r="S291" t="n">
        <v>6</v>
      </c>
      <c r="T291" t="n">
        <v>6</v>
      </c>
      <c r="U291" t="inlineStr">
        <is>
          <t>2000-08-31</t>
        </is>
      </c>
      <c r="V291" t="inlineStr">
        <is>
          <t>2000-08-31</t>
        </is>
      </c>
      <c r="W291" t="inlineStr">
        <is>
          <t>1990-05-09</t>
        </is>
      </c>
      <c r="X291" t="inlineStr">
        <is>
          <t>1990-05-09</t>
        </is>
      </c>
      <c r="Y291" t="n">
        <v>1545</v>
      </c>
      <c r="Z291" t="n">
        <v>1447</v>
      </c>
      <c r="AA291" t="n">
        <v>2346</v>
      </c>
      <c r="AB291" t="n">
        <v>16</v>
      </c>
      <c r="AC291" t="n">
        <v>21</v>
      </c>
      <c r="AD291" t="n">
        <v>17</v>
      </c>
      <c r="AE291" t="n">
        <v>33</v>
      </c>
      <c r="AF291" t="n">
        <v>5</v>
      </c>
      <c r="AG291" t="n">
        <v>13</v>
      </c>
      <c r="AH291" t="n">
        <v>1</v>
      </c>
      <c r="AI291" t="n">
        <v>4</v>
      </c>
      <c r="AJ291" t="n">
        <v>5</v>
      </c>
      <c r="AK291" t="n">
        <v>13</v>
      </c>
      <c r="AL291" t="n">
        <v>6</v>
      </c>
      <c r="AM291" t="n">
        <v>9</v>
      </c>
      <c r="AN291" t="n">
        <v>0</v>
      </c>
      <c r="AO291" t="n">
        <v>0</v>
      </c>
      <c r="AP291" t="inlineStr">
        <is>
          <t>No</t>
        </is>
      </c>
      <c r="AQ291" t="inlineStr">
        <is>
          <t>Yes</t>
        </is>
      </c>
      <c r="AR291">
        <f>HYPERLINK("http://catalog.hathitrust.org/Record/000120490","HathiTrust Record")</f>
        <v/>
      </c>
      <c r="AS291">
        <f>HYPERLINK("https://creighton-primo.hosted.exlibrisgroup.com/primo-explore/search?tab=default_tab&amp;search_scope=EVERYTHING&amp;vid=01CRU&amp;lang=en_US&amp;offset=0&amp;query=any,contains,991003721319702656","Catalog Record")</f>
        <v/>
      </c>
      <c r="AT291">
        <f>HYPERLINK("http://www.worldcat.org/oclc/1366186","WorldCat Record")</f>
        <v/>
      </c>
      <c r="AU291" t="inlineStr">
        <is>
          <t>2274427:eng</t>
        </is>
      </c>
      <c r="AV291" t="inlineStr">
        <is>
          <t>1366186</t>
        </is>
      </c>
      <c r="AW291" t="inlineStr">
        <is>
          <t>991003721319702656</t>
        </is>
      </c>
      <c r="AX291" t="inlineStr">
        <is>
          <t>991003721319702656</t>
        </is>
      </c>
      <c r="AY291" t="inlineStr">
        <is>
          <t>2255296510002656</t>
        </is>
      </c>
      <c r="AZ291" t="inlineStr">
        <is>
          <t>BOOK</t>
        </is>
      </c>
      <c r="BB291" t="inlineStr">
        <is>
          <t>9780810904545</t>
        </is>
      </c>
      <c r="BC291" t="inlineStr">
        <is>
          <t>32285000139112</t>
        </is>
      </c>
      <c r="BD291" t="inlineStr">
        <is>
          <t>893531523</t>
        </is>
      </c>
    </row>
    <row r="292">
      <c r="A292" t="inlineStr">
        <is>
          <t>No</t>
        </is>
      </c>
      <c r="B292" t="inlineStr">
        <is>
          <t>ND237.R68 G8 1970</t>
        </is>
      </c>
      <c r="C292" t="inlineStr">
        <is>
          <t>0                      ND 0237000R  68                 G  8           1970</t>
        </is>
      </c>
      <c r="D292" t="inlineStr">
        <is>
          <t>Norman Rockwell, illustrator / pref. by Dorothy Canfield Fisher. Biographical introd. by Jack Alexander.</t>
        </is>
      </c>
      <c r="F292" t="inlineStr">
        <is>
          <t>No</t>
        </is>
      </c>
      <c r="G292" t="inlineStr">
        <is>
          <t>1</t>
        </is>
      </c>
      <c r="H292" t="inlineStr">
        <is>
          <t>No</t>
        </is>
      </c>
      <c r="I292" t="inlineStr">
        <is>
          <t>No</t>
        </is>
      </c>
      <c r="J292" t="inlineStr">
        <is>
          <t>0</t>
        </is>
      </c>
      <c r="K292" t="inlineStr">
        <is>
          <t>Guptill, Arthur L. (Arthur Leighton), 1891-1956.</t>
        </is>
      </c>
      <c r="L292" t="inlineStr">
        <is>
          <t>New York : Watson-Guptill Publications, [1970]</t>
        </is>
      </c>
      <c r="M292" t="inlineStr">
        <is>
          <t>1970</t>
        </is>
      </c>
      <c r="N292" t="inlineStr">
        <is>
          <t>[3d ed.]</t>
        </is>
      </c>
      <c r="O292" t="inlineStr">
        <is>
          <t>eng</t>
        </is>
      </c>
      <c r="P292" t="inlineStr">
        <is>
          <t>nyu</t>
        </is>
      </c>
      <c r="R292" t="inlineStr">
        <is>
          <t xml:space="preserve">ND </t>
        </is>
      </c>
      <c r="S292" t="n">
        <v>4</v>
      </c>
      <c r="T292" t="n">
        <v>4</v>
      </c>
      <c r="U292" t="inlineStr">
        <is>
          <t>2001-02-19</t>
        </is>
      </c>
      <c r="V292" t="inlineStr">
        <is>
          <t>2001-02-19</t>
        </is>
      </c>
      <c r="W292" t="inlineStr">
        <is>
          <t>1990-05-09</t>
        </is>
      </c>
      <c r="X292" t="inlineStr">
        <is>
          <t>1990-05-09</t>
        </is>
      </c>
      <c r="Y292" t="n">
        <v>2370</v>
      </c>
      <c r="Z292" t="n">
        <v>2277</v>
      </c>
      <c r="AA292" t="n">
        <v>3168</v>
      </c>
      <c r="AB292" t="n">
        <v>28</v>
      </c>
      <c r="AC292" t="n">
        <v>39</v>
      </c>
      <c r="AD292" t="n">
        <v>40</v>
      </c>
      <c r="AE292" t="n">
        <v>51</v>
      </c>
      <c r="AF292" t="n">
        <v>15</v>
      </c>
      <c r="AG292" t="n">
        <v>21</v>
      </c>
      <c r="AH292" t="n">
        <v>7</v>
      </c>
      <c r="AI292" t="n">
        <v>8</v>
      </c>
      <c r="AJ292" t="n">
        <v>16</v>
      </c>
      <c r="AK292" t="n">
        <v>22</v>
      </c>
      <c r="AL292" t="n">
        <v>10</v>
      </c>
      <c r="AM292" t="n">
        <v>11</v>
      </c>
      <c r="AN292" t="n">
        <v>0</v>
      </c>
      <c r="AO292" t="n">
        <v>0</v>
      </c>
      <c r="AP292" t="inlineStr">
        <is>
          <t>No</t>
        </is>
      </c>
      <c r="AQ292" t="inlineStr">
        <is>
          <t>Yes</t>
        </is>
      </c>
      <c r="AR292">
        <f>HYPERLINK("http://catalog.hathitrust.org/Record/000369549","HathiTrust Record")</f>
        <v/>
      </c>
      <c r="AS292">
        <f>HYPERLINK("https://creighton-primo.hosted.exlibrisgroup.com/primo-explore/search?tab=default_tab&amp;search_scope=EVERYTHING&amp;vid=01CRU&amp;lang=en_US&amp;offset=0&amp;query=any,contains,991000611399702656","Catalog Record")</f>
        <v/>
      </c>
      <c r="AT292">
        <f>HYPERLINK("http://www.worldcat.org/oclc/100558","WorldCat Record")</f>
        <v/>
      </c>
      <c r="AU292" t="inlineStr">
        <is>
          <t>4917020353:eng</t>
        </is>
      </c>
      <c r="AV292" t="inlineStr">
        <is>
          <t>100558</t>
        </is>
      </c>
      <c r="AW292" t="inlineStr">
        <is>
          <t>991000611399702656</t>
        </is>
      </c>
      <c r="AX292" t="inlineStr">
        <is>
          <t>991000611399702656</t>
        </is>
      </c>
      <c r="AY292" t="inlineStr">
        <is>
          <t>2258395680002656</t>
        </is>
      </c>
      <c r="AZ292" t="inlineStr">
        <is>
          <t>BOOK</t>
        </is>
      </c>
      <c r="BC292" t="inlineStr">
        <is>
          <t>32285000139120</t>
        </is>
      </c>
      <c r="BD292" t="inlineStr">
        <is>
          <t>893790688</t>
        </is>
      </c>
    </row>
    <row r="293">
      <c r="A293" t="inlineStr">
        <is>
          <t>No</t>
        </is>
      </c>
      <c r="B293" t="inlineStr">
        <is>
          <t>ND237.R68 R69</t>
        </is>
      </c>
      <c r="C293" t="inlineStr">
        <is>
          <t>0                      ND 0237000R  68                 R  69</t>
        </is>
      </c>
      <c r="D293" t="inlineStr">
        <is>
          <t>Norman Rockwell, my adventures as an illustrator / as told to Thomas Rockwell.</t>
        </is>
      </c>
      <c r="F293" t="inlineStr">
        <is>
          <t>No</t>
        </is>
      </c>
      <c r="G293" t="inlineStr">
        <is>
          <t>1</t>
        </is>
      </c>
      <c r="H293" t="inlineStr">
        <is>
          <t>No</t>
        </is>
      </c>
      <c r="I293" t="inlineStr">
        <is>
          <t>No</t>
        </is>
      </c>
      <c r="J293" t="inlineStr">
        <is>
          <t>0</t>
        </is>
      </c>
      <c r="K293" t="inlineStr">
        <is>
          <t>Rockwell, Norman, 1894-1978.</t>
        </is>
      </c>
      <c r="L293" t="inlineStr">
        <is>
          <t>Garden City, N. Y. : Doubleday, 1960.</t>
        </is>
      </c>
      <c r="M293" t="inlineStr">
        <is>
          <t>1960</t>
        </is>
      </c>
      <c r="N293" t="inlineStr">
        <is>
          <t>[1st ed.]</t>
        </is>
      </c>
      <c r="O293" t="inlineStr">
        <is>
          <t>eng</t>
        </is>
      </c>
      <c r="P293" t="inlineStr">
        <is>
          <t xml:space="preserve">xx </t>
        </is>
      </c>
      <c r="R293" t="inlineStr">
        <is>
          <t xml:space="preserve">ND </t>
        </is>
      </c>
      <c r="S293" t="n">
        <v>1</v>
      </c>
      <c r="T293" t="n">
        <v>1</v>
      </c>
      <c r="U293" t="inlineStr">
        <is>
          <t>2003-04-24</t>
        </is>
      </c>
      <c r="V293" t="inlineStr">
        <is>
          <t>2003-04-24</t>
        </is>
      </c>
      <c r="W293" t="inlineStr">
        <is>
          <t>1992-01-30</t>
        </is>
      </c>
      <c r="X293" t="inlineStr">
        <is>
          <t>1992-01-30</t>
        </is>
      </c>
      <c r="Y293" t="n">
        <v>970</v>
      </c>
      <c r="Z293" t="n">
        <v>923</v>
      </c>
      <c r="AA293" t="n">
        <v>1606</v>
      </c>
      <c r="AB293" t="n">
        <v>15</v>
      </c>
      <c r="AC293" t="n">
        <v>17</v>
      </c>
      <c r="AD293" t="n">
        <v>21</v>
      </c>
      <c r="AE293" t="n">
        <v>33</v>
      </c>
      <c r="AF293" t="n">
        <v>8</v>
      </c>
      <c r="AG293" t="n">
        <v>15</v>
      </c>
      <c r="AH293" t="n">
        <v>3</v>
      </c>
      <c r="AI293" t="n">
        <v>6</v>
      </c>
      <c r="AJ293" t="n">
        <v>10</v>
      </c>
      <c r="AK293" t="n">
        <v>14</v>
      </c>
      <c r="AL293" t="n">
        <v>6</v>
      </c>
      <c r="AM293" t="n">
        <v>6</v>
      </c>
      <c r="AN293" t="n">
        <v>0</v>
      </c>
      <c r="AO293" t="n">
        <v>0</v>
      </c>
      <c r="AP293" t="inlineStr">
        <is>
          <t>No</t>
        </is>
      </c>
      <c r="AQ293" t="inlineStr">
        <is>
          <t>Yes</t>
        </is>
      </c>
      <c r="AR293">
        <f>HYPERLINK("http://catalog.hathitrust.org/Record/000369953","HathiTrust Record")</f>
        <v/>
      </c>
      <c r="AS293">
        <f>HYPERLINK("https://creighton-primo.hosted.exlibrisgroup.com/primo-explore/search?tab=default_tab&amp;search_scope=EVERYTHING&amp;vid=01CRU&amp;lang=en_US&amp;offset=0&amp;query=any,contains,991002363149702656","Catalog Record")</f>
        <v/>
      </c>
      <c r="AT293">
        <f>HYPERLINK("http://www.worldcat.org/oclc/326310","WorldCat Record")</f>
        <v/>
      </c>
      <c r="AU293" t="inlineStr">
        <is>
          <t>1862552959:eng</t>
        </is>
      </c>
      <c r="AV293" t="inlineStr">
        <is>
          <t>326310</t>
        </is>
      </c>
      <c r="AW293" t="inlineStr">
        <is>
          <t>991002363149702656</t>
        </is>
      </c>
      <c r="AX293" t="inlineStr">
        <is>
          <t>991002363149702656</t>
        </is>
      </c>
      <c r="AY293" t="inlineStr">
        <is>
          <t>2272222580002656</t>
        </is>
      </c>
      <c r="AZ293" t="inlineStr">
        <is>
          <t>BOOK</t>
        </is>
      </c>
      <c r="BC293" t="inlineStr">
        <is>
          <t>32285000930668</t>
        </is>
      </c>
      <c r="BD293" t="inlineStr">
        <is>
          <t>893773523</t>
        </is>
      </c>
    </row>
    <row r="294">
      <c r="A294" t="inlineStr">
        <is>
          <t>No</t>
        </is>
      </c>
      <c r="B294" t="inlineStr">
        <is>
          <t>ND237.R723 G65 1985</t>
        </is>
      </c>
      <c r="C294" t="inlineStr">
        <is>
          <t>0                      ND 0237000R  723                G  65          1985</t>
        </is>
      </c>
      <c r="D294" t="inlineStr">
        <is>
          <t>James Rosenquist / Judith Goldman.</t>
        </is>
      </c>
      <c r="F294" t="inlineStr">
        <is>
          <t>No</t>
        </is>
      </c>
      <c r="G294" t="inlineStr">
        <is>
          <t>1</t>
        </is>
      </c>
      <c r="H294" t="inlineStr">
        <is>
          <t>No</t>
        </is>
      </c>
      <c r="I294" t="inlineStr">
        <is>
          <t>No</t>
        </is>
      </c>
      <c r="J294" t="inlineStr">
        <is>
          <t>0</t>
        </is>
      </c>
      <c r="K294" t="inlineStr">
        <is>
          <t>Goldman, Judith.</t>
        </is>
      </c>
      <c r="L294" t="inlineStr">
        <is>
          <t>New York, N.Y. : Viking, 1985.</t>
        </is>
      </c>
      <c r="M294" t="inlineStr">
        <is>
          <t>1985</t>
        </is>
      </c>
      <c r="O294" t="inlineStr">
        <is>
          <t>eng</t>
        </is>
      </c>
      <c r="P294" t="inlineStr">
        <is>
          <t>nyu</t>
        </is>
      </c>
      <c r="R294" t="inlineStr">
        <is>
          <t xml:space="preserve">ND </t>
        </is>
      </c>
      <c r="S294" t="n">
        <v>7</v>
      </c>
      <c r="T294" t="n">
        <v>7</v>
      </c>
      <c r="U294" t="inlineStr">
        <is>
          <t>1998-01-25</t>
        </is>
      </c>
      <c r="V294" t="inlineStr">
        <is>
          <t>1998-01-25</t>
        </is>
      </c>
      <c r="W294" t="inlineStr">
        <is>
          <t>1991-12-09</t>
        </is>
      </c>
      <c r="X294" t="inlineStr">
        <is>
          <t>1991-12-09</t>
        </is>
      </c>
      <c r="Y294" t="n">
        <v>452</v>
      </c>
      <c r="Z294" t="n">
        <v>395</v>
      </c>
      <c r="AA294" t="n">
        <v>441</v>
      </c>
      <c r="AB294" t="n">
        <v>3</v>
      </c>
      <c r="AC294" t="n">
        <v>3</v>
      </c>
      <c r="AD294" t="n">
        <v>9</v>
      </c>
      <c r="AE294" t="n">
        <v>9</v>
      </c>
      <c r="AF294" t="n">
        <v>2</v>
      </c>
      <c r="AG294" t="n">
        <v>2</v>
      </c>
      <c r="AH294" t="n">
        <v>2</v>
      </c>
      <c r="AI294" t="n">
        <v>2</v>
      </c>
      <c r="AJ294" t="n">
        <v>4</v>
      </c>
      <c r="AK294" t="n">
        <v>4</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HYPERLINK("https://creighton-primo.hosted.exlibrisgroup.com/primo-explore/search?tab=default_tab&amp;search_scope=EVERYTHING&amp;vid=01CRU&amp;lang=en_US&amp;offset=0&amp;query=any,contains,991000626859702656","Catalog Record")</f>
        <v/>
      </c>
      <c r="AT294">
        <f>HYPERLINK("http://www.worldcat.org/oclc/12038343","WorldCat Record")</f>
        <v/>
      </c>
      <c r="AU294" t="inlineStr">
        <is>
          <t>2070134166:eng</t>
        </is>
      </c>
      <c r="AV294" t="inlineStr">
        <is>
          <t>12038343</t>
        </is>
      </c>
      <c r="AW294" t="inlineStr">
        <is>
          <t>991000626859702656</t>
        </is>
      </c>
      <c r="AX294" t="inlineStr">
        <is>
          <t>991000626859702656</t>
        </is>
      </c>
      <c r="AY294" t="inlineStr">
        <is>
          <t>2256444060002656</t>
        </is>
      </c>
      <c r="AZ294" t="inlineStr">
        <is>
          <t>BOOK</t>
        </is>
      </c>
      <c r="BB294" t="inlineStr">
        <is>
          <t>9780670805891</t>
        </is>
      </c>
      <c r="BC294" t="inlineStr">
        <is>
          <t>32285000838424</t>
        </is>
      </c>
      <c r="BD294" t="inlineStr">
        <is>
          <t>893425882</t>
        </is>
      </c>
    </row>
    <row r="295">
      <c r="A295" t="inlineStr">
        <is>
          <t>No</t>
        </is>
      </c>
      <c r="B295" t="inlineStr">
        <is>
          <t>ND237.R72484 S55 1991</t>
        </is>
      </c>
      <c r="C295" t="inlineStr">
        <is>
          <t>0                      ND 0237000R  72484              S  55          1991</t>
        </is>
      </c>
      <c r="D295" t="inlineStr">
        <is>
          <t>Susan Rothenberg / by Joan Simon.</t>
        </is>
      </c>
      <c r="F295" t="inlineStr">
        <is>
          <t>No</t>
        </is>
      </c>
      <c r="G295" t="inlineStr">
        <is>
          <t>1</t>
        </is>
      </c>
      <c r="H295" t="inlineStr">
        <is>
          <t>No</t>
        </is>
      </c>
      <c r="I295" t="inlineStr">
        <is>
          <t>No</t>
        </is>
      </c>
      <c r="J295" t="inlineStr">
        <is>
          <t>0</t>
        </is>
      </c>
      <c r="K295" t="inlineStr">
        <is>
          <t>Simon, Joan, 1949-</t>
        </is>
      </c>
      <c r="L295" t="inlineStr">
        <is>
          <t>New York : H.N. Abrams, 1991.</t>
        </is>
      </c>
      <c r="M295" t="inlineStr">
        <is>
          <t>1991</t>
        </is>
      </c>
      <c r="O295" t="inlineStr">
        <is>
          <t>eng</t>
        </is>
      </c>
      <c r="P295" t="inlineStr">
        <is>
          <t>nyu</t>
        </is>
      </c>
      <c r="R295" t="inlineStr">
        <is>
          <t xml:space="preserve">ND </t>
        </is>
      </c>
      <c r="S295" t="n">
        <v>5</v>
      </c>
      <c r="T295" t="n">
        <v>5</v>
      </c>
      <c r="U295" t="inlineStr">
        <is>
          <t>2002-03-20</t>
        </is>
      </c>
      <c r="V295" t="inlineStr">
        <is>
          <t>2002-03-20</t>
        </is>
      </c>
      <c r="W295" t="inlineStr">
        <is>
          <t>1992-08-04</t>
        </is>
      </c>
      <c r="X295" t="inlineStr">
        <is>
          <t>1992-08-04</t>
        </is>
      </c>
      <c r="Y295" t="n">
        <v>754</v>
      </c>
      <c r="Z295" t="n">
        <v>614</v>
      </c>
      <c r="AA295" t="n">
        <v>616</v>
      </c>
      <c r="AB295" t="n">
        <v>6</v>
      </c>
      <c r="AC295" t="n">
        <v>6</v>
      </c>
      <c r="AD295" t="n">
        <v>25</v>
      </c>
      <c r="AE295" t="n">
        <v>25</v>
      </c>
      <c r="AF295" t="n">
        <v>13</v>
      </c>
      <c r="AG295" t="n">
        <v>13</v>
      </c>
      <c r="AH295" t="n">
        <v>3</v>
      </c>
      <c r="AI295" t="n">
        <v>3</v>
      </c>
      <c r="AJ295" t="n">
        <v>9</v>
      </c>
      <c r="AK295" t="n">
        <v>9</v>
      </c>
      <c r="AL295" t="n">
        <v>5</v>
      </c>
      <c r="AM295" t="n">
        <v>5</v>
      </c>
      <c r="AN295" t="n">
        <v>0</v>
      </c>
      <c r="AO295" t="n">
        <v>0</v>
      </c>
      <c r="AP295" t="inlineStr">
        <is>
          <t>No</t>
        </is>
      </c>
      <c r="AQ295" t="inlineStr">
        <is>
          <t>Yes</t>
        </is>
      </c>
      <c r="AR295">
        <f>HYPERLINK("http://catalog.hathitrust.org/Record/002523597","HathiTrust Record")</f>
        <v/>
      </c>
      <c r="AS295">
        <f>HYPERLINK("https://creighton-primo.hosted.exlibrisgroup.com/primo-explore/search?tab=default_tab&amp;search_scope=EVERYTHING&amp;vid=01CRU&amp;lang=en_US&amp;offset=0&amp;query=any,contains,991001848419702656","Catalog Record")</f>
        <v/>
      </c>
      <c r="AT295">
        <f>HYPERLINK("http://www.worldcat.org/oclc/23210759","WorldCat Record")</f>
        <v/>
      </c>
      <c r="AU295" t="inlineStr">
        <is>
          <t>2070217174:eng</t>
        </is>
      </c>
      <c r="AV295" t="inlineStr">
        <is>
          <t>23210759</t>
        </is>
      </c>
      <c r="AW295" t="inlineStr">
        <is>
          <t>991001848419702656</t>
        </is>
      </c>
      <c r="AX295" t="inlineStr">
        <is>
          <t>991001848419702656</t>
        </is>
      </c>
      <c r="AY295" t="inlineStr">
        <is>
          <t>2263096330002656</t>
        </is>
      </c>
      <c r="AZ295" t="inlineStr">
        <is>
          <t>BOOK</t>
        </is>
      </c>
      <c r="BB295" t="inlineStr">
        <is>
          <t>9780810937536</t>
        </is>
      </c>
      <c r="BC295" t="inlineStr">
        <is>
          <t>32285001196541</t>
        </is>
      </c>
      <c r="BD295" t="inlineStr">
        <is>
          <t>893872847</t>
        </is>
      </c>
    </row>
    <row r="296">
      <c r="A296" t="inlineStr">
        <is>
          <t>No</t>
        </is>
      </c>
      <c r="B296" t="inlineStr">
        <is>
          <t>ND237.R75 A33 1962</t>
        </is>
      </c>
      <c r="C296" t="inlineStr">
        <is>
          <t>0                      ND 0237000R  75                 A  33          1962</t>
        </is>
      </c>
      <c r="D296" t="inlineStr">
        <is>
          <t>Paper talk : illustrated letters of Charles M. Russell / introduction and commentary by Frederic G. Renner.</t>
        </is>
      </c>
      <c r="F296" t="inlineStr">
        <is>
          <t>No</t>
        </is>
      </c>
      <c r="G296" t="inlineStr">
        <is>
          <t>1</t>
        </is>
      </c>
      <c r="H296" t="inlineStr">
        <is>
          <t>No</t>
        </is>
      </c>
      <c r="I296" t="inlineStr">
        <is>
          <t>No</t>
        </is>
      </c>
      <c r="J296" t="inlineStr">
        <is>
          <t>0</t>
        </is>
      </c>
      <c r="K296" t="inlineStr">
        <is>
          <t>Russell, Charles M. (Charles Marion), 1864-1926.</t>
        </is>
      </c>
      <c r="L296" t="inlineStr">
        <is>
          <t>Fort Worth, Tex. : Amon Carter Museum of Western Art, [1962]</t>
        </is>
      </c>
      <c r="M296" t="inlineStr">
        <is>
          <t>1962</t>
        </is>
      </c>
      <c r="O296" t="inlineStr">
        <is>
          <t>eng</t>
        </is>
      </c>
      <c r="P296" t="inlineStr">
        <is>
          <t>txu</t>
        </is>
      </c>
      <c r="R296" t="inlineStr">
        <is>
          <t xml:space="preserve">ND </t>
        </is>
      </c>
      <c r="S296" t="n">
        <v>1</v>
      </c>
      <c r="T296" t="n">
        <v>1</v>
      </c>
      <c r="U296" t="inlineStr">
        <is>
          <t>2006-03-16</t>
        </is>
      </c>
      <c r="V296" t="inlineStr">
        <is>
          <t>2006-03-16</t>
        </is>
      </c>
      <c r="W296" t="inlineStr">
        <is>
          <t>2006-03-16</t>
        </is>
      </c>
      <c r="X296" t="inlineStr">
        <is>
          <t>2006-03-16</t>
        </is>
      </c>
      <c r="Y296" t="n">
        <v>313</v>
      </c>
      <c r="Z296" t="n">
        <v>300</v>
      </c>
      <c r="AA296" t="n">
        <v>303</v>
      </c>
      <c r="AB296" t="n">
        <v>4</v>
      </c>
      <c r="AC296" t="n">
        <v>4</v>
      </c>
      <c r="AD296" t="n">
        <v>3</v>
      </c>
      <c r="AE296" t="n">
        <v>3</v>
      </c>
      <c r="AF296" t="n">
        <v>0</v>
      </c>
      <c r="AG296" t="n">
        <v>0</v>
      </c>
      <c r="AH296" t="n">
        <v>0</v>
      </c>
      <c r="AI296" t="n">
        <v>0</v>
      </c>
      <c r="AJ296" t="n">
        <v>1</v>
      </c>
      <c r="AK296" t="n">
        <v>1</v>
      </c>
      <c r="AL296" t="n">
        <v>2</v>
      </c>
      <c r="AM296" t="n">
        <v>2</v>
      </c>
      <c r="AN296" t="n">
        <v>0</v>
      </c>
      <c r="AO296" t="n">
        <v>0</v>
      </c>
      <c r="AP296" t="inlineStr">
        <is>
          <t>No</t>
        </is>
      </c>
      <c r="AQ296" t="inlineStr">
        <is>
          <t>Yes</t>
        </is>
      </c>
      <c r="AR296">
        <f>HYPERLINK("http://catalog.hathitrust.org/Record/008511756","HathiTrust Record")</f>
        <v/>
      </c>
      <c r="AS296">
        <f>HYPERLINK("https://creighton-primo.hosted.exlibrisgroup.com/primo-explore/search?tab=default_tab&amp;search_scope=EVERYTHING&amp;vid=01CRU&amp;lang=en_US&amp;offset=0&amp;query=any,contains,991004765539702656","Catalog Record")</f>
        <v/>
      </c>
      <c r="AT296">
        <f>HYPERLINK("http://www.worldcat.org/oclc/1260763","WorldCat Record")</f>
        <v/>
      </c>
      <c r="AU296" t="inlineStr">
        <is>
          <t>866833565:eng</t>
        </is>
      </c>
      <c r="AV296" t="inlineStr">
        <is>
          <t>1260763</t>
        </is>
      </c>
      <c r="AW296" t="inlineStr">
        <is>
          <t>991004765539702656</t>
        </is>
      </c>
      <c r="AX296" t="inlineStr">
        <is>
          <t>991004765539702656</t>
        </is>
      </c>
      <c r="AY296" t="inlineStr">
        <is>
          <t>2264982930002656</t>
        </is>
      </c>
      <c r="AZ296" t="inlineStr">
        <is>
          <t>BOOK</t>
        </is>
      </c>
      <c r="BC296" t="inlineStr">
        <is>
          <t>32285005166623</t>
        </is>
      </c>
      <c r="BD296" t="inlineStr">
        <is>
          <t>893247955</t>
        </is>
      </c>
    </row>
    <row r="297">
      <c r="A297" t="inlineStr">
        <is>
          <t>No</t>
        </is>
      </c>
      <c r="B297" t="inlineStr">
        <is>
          <t>ND237.R75 A72</t>
        </is>
      </c>
      <c r="C297" t="inlineStr">
        <is>
          <t>0                      ND 0237000R  75                 A  72</t>
        </is>
      </c>
      <c r="D297" t="inlineStr">
        <is>
          <t>Charles M. Russell; paintings, drawings and sculpture in the Amon G. Carter collection: a descriptive catalogue, by Frederic G. Renner. Foreword by Ruth Carter Johnson.</t>
        </is>
      </c>
      <c r="F297" t="inlineStr">
        <is>
          <t>No</t>
        </is>
      </c>
      <c r="G297" t="inlineStr">
        <is>
          <t>1</t>
        </is>
      </c>
      <c r="H297" t="inlineStr">
        <is>
          <t>No</t>
        </is>
      </c>
      <c r="I297" t="inlineStr">
        <is>
          <t>No</t>
        </is>
      </c>
      <c r="J297" t="inlineStr">
        <is>
          <t>0</t>
        </is>
      </c>
      <c r="K297" t="inlineStr">
        <is>
          <t>Amon Carter Museum of Western Art.</t>
        </is>
      </c>
      <c r="L297" t="inlineStr">
        <is>
          <t>Austin, University of Texas Press [1966]</t>
        </is>
      </c>
      <c r="M297" t="inlineStr">
        <is>
          <t>1966</t>
        </is>
      </c>
      <c r="O297" t="inlineStr">
        <is>
          <t>eng</t>
        </is>
      </c>
      <c r="P297" t="inlineStr">
        <is>
          <t>txu</t>
        </is>
      </c>
      <c r="R297" t="inlineStr">
        <is>
          <t xml:space="preserve">ND </t>
        </is>
      </c>
      <c r="S297" t="n">
        <v>3</v>
      </c>
      <c r="T297" t="n">
        <v>3</v>
      </c>
      <c r="U297" t="inlineStr">
        <is>
          <t>1999-05-04</t>
        </is>
      </c>
      <c r="V297" t="inlineStr">
        <is>
          <t>1999-05-04</t>
        </is>
      </c>
      <c r="W297" t="inlineStr">
        <is>
          <t>1997-07-24</t>
        </is>
      </c>
      <c r="X297" t="inlineStr">
        <is>
          <t>1997-07-24</t>
        </is>
      </c>
      <c r="Y297" t="n">
        <v>828</v>
      </c>
      <c r="Z297" t="n">
        <v>783</v>
      </c>
      <c r="AA297" t="n">
        <v>797</v>
      </c>
      <c r="AB297" t="n">
        <v>7</v>
      </c>
      <c r="AC297" t="n">
        <v>7</v>
      </c>
      <c r="AD297" t="n">
        <v>17</v>
      </c>
      <c r="AE297" t="n">
        <v>17</v>
      </c>
      <c r="AF297" t="n">
        <v>7</v>
      </c>
      <c r="AG297" t="n">
        <v>7</v>
      </c>
      <c r="AH297" t="n">
        <v>3</v>
      </c>
      <c r="AI297" t="n">
        <v>3</v>
      </c>
      <c r="AJ297" t="n">
        <v>6</v>
      </c>
      <c r="AK297" t="n">
        <v>6</v>
      </c>
      <c r="AL297" t="n">
        <v>4</v>
      </c>
      <c r="AM297" t="n">
        <v>4</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HYPERLINK("https://creighton-primo.hosted.exlibrisgroup.com/primo-explore/search?tab=default_tab&amp;search_scope=EVERYTHING&amp;vid=01CRU&amp;lang=en_US&amp;offset=0&amp;query=any,contains,991003179069702656","Catalog Record")</f>
        <v/>
      </c>
      <c r="AT297">
        <f>HYPERLINK("http://www.worldcat.org/oclc/711366","WorldCat Record")</f>
        <v/>
      </c>
      <c r="AU297" t="inlineStr">
        <is>
          <t>18145821:eng</t>
        </is>
      </c>
      <c r="AV297" t="inlineStr">
        <is>
          <t>711366</t>
        </is>
      </c>
      <c r="AW297" t="inlineStr">
        <is>
          <t>991003179069702656</t>
        </is>
      </c>
      <c r="AX297" t="inlineStr">
        <is>
          <t>991003179069702656</t>
        </is>
      </c>
      <c r="AY297" t="inlineStr">
        <is>
          <t>2264001930002656</t>
        </is>
      </c>
      <c r="AZ297" t="inlineStr">
        <is>
          <t>BOOK</t>
        </is>
      </c>
      <c r="BC297" t="inlineStr">
        <is>
          <t>32285002966769</t>
        </is>
      </c>
      <c r="BD297" t="inlineStr">
        <is>
          <t>893342297</t>
        </is>
      </c>
    </row>
    <row r="298">
      <c r="A298" t="inlineStr">
        <is>
          <t>No</t>
        </is>
      </c>
      <c r="B298" t="inlineStr">
        <is>
          <t>ND237.R75 A72 1976</t>
        </is>
      </c>
      <c r="C298" t="inlineStr">
        <is>
          <t>0                      ND 0237000R  75                 A  72          1976</t>
        </is>
      </c>
      <c r="D298" t="inlineStr">
        <is>
          <t>Charles M. Russell : paintings, drawings, and sculpture in the Amon Carter Museum / by Frederic G. Renner ; foreword by Ruth Carter Johnson.</t>
        </is>
      </c>
      <c r="F298" t="inlineStr">
        <is>
          <t>No</t>
        </is>
      </c>
      <c r="G298" t="inlineStr">
        <is>
          <t>1</t>
        </is>
      </c>
      <c r="H298" t="inlineStr">
        <is>
          <t>No</t>
        </is>
      </c>
      <c r="I298" t="inlineStr">
        <is>
          <t>No</t>
        </is>
      </c>
      <c r="J298" t="inlineStr">
        <is>
          <t>0</t>
        </is>
      </c>
      <c r="K298" t="inlineStr">
        <is>
          <t>Amon Carter Museum of Western Art.</t>
        </is>
      </c>
      <c r="L298" t="inlineStr">
        <is>
          <t>New York : H. N. Abrams, 1976.</t>
        </is>
      </c>
      <c r="M298" t="inlineStr">
        <is>
          <t>1976</t>
        </is>
      </c>
      <c r="N298" t="inlineStr">
        <is>
          <t>New concise ed.</t>
        </is>
      </c>
      <c r="O298" t="inlineStr">
        <is>
          <t>eng</t>
        </is>
      </c>
      <c r="P298" t="inlineStr">
        <is>
          <t>nyu</t>
        </is>
      </c>
      <c r="R298" t="inlineStr">
        <is>
          <t xml:space="preserve">ND </t>
        </is>
      </c>
      <c r="S298" t="n">
        <v>3</v>
      </c>
      <c r="T298" t="n">
        <v>3</v>
      </c>
      <c r="U298" t="inlineStr">
        <is>
          <t>2001-04-17</t>
        </is>
      </c>
      <c r="V298" t="inlineStr">
        <is>
          <t>2001-04-17</t>
        </is>
      </c>
      <c r="W298" t="inlineStr">
        <is>
          <t>1993-05-21</t>
        </is>
      </c>
      <c r="X298" t="inlineStr">
        <is>
          <t>1993-05-21</t>
        </is>
      </c>
      <c r="Y298" t="n">
        <v>276</v>
      </c>
      <c r="Z298" t="n">
        <v>260</v>
      </c>
      <c r="AA298" t="n">
        <v>268</v>
      </c>
      <c r="AB298" t="n">
        <v>3</v>
      </c>
      <c r="AC298" t="n">
        <v>3</v>
      </c>
      <c r="AD298" t="n">
        <v>5</v>
      </c>
      <c r="AE298" t="n">
        <v>5</v>
      </c>
      <c r="AF298" t="n">
        <v>0</v>
      </c>
      <c r="AG298" t="n">
        <v>0</v>
      </c>
      <c r="AH298" t="n">
        <v>2</v>
      </c>
      <c r="AI298" t="n">
        <v>2</v>
      </c>
      <c r="AJ298" t="n">
        <v>1</v>
      </c>
      <c r="AK298" t="n">
        <v>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HYPERLINK("https://creighton-primo.hosted.exlibrisgroup.com/primo-explore/search?tab=default_tab&amp;search_scope=EVERYTHING&amp;vid=01CRU&amp;lang=en_US&amp;offset=0&amp;query=any,contains,991004226509702656","Catalog Record")</f>
        <v/>
      </c>
      <c r="AT298">
        <f>HYPERLINK("http://www.worldcat.org/oclc/2732232","WorldCat Record")</f>
        <v/>
      </c>
      <c r="AU298" t="inlineStr">
        <is>
          <t>2070259947:eng</t>
        </is>
      </c>
      <c r="AV298" t="inlineStr">
        <is>
          <t>2732232</t>
        </is>
      </c>
      <c r="AW298" t="inlineStr">
        <is>
          <t>991004226509702656</t>
        </is>
      </c>
      <c r="AX298" t="inlineStr">
        <is>
          <t>991004226509702656</t>
        </is>
      </c>
      <c r="AY298" t="inlineStr">
        <is>
          <t>2255963160002656</t>
        </is>
      </c>
      <c r="AZ298" t="inlineStr">
        <is>
          <t>BOOK</t>
        </is>
      </c>
      <c r="BB298" t="inlineStr">
        <is>
          <t>9780810920576</t>
        </is>
      </c>
      <c r="BC298" t="inlineStr">
        <is>
          <t>32285001691392</t>
        </is>
      </c>
      <c r="BD298" t="inlineStr">
        <is>
          <t>893532151</t>
        </is>
      </c>
    </row>
    <row r="299">
      <c r="A299" t="inlineStr">
        <is>
          <t>No</t>
        </is>
      </c>
      <c r="B299" t="inlineStr">
        <is>
          <t>ND237.R75 D55 1987</t>
        </is>
      </c>
      <c r="C299" t="inlineStr">
        <is>
          <t>0                      ND 0237000R  75                 D  55          1987</t>
        </is>
      </c>
      <c r="D299" t="inlineStr">
        <is>
          <t>Looking at Russell / Brian W. Dippie.</t>
        </is>
      </c>
      <c r="F299" t="inlineStr">
        <is>
          <t>No</t>
        </is>
      </c>
      <c r="G299" t="inlineStr">
        <is>
          <t>1</t>
        </is>
      </c>
      <c r="H299" t="inlineStr">
        <is>
          <t>No</t>
        </is>
      </c>
      <c r="I299" t="inlineStr">
        <is>
          <t>No</t>
        </is>
      </c>
      <c r="J299" t="inlineStr">
        <is>
          <t>0</t>
        </is>
      </c>
      <c r="K299" t="inlineStr">
        <is>
          <t>Dippie, Brian W.</t>
        </is>
      </c>
      <c r="L299" t="inlineStr">
        <is>
          <t>Fort Worth, Tex. : Amon Carter Museum, 1987.</t>
        </is>
      </c>
      <c r="M299" t="inlineStr">
        <is>
          <t>1987</t>
        </is>
      </c>
      <c r="O299" t="inlineStr">
        <is>
          <t>eng</t>
        </is>
      </c>
      <c r="P299" t="inlineStr">
        <is>
          <t>txu</t>
        </is>
      </c>
      <c r="Q299" t="inlineStr">
        <is>
          <t>Anne Burnett Tandy lectures in American civilization ; no. 7</t>
        </is>
      </c>
      <c r="R299" t="inlineStr">
        <is>
          <t xml:space="preserve">ND </t>
        </is>
      </c>
      <c r="S299" t="n">
        <v>1</v>
      </c>
      <c r="T299" t="n">
        <v>1</v>
      </c>
      <c r="U299" t="inlineStr">
        <is>
          <t>2005-08-22</t>
        </is>
      </c>
      <c r="V299" t="inlineStr">
        <is>
          <t>2005-08-22</t>
        </is>
      </c>
      <c r="W299" t="inlineStr">
        <is>
          <t>2005-08-22</t>
        </is>
      </c>
      <c r="X299" t="inlineStr">
        <is>
          <t>2005-08-22</t>
        </is>
      </c>
      <c r="Y299" t="n">
        <v>310</v>
      </c>
      <c r="Z299" t="n">
        <v>292</v>
      </c>
      <c r="AA299" t="n">
        <v>297</v>
      </c>
      <c r="AB299" t="n">
        <v>4</v>
      </c>
      <c r="AC299" t="n">
        <v>4</v>
      </c>
      <c r="AD299" t="n">
        <v>5</v>
      </c>
      <c r="AE299" t="n">
        <v>5</v>
      </c>
      <c r="AF299" t="n">
        <v>2</v>
      </c>
      <c r="AG299" t="n">
        <v>2</v>
      </c>
      <c r="AH299" t="n">
        <v>0</v>
      </c>
      <c r="AI299" t="n">
        <v>0</v>
      </c>
      <c r="AJ299" t="n">
        <v>2</v>
      </c>
      <c r="AK299" t="n">
        <v>2</v>
      </c>
      <c r="AL299" t="n">
        <v>2</v>
      </c>
      <c r="AM299" t="n">
        <v>2</v>
      </c>
      <c r="AN299" t="n">
        <v>0</v>
      </c>
      <c r="AO299" t="n">
        <v>0</v>
      </c>
      <c r="AP299" t="inlineStr">
        <is>
          <t>No</t>
        </is>
      </c>
      <c r="AQ299" t="inlineStr">
        <is>
          <t>Yes</t>
        </is>
      </c>
      <c r="AR299">
        <f>HYPERLINK("http://catalog.hathitrust.org/Record/000849520","HathiTrust Record")</f>
        <v/>
      </c>
      <c r="AS299">
        <f>HYPERLINK("https://creighton-primo.hosted.exlibrisgroup.com/primo-explore/search?tab=default_tab&amp;search_scope=EVERYTHING&amp;vid=01CRU&amp;lang=en_US&amp;offset=0&amp;query=any,contains,991004632659702656","Catalog Record")</f>
        <v/>
      </c>
      <c r="AT299">
        <f>HYPERLINK("http://www.worldcat.org/oclc/15223459","WorldCat Record")</f>
        <v/>
      </c>
      <c r="AU299" t="inlineStr">
        <is>
          <t>10246488:eng</t>
        </is>
      </c>
      <c r="AV299" t="inlineStr">
        <is>
          <t>15223459</t>
        </is>
      </c>
      <c r="AW299" t="inlineStr">
        <is>
          <t>991004632659702656</t>
        </is>
      </c>
      <c r="AX299" t="inlineStr">
        <is>
          <t>991004632659702656</t>
        </is>
      </c>
      <c r="AY299" t="inlineStr">
        <is>
          <t>2268576090002656</t>
        </is>
      </c>
      <c r="AZ299" t="inlineStr">
        <is>
          <t>BOOK</t>
        </is>
      </c>
      <c r="BB299" t="inlineStr">
        <is>
          <t>9780883600795</t>
        </is>
      </c>
      <c r="BC299" t="inlineStr">
        <is>
          <t>32285005081756</t>
        </is>
      </c>
      <c r="BD299" t="inlineStr">
        <is>
          <t>893424014</t>
        </is>
      </c>
    </row>
    <row r="300">
      <c r="A300" t="inlineStr">
        <is>
          <t>No</t>
        </is>
      </c>
      <c r="B300" t="inlineStr">
        <is>
          <t>ND237.R75 M3 1957</t>
        </is>
      </c>
      <c r="C300" t="inlineStr">
        <is>
          <t>0                      ND 0237000R  75                 M  3           1957</t>
        </is>
      </c>
      <c r="D300" t="inlineStr">
        <is>
          <t>The Charles M. Russell book : the life and work of the cowboy artist / by Harold McCracken.</t>
        </is>
      </c>
      <c r="F300" t="inlineStr">
        <is>
          <t>No</t>
        </is>
      </c>
      <c r="G300" t="inlineStr">
        <is>
          <t>1</t>
        </is>
      </c>
      <c r="H300" t="inlineStr">
        <is>
          <t>Yes</t>
        </is>
      </c>
      <c r="I300" t="inlineStr">
        <is>
          <t>No</t>
        </is>
      </c>
      <c r="J300" t="inlineStr">
        <is>
          <t>0</t>
        </is>
      </c>
      <c r="K300" t="inlineStr">
        <is>
          <t>McCracken, Harold, 1894-1983.</t>
        </is>
      </c>
      <c r="L300" t="inlineStr">
        <is>
          <t>Garden City, N.Y. : Doubleday, [1957]</t>
        </is>
      </c>
      <c r="M300" t="inlineStr">
        <is>
          <t>1957</t>
        </is>
      </c>
      <c r="O300" t="inlineStr">
        <is>
          <t>eng</t>
        </is>
      </c>
      <c r="P300" t="inlineStr">
        <is>
          <t>nyu</t>
        </is>
      </c>
      <c r="R300" t="inlineStr">
        <is>
          <t xml:space="preserve">ND </t>
        </is>
      </c>
      <c r="S300" t="n">
        <v>5</v>
      </c>
      <c r="T300" t="n">
        <v>5</v>
      </c>
      <c r="U300" t="inlineStr">
        <is>
          <t>1999-05-04</t>
        </is>
      </c>
      <c r="V300" t="inlineStr">
        <is>
          <t>1999-05-04</t>
        </is>
      </c>
      <c r="W300" t="inlineStr">
        <is>
          <t>1993-10-08</t>
        </is>
      </c>
      <c r="X300" t="inlineStr">
        <is>
          <t>2005-09-12</t>
        </is>
      </c>
      <c r="Y300" t="n">
        <v>1214</v>
      </c>
      <c r="Z300" t="n">
        <v>1174</v>
      </c>
      <c r="AA300" t="n">
        <v>1185</v>
      </c>
      <c r="AB300" t="n">
        <v>13</v>
      </c>
      <c r="AC300" t="n">
        <v>13</v>
      </c>
      <c r="AD300" t="n">
        <v>27</v>
      </c>
      <c r="AE300" t="n">
        <v>27</v>
      </c>
      <c r="AF300" t="n">
        <v>9</v>
      </c>
      <c r="AG300" t="n">
        <v>9</v>
      </c>
      <c r="AH300" t="n">
        <v>3</v>
      </c>
      <c r="AI300" t="n">
        <v>3</v>
      </c>
      <c r="AJ300" t="n">
        <v>10</v>
      </c>
      <c r="AK300" t="n">
        <v>10</v>
      </c>
      <c r="AL300" t="n">
        <v>7</v>
      </c>
      <c r="AM300" t="n">
        <v>7</v>
      </c>
      <c r="AN300" t="n">
        <v>1</v>
      </c>
      <c r="AO300" t="n">
        <v>1</v>
      </c>
      <c r="AP300" t="inlineStr">
        <is>
          <t>No</t>
        </is>
      </c>
      <c r="AQ300" t="inlineStr">
        <is>
          <t>No</t>
        </is>
      </c>
      <c r="AR300">
        <f>HYPERLINK("http://catalog.hathitrust.org/Record/000369965","HathiTrust Record")</f>
        <v/>
      </c>
      <c r="AS300">
        <f>HYPERLINK("https://creighton-primo.hosted.exlibrisgroup.com/primo-explore/search?tab=default_tab&amp;search_scope=EVERYTHING&amp;vid=01CRU&amp;lang=en_US&amp;offset=0&amp;query=any,contains,991002468099702656","Catalog Record")</f>
        <v/>
      </c>
      <c r="AT300">
        <f>HYPERLINK("http://www.worldcat.org/oclc/358110","WorldCat Record")</f>
        <v/>
      </c>
      <c r="AU300" t="inlineStr">
        <is>
          <t>118431727:eng</t>
        </is>
      </c>
      <c r="AV300" t="inlineStr">
        <is>
          <t>358110</t>
        </is>
      </c>
      <c r="AW300" t="inlineStr">
        <is>
          <t>991002468099702656</t>
        </is>
      </c>
      <c r="AX300" t="inlineStr">
        <is>
          <t>991002468099702656</t>
        </is>
      </c>
      <c r="AY300" t="inlineStr">
        <is>
          <t>2265988570002656</t>
        </is>
      </c>
      <c r="AZ300" t="inlineStr">
        <is>
          <t>BOOK</t>
        </is>
      </c>
      <c r="BC300" t="inlineStr">
        <is>
          <t>32285001759769</t>
        </is>
      </c>
      <c r="BD300" t="inlineStr">
        <is>
          <t>893798628</t>
        </is>
      </c>
    </row>
    <row r="301">
      <c r="A301" t="inlineStr">
        <is>
          <t>No</t>
        </is>
      </c>
      <c r="B301" t="inlineStr">
        <is>
          <t>ND237.R75 Y65 1971</t>
        </is>
      </c>
      <c r="C301" t="inlineStr">
        <is>
          <t>0                      ND 0237000R  75                 Y  65          1971</t>
        </is>
      </c>
      <c r="D301" t="inlineStr">
        <is>
          <t>A bibliography of the published works of Charles M. Russell / compiled by Karl Yost and Frederic G. Renner.</t>
        </is>
      </c>
      <c r="F301" t="inlineStr">
        <is>
          <t>No</t>
        </is>
      </c>
      <c r="G301" t="inlineStr">
        <is>
          <t>1</t>
        </is>
      </c>
      <c r="H301" t="inlineStr">
        <is>
          <t>No</t>
        </is>
      </c>
      <c r="I301" t="inlineStr">
        <is>
          <t>No</t>
        </is>
      </c>
      <c r="J301" t="inlineStr">
        <is>
          <t>0</t>
        </is>
      </c>
      <c r="K301" t="inlineStr">
        <is>
          <t>Yost, Karl, 1911-1987.</t>
        </is>
      </c>
      <c r="L301" t="inlineStr">
        <is>
          <t>Lincoln : University of Nebraska Press, c1971.</t>
        </is>
      </c>
      <c r="M301" t="inlineStr">
        <is>
          <t>1971</t>
        </is>
      </c>
      <c r="O301" t="inlineStr">
        <is>
          <t>eng</t>
        </is>
      </c>
      <c r="P301" t="inlineStr">
        <is>
          <t>nbu</t>
        </is>
      </c>
      <c r="R301" t="inlineStr">
        <is>
          <t xml:space="preserve">ND </t>
        </is>
      </c>
      <c r="S301" t="n">
        <v>1</v>
      </c>
      <c r="T301" t="n">
        <v>1</v>
      </c>
      <c r="U301" t="inlineStr">
        <is>
          <t>2005-10-27</t>
        </is>
      </c>
      <c r="V301" t="inlineStr">
        <is>
          <t>2005-10-27</t>
        </is>
      </c>
      <c r="W301" t="inlineStr">
        <is>
          <t>2005-10-27</t>
        </is>
      </c>
      <c r="X301" t="inlineStr">
        <is>
          <t>2005-10-27</t>
        </is>
      </c>
      <c r="Y301" t="n">
        <v>443</v>
      </c>
      <c r="Z301" t="n">
        <v>412</v>
      </c>
      <c r="AA301" t="n">
        <v>415</v>
      </c>
      <c r="AB301" t="n">
        <v>8</v>
      </c>
      <c r="AC301" t="n">
        <v>8</v>
      </c>
      <c r="AD301" t="n">
        <v>13</v>
      </c>
      <c r="AE301" t="n">
        <v>13</v>
      </c>
      <c r="AF301" t="n">
        <v>3</v>
      </c>
      <c r="AG301" t="n">
        <v>3</v>
      </c>
      <c r="AH301" t="n">
        <v>2</v>
      </c>
      <c r="AI301" t="n">
        <v>2</v>
      </c>
      <c r="AJ301" t="n">
        <v>4</v>
      </c>
      <c r="AK301" t="n">
        <v>4</v>
      </c>
      <c r="AL301" t="n">
        <v>4</v>
      </c>
      <c r="AM301" t="n">
        <v>4</v>
      </c>
      <c r="AN301" t="n">
        <v>0</v>
      </c>
      <c r="AO301" t="n">
        <v>0</v>
      </c>
      <c r="AP301" t="inlineStr">
        <is>
          <t>No</t>
        </is>
      </c>
      <c r="AQ301" t="inlineStr">
        <is>
          <t>Yes</t>
        </is>
      </c>
      <c r="AR301">
        <f>HYPERLINK("http://catalog.hathitrust.org/Record/001180551","HathiTrust Record")</f>
        <v/>
      </c>
      <c r="AS301">
        <f>HYPERLINK("https://creighton-primo.hosted.exlibrisgroup.com/primo-explore/search?tab=default_tab&amp;search_scope=EVERYTHING&amp;vid=01CRU&amp;lang=en_US&amp;offset=0&amp;query=any,contains,991004685469702656","Catalog Record")</f>
        <v/>
      </c>
      <c r="AT301">
        <f>HYPERLINK("http://www.worldcat.org/oclc/235117","WorldCat Record")</f>
        <v/>
      </c>
      <c r="AU301" t="inlineStr">
        <is>
          <t>1365704:eng</t>
        </is>
      </c>
      <c r="AV301" t="inlineStr">
        <is>
          <t>235117</t>
        </is>
      </c>
      <c r="AW301" t="inlineStr">
        <is>
          <t>991004685469702656</t>
        </is>
      </c>
      <c r="AX301" t="inlineStr">
        <is>
          <t>991004685469702656</t>
        </is>
      </c>
      <c r="AY301" t="inlineStr">
        <is>
          <t>2259519720002656</t>
        </is>
      </c>
      <c r="AZ301" t="inlineStr">
        <is>
          <t>BOOK</t>
        </is>
      </c>
      <c r="BB301" t="inlineStr">
        <is>
          <t>9780803207226</t>
        </is>
      </c>
      <c r="BC301" t="inlineStr">
        <is>
          <t>32285005143150</t>
        </is>
      </c>
      <c r="BD301" t="inlineStr">
        <is>
          <t>893618957</t>
        </is>
      </c>
    </row>
    <row r="302">
      <c r="A302" t="inlineStr">
        <is>
          <t>No</t>
        </is>
      </c>
      <c r="B302" t="inlineStr">
        <is>
          <t>ND237.R8 H66 1989</t>
        </is>
      </c>
      <c r="C302" t="inlineStr">
        <is>
          <t>0                      ND 0237000R  8                  H  66          1989</t>
        </is>
      </c>
      <c r="D302" t="inlineStr">
        <is>
          <t>Albert Pinkham Ryder, painter of dreams / by William Innes Homer and Lloyd Goodrich.</t>
        </is>
      </c>
      <c r="F302" t="inlineStr">
        <is>
          <t>No</t>
        </is>
      </c>
      <c r="G302" t="inlineStr">
        <is>
          <t>1</t>
        </is>
      </c>
      <c r="H302" t="inlineStr">
        <is>
          <t>No</t>
        </is>
      </c>
      <c r="I302" t="inlineStr">
        <is>
          <t>No</t>
        </is>
      </c>
      <c r="J302" t="inlineStr">
        <is>
          <t>0</t>
        </is>
      </c>
      <c r="K302" t="inlineStr">
        <is>
          <t>Homer, William Innes.</t>
        </is>
      </c>
      <c r="L302" t="inlineStr">
        <is>
          <t>New York : Abrams, 1989.</t>
        </is>
      </c>
      <c r="M302" t="inlineStr">
        <is>
          <t>1989</t>
        </is>
      </c>
      <c r="O302" t="inlineStr">
        <is>
          <t>eng</t>
        </is>
      </c>
      <c r="P302" t="inlineStr">
        <is>
          <t>nyu</t>
        </is>
      </c>
      <c r="R302" t="inlineStr">
        <is>
          <t xml:space="preserve">ND </t>
        </is>
      </c>
      <c r="S302" t="n">
        <v>1</v>
      </c>
      <c r="T302" t="n">
        <v>1</v>
      </c>
      <c r="U302" t="inlineStr">
        <is>
          <t>2003-04-16</t>
        </is>
      </c>
      <c r="V302" t="inlineStr">
        <is>
          <t>2003-04-16</t>
        </is>
      </c>
      <c r="W302" t="inlineStr">
        <is>
          <t>1990-06-06</t>
        </is>
      </c>
      <c r="X302" t="inlineStr">
        <is>
          <t>1990-06-06</t>
        </is>
      </c>
      <c r="Y302" t="n">
        <v>834</v>
      </c>
      <c r="Z302" t="n">
        <v>758</v>
      </c>
      <c r="AA302" t="n">
        <v>760</v>
      </c>
      <c r="AB302" t="n">
        <v>7</v>
      </c>
      <c r="AC302" t="n">
        <v>7</v>
      </c>
      <c r="AD302" t="n">
        <v>33</v>
      </c>
      <c r="AE302" t="n">
        <v>33</v>
      </c>
      <c r="AF302" t="n">
        <v>12</v>
      </c>
      <c r="AG302" t="n">
        <v>12</v>
      </c>
      <c r="AH302" t="n">
        <v>9</v>
      </c>
      <c r="AI302" t="n">
        <v>9</v>
      </c>
      <c r="AJ302" t="n">
        <v>17</v>
      </c>
      <c r="AK302" t="n">
        <v>17</v>
      </c>
      <c r="AL302" t="n">
        <v>6</v>
      </c>
      <c r="AM302" t="n">
        <v>6</v>
      </c>
      <c r="AN302" t="n">
        <v>0</v>
      </c>
      <c r="AO302" t="n">
        <v>0</v>
      </c>
      <c r="AP302" t="inlineStr">
        <is>
          <t>No</t>
        </is>
      </c>
      <c r="AQ302" t="inlineStr">
        <is>
          <t>Yes</t>
        </is>
      </c>
      <c r="AR302">
        <f>HYPERLINK("http://catalog.hathitrust.org/Record/001833385","HathiTrust Record")</f>
        <v/>
      </c>
      <c r="AS302">
        <f>HYPERLINK("https://creighton-primo.hosted.exlibrisgroup.com/primo-explore/search?tab=default_tab&amp;search_scope=EVERYTHING&amp;vid=01CRU&amp;lang=en_US&amp;offset=0&amp;query=any,contains,991001445999702656","Catalog Record")</f>
        <v/>
      </c>
      <c r="AT302">
        <f>HYPERLINK("http://www.worldcat.org/oclc/19270820","WorldCat Record")</f>
        <v/>
      </c>
      <c r="AU302" t="inlineStr">
        <is>
          <t>21453771:eng</t>
        </is>
      </c>
      <c r="AV302" t="inlineStr">
        <is>
          <t>19270820</t>
        </is>
      </c>
      <c r="AW302" t="inlineStr">
        <is>
          <t>991001445999702656</t>
        </is>
      </c>
      <c r="AX302" t="inlineStr">
        <is>
          <t>991001445999702656</t>
        </is>
      </c>
      <c r="AY302" t="inlineStr">
        <is>
          <t>2268870010002656</t>
        </is>
      </c>
      <c r="AZ302" t="inlineStr">
        <is>
          <t>BOOK</t>
        </is>
      </c>
      <c r="BB302" t="inlineStr">
        <is>
          <t>9780810915992</t>
        </is>
      </c>
      <c r="BC302" t="inlineStr">
        <is>
          <t>32285000175132</t>
        </is>
      </c>
      <c r="BD302" t="inlineStr">
        <is>
          <t>893497096</t>
        </is>
      </c>
    </row>
    <row r="303">
      <c r="A303" t="inlineStr">
        <is>
          <t>No</t>
        </is>
      </c>
      <c r="B303" t="inlineStr">
        <is>
          <t>ND237.S3 A4 1998</t>
        </is>
      </c>
      <c r="C303" t="inlineStr">
        <is>
          <t>0                      ND 0237000S  3                  A  4           1998</t>
        </is>
      </c>
      <c r="D303" t="inlineStr">
        <is>
          <t>John Singer Sargent : complete paintings / Richard Ormond, Elaine Kilmurray.</t>
        </is>
      </c>
      <c r="E303" t="inlineStr">
        <is>
          <t>V. 1</t>
        </is>
      </c>
      <c r="F303" t="inlineStr">
        <is>
          <t>No</t>
        </is>
      </c>
      <c r="G303" t="inlineStr">
        <is>
          <t>1</t>
        </is>
      </c>
      <c r="H303" t="inlineStr">
        <is>
          <t>No</t>
        </is>
      </c>
      <c r="I303" t="inlineStr">
        <is>
          <t>No</t>
        </is>
      </c>
      <c r="J303" t="inlineStr">
        <is>
          <t>0</t>
        </is>
      </c>
      <c r="K303" t="inlineStr">
        <is>
          <t>Ormond, Richard.</t>
        </is>
      </c>
      <c r="L303" t="inlineStr">
        <is>
          <t>New Haven : Published for the Paul Mellon Centre for Studies in British Art by Yale University Press, c1998-</t>
        </is>
      </c>
      <c r="M303" t="inlineStr">
        <is>
          <t>1998</t>
        </is>
      </c>
      <c r="O303" t="inlineStr">
        <is>
          <t>eng</t>
        </is>
      </c>
      <c r="P303" t="inlineStr">
        <is>
          <t>ctu</t>
        </is>
      </c>
      <c r="R303" t="inlineStr">
        <is>
          <t xml:space="preserve">ND </t>
        </is>
      </c>
      <c r="S303" t="n">
        <v>5</v>
      </c>
      <c r="T303" t="n">
        <v>5</v>
      </c>
      <c r="U303" t="inlineStr">
        <is>
          <t>2007-05-24</t>
        </is>
      </c>
      <c r="V303" t="inlineStr">
        <is>
          <t>2007-05-24</t>
        </is>
      </c>
      <c r="W303" t="inlineStr">
        <is>
          <t>2001-09-12</t>
        </is>
      </c>
      <c r="X303" t="inlineStr">
        <is>
          <t>2001-09-12</t>
        </is>
      </c>
      <c r="Y303" t="n">
        <v>1261</v>
      </c>
      <c r="Z303" t="n">
        <v>1124</v>
      </c>
      <c r="AA303" t="n">
        <v>1133</v>
      </c>
      <c r="AB303" t="n">
        <v>5</v>
      </c>
      <c r="AC303" t="n">
        <v>5</v>
      </c>
      <c r="AD303" t="n">
        <v>37</v>
      </c>
      <c r="AE303" t="n">
        <v>37</v>
      </c>
      <c r="AF303" t="n">
        <v>17</v>
      </c>
      <c r="AG303" t="n">
        <v>17</v>
      </c>
      <c r="AH303" t="n">
        <v>11</v>
      </c>
      <c r="AI303" t="n">
        <v>11</v>
      </c>
      <c r="AJ303" t="n">
        <v>16</v>
      </c>
      <c r="AK303" t="n">
        <v>16</v>
      </c>
      <c r="AL303" t="n">
        <v>3</v>
      </c>
      <c r="AM303" t="n">
        <v>3</v>
      </c>
      <c r="AN303" t="n">
        <v>0</v>
      </c>
      <c r="AO303" t="n">
        <v>0</v>
      </c>
      <c r="AP303" t="inlineStr">
        <is>
          <t>No</t>
        </is>
      </c>
      <c r="AQ303" t="inlineStr">
        <is>
          <t>Yes</t>
        </is>
      </c>
      <c r="AR303">
        <f>HYPERLINK("http://catalog.hathitrust.org/Record/003979917","HathiTrust Record")</f>
        <v/>
      </c>
      <c r="AS303">
        <f>HYPERLINK("https://creighton-primo.hosted.exlibrisgroup.com/primo-explore/search?tab=default_tab&amp;search_scope=EVERYTHING&amp;vid=01CRU&amp;lang=en_US&amp;offset=0&amp;query=any,contains,991003594209702656","Catalog Record")</f>
        <v/>
      </c>
      <c r="AT303">
        <f>HYPERLINK("http://www.worldcat.org/oclc/37353722","WorldCat Record")</f>
        <v/>
      </c>
      <c r="AU303" t="inlineStr">
        <is>
          <t>5027137036:eng</t>
        </is>
      </c>
      <c r="AV303" t="inlineStr">
        <is>
          <t>37353722</t>
        </is>
      </c>
      <c r="AW303" t="inlineStr">
        <is>
          <t>991003594209702656</t>
        </is>
      </c>
      <c r="AX303" t="inlineStr">
        <is>
          <t>991003594209702656</t>
        </is>
      </c>
      <c r="AY303" t="inlineStr">
        <is>
          <t>2260601070002656</t>
        </is>
      </c>
      <c r="AZ303" t="inlineStr">
        <is>
          <t>BOOK</t>
        </is>
      </c>
      <c r="BB303" t="inlineStr">
        <is>
          <t>9780300072457</t>
        </is>
      </c>
      <c r="BC303" t="inlineStr">
        <is>
          <t>32285004390638</t>
        </is>
      </c>
      <c r="BD303" t="inlineStr">
        <is>
          <t>893793780</t>
        </is>
      </c>
    </row>
    <row r="304">
      <c r="A304" t="inlineStr">
        <is>
          <t>No</t>
        </is>
      </c>
      <c r="B304" t="inlineStr">
        <is>
          <t>ND237.S3 O7 1970b</t>
        </is>
      </c>
      <c r="C304" t="inlineStr">
        <is>
          <t>0                      ND 0237000S  3                  O  7           1970b</t>
        </is>
      </c>
      <c r="D304" t="inlineStr">
        <is>
          <t>John Singer Sargent : paintings, drawings, watercolors.</t>
        </is>
      </c>
      <c r="F304" t="inlineStr">
        <is>
          <t>No</t>
        </is>
      </c>
      <c r="G304" t="inlineStr">
        <is>
          <t>1</t>
        </is>
      </c>
      <c r="H304" t="inlineStr">
        <is>
          <t>No</t>
        </is>
      </c>
      <c r="I304" t="inlineStr">
        <is>
          <t>No</t>
        </is>
      </c>
      <c r="J304" t="inlineStr">
        <is>
          <t>0</t>
        </is>
      </c>
      <c r="K304" t="inlineStr">
        <is>
          <t>Ormond, Richard.</t>
        </is>
      </c>
      <c r="L304" t="inlineStr">
        <is>
          <t>New York : Harper &amp; Row, [1970]</t>
        </is>
      </c>
      <c r="M304" t="inlineStr">
        <is>
          <t>1970</t>
        </is>
      </c>
      <c r="N304" t="inlineStr">
        <is>
          <t>[1st U.S. ed.]</t>
        </is>
      </c>
      <c r="O304" t="inlineStr">
        <is>
          <t>eng</t>
        </is>
      </c>
      <c r="P304" t="inlineStr">
        <is>
          <t>nyu</t>
        </is>
      </c>
      <c r="R304" t="inlineStr">
        <is>
          <t xml:space="preserve">ND </t>
        </is>
      </c>
      <c r="S304" t="n">
        <v>8</v>
      </c>
      <c r="T304" t="n">
        <v>8</v>
      </c>
      <c r="U304" t="inlineStr">
        <is>
          <t>2002-03-24</t>
        </is>
      </c>
      <c r="V304" t="inlineStr">
        <is>
          <t>2002-03-24</t>
        </is>
      </c>
      <c r="W304" t="inlineStr">
        <is>
          <t>1995-10-03</t>
        </is>
      </c>
      <c r="X304" t="inlineStr">
        <is>
          <t>1995-10-03</t>
        </is>
      </c>
      <c r="Y304" t="n">
        <v>837</v>
      </c>
      <c r="Z304" t="n">
        <v>805</v>
      </c>
      <c r="AA304" t="n">
        <v>862</v>
      </c>
      <c r="AB304" t="n">
        <v>5</v>
      </c>
      <c r="AC304" t="n">
        <v>5</v>
      </c>
      <c r="AD304" t="n">
        <v>25</v>
      </c>
      <c r="AE304" t="n">
        <v>27</v>
      </c>
      <c r="AF304" t="n">
        <v>13</v>
      </c>
      <c r="AG304" t="n">
        <v>13</v>
      </c>
      <c r="AH304" t="n">
        <v>3</v>
      </c>
      <c r="AI304" t="n">
        <v>3</v>
      </c>
      <c r="AJ304" t="n">
        <v>13</v>
      </c>
      <c r="AK304" t="n">
        <v>15</v>
      </c>
      <c r="AL304" t="n">
        <v>3</v>
      </c>
      <c r="AM304" t="n">
        <v>3</v>
      </c>
      <c r="AN304" t="n">
        <v>0</v>
      </c>
      <c r="AO304" t="n">
        <v>0</v>
      </c>
      <c r="AP304" t="inlineStr">
        <is>
          <t>No</t>
        </is>
      </c>
      <c r="AQ304" t="inlineStr">
        <is>
          <t>Yes</t>
        </is>
      </c>
      <c r="AR304">
        <f>HYPERLINK("http://catalog.hathitrust.org/Record/000369553","HathiTrust Record")</f>
        <v/>
      </c>
      <c r="AS304">
        <f>HYPERLINK("https://creighton-primo.hosted.exlibrisgroup.com/primo-explore/search?tab=default_tab&amp;search_scope=EVERYTHING&amp;vid=01CRU&amp;lang=en_US&amp;offset=0&amp;query=any,contains,991000611609702656","Catalog Record")</f>
        <v/>
      </c>
      <c r="AT304">
        <f>HYPERLINK("http://www.worldcat.org/oclc/100614","WorldCat Record")</f>
        <v/>
      </c>
      <c r="AU304" t="inlineStr">
        <is>
          <t>291777439:eng</t>
        </is>
      </c>
      <c r="AV304" t="inlineStr">
        <is>
          <t>100614</t>
        </is>
      </c>
      <c r="AW304" t="inlineStr">
        <is>
          <t>991000611609702656</t>
        </is>
      </c>
      <c r="AX304" t="inlineStr">
        <is>
          <t>991000611609702656</t>
        </is>
      </c>
      <c r="AY304" t="inlineStr">
        <is>
          <t>2258406390002656</t>
        </is>
      </c>
      <c r="AZ304" t="inlineStr">
        <is>
          <t>BOOK</t>
        </is>
      </c>
      <c r="BC304" t="inlineStr">
        <is>
          <t>32285002024700</t>
        </is>
      </c>
      <c r="BD304" t="inlineStr">
        <is>
          <t>893890858</t>
        </is>
      </c>
    </row>
    <row r="305">
      <c r="A305" t="inlineStr">
        <is>
          <t>No</t>
        </is>
      </c>
      <c r="B305" t="inlineStr">
        <is>
          <t>ND237.S4338 S37 1976</t>
        </is>
      </c>
      <c r="C305" t="inlineStr">
        <is>
          <t>0                      ND 0237000S  4338               S  37          1976</t>
        </is>
      </c>
      <c r="D305" t="inlineStr">
        <is>
          <t>Frank Schoonover, illustrator of the North American frontier / by Cortlandt Schoonover.</t>
        </is>
      </c>
      <c r="F305" t="inlineStr">
        <is>
          <t>No</t>
        </is>
      </c>
      <c r="G305" t="inlineStr">
        <is>
          <t>1</t>
        </is>
      </c>
      <c r="H305" t="inlineStr">
        <is>
          <t>No</t>
        </is>
      </c>
      <c r="I305" t="inlineStr">
        <is>
          <t>No</t>
        </is>
      </c>
      <c r="J305" t="inlineStr">
        <is>
          <t>0</t>
        </is>
      </c>
      <c r="K305" t="inlineStr">
        <is>
          <t>Schoonover, Frank E., 1877-1972.</t>
        </is>
      </c>
      <c r="L305" t="inlineStr">
        <is>
          <t>New York : Watson-Guptill Publications, 1976.</t>
        </is>
      </c>
      <c r="M305" t="inlineStr">
        <is>
          <t>1976</t>
        </is>
      </c>
      <c r="O305" t="inlineStr">
        <is>
          <t>eng</t>
        </is>
      </c>
      <c r="P305" t="inlineStr">
        <is>
          <t>nyu</t>
        </is>
      </c>
      <c r="R305" t="inlineStr">
        <is>
          <t xml:space="preserve">ND </t>
        </is>
      </c>
      <c r="S305" t="n">
        <v>2</v>
      </c>
      <c r="T305" t="n">
        <v>2</v>
      </c>
      <c r="U305" t="inlineStr">
        <is>
          <t>2005-08-22</t>
        </is>
      </c>
      <c r="V305" t="inlineStr">
        <is>
          <t>2005-08-22</t>
        </is>
      </c>
      <c r="W305" t="inlineStr">
        <is>
          <t>2005-08-22</t>
        </is>
      </c>
      <c r="X305" t="inlineStr">
        <is>
          <t>2005-08-22</t>
        </is>
      </c>
      <c r="Y305" t="n">
        <v>703</v>
      </c>
      <c r="Z305" t="n">
        <v>670</v>
      </c>
      <c r="AA305" t="n">
        <v>673</v>
      </c>
      <c r="AB305" t="n">
        <v>8</v>
      </c>
      <c r="AC305" t="n">
        <v>8</v>
      </c>
      <c r="AD305" t="n">
        <v>9</v>
      </c>
      <c r="AE305" t="n">
        <v>9</v>
      </c>
      <c r="AF305" t="n">
        <v>2</v>
      </c>
      <c r="AG305" t="n">
        <v>2</v>
      </c>
      <c r="AH305" t="n">
        <v>1</v>
      </c>
      <c r="AI305" t="n">
        <v>1</v>
      </c>
      <c r="AJ305" t="n">
        <v>1</v>
      </c>
      <c r="AK305" t="n">
        <v>1</v>
      </c>
      <c r="AL305" t="n">
        <v>4</v>
      </c>
      <c r="AM305" t="n">
        <v>4</v>
      </c>
      <c r="AN305" t="n">
        <v>1</v>
      </c>
      <c r="AO305" t="n">
        <v>1</v>
      </c>
      <c r="AP305" t="inlineStr">
        <is>
          <t>No</t>
        </is>
      </c>
      <c r="AQ305" t="inlineStr">
        <is>
          <t>Yes</t>
        </is>
      </c>
      <c r="AR305">
        <f>HYPERLINK("http://catalog.hathitrust.org/Record/000691511","HathiTrust Record")</f>
        <v/>
      </c>
      <c r="AS305">
        <f>HYPERLINK("https://creighton-primo.hosted.exlibrisgroup.com/primo-explore/search?tab=default_tab&amp;search_scope=EVERYTHING&amp;vid=01CRU&amp;lang=en_US&amp;offset=0&amp;query=any,contains,991004632529702656","Catalog Record")</f>
        <v/>
      </c>
      <c r="AT305">
        <f>HYPERLINK("http://www.worldcat.org/oclc/2213316","WorldCat Record")</f>
        <v/>
      </c>
      <c r="AU305" t="inlineStr">
        <is>
          <t>3998705:eng</t>
        </is>
      </c>
      <c r="AV305" t="inlineStr">
        <is>
          <t>2213316</t>
        </is>
      </c>
      <c r="AW305" t="inlineStr">
        <is>
          <t>991004632529702656</t>
        </is>
      </c>
      <c r="AX305" t="inlineStr">
        <is>
          <t>991004632529702656</t>
        </is>
      </c>
      <c r="AY305" t="inlineStr">
        <is>
          <t>2256166040002656</t>
        </is>
      </c>
      <c r="AZ305" t="inlineStr">
        <is>
          <t>BOOK</t>
        </is>
      </c>
      <c r="BB305" t="inlineStr">
        <is>
          <t>9780823046553</t>
        </is>
      </c>
      <c r="BC305" t="inlineStr">
        <is>
          <t>32285005081681</t>
        </is>
      </c>
      <c r="BD305" t="inlineStr">
        <is>
          <t>893253912</t>
        </is>
      </c>
    </row>
    <row r="306">
      <c r="A306" t="inlineStr">
        <is>
          <t>No</t>
        </is>
      </c>
      <c r="B306" t="inlineStr">
        <is>
          <t>ND237.S47 L8 1991</t>
        </is>
      </c>
      <c r="C306" t="inlineStr">
        <is>
          <t>0                      ND 0237000S  47                 L  8           1991</t>
        </is>
      </c>
      <c r="D306" t="inlineStr">
        <is>
          <t>Charles Sheeler and the cult of the machine / Karen Lucic.</t>
        </is>
      </c>
      <c r="F306" t="inlineStr">
        <is>
          <t>No</t>
        </is>
      </c>
      <c r="G306" t="inlineStr">
        <is>
          <t>1</t>
        </is>
      </c>
      <c r="H306" t="inlineStr">
        <is>
          <t>No</t>
        </is>
      </c>
      <c r="I306" t="inlineStr">
        <is>
          <t>No</t>
        </is>
      </c>
      <c r="J306" t="inlineStr">
        <is>
          <t>0</t>
        </is>
      </c>
      <c r="K306" t="inlineStr">
        <is>
          <t>Lucic, Karen, 1950-</t>
        </is>
      </c>
      <c r="L306" t="inlineStr">
        <is>
          <t>Cambridge, Mass. : Harvard University Press, 1991.</t>
        </is>
      </c>
      <c r="M306" t="inlineStr">
        <is>
          <t>1991</t>
        </is>
      </c>
      <c r="O306" t="inlineStr">
        <is>
          <t>eng</t>
        </is>
      </c>
      <c r="P306" t="inlineStr">
        <is>
          <t>mau</t>
        </is>
      </c>
      <c r="R306" t="inlineStr">
        <is>
          <t xml:space="preserve">ND </t>
        </is>
      </c>
      <c r="S306" t="n">
        <v>3</v>
      </c>
      <c r="T306" t="n">
        <v>3</v>
      </c>
      <c r="U306" t="inlineStr">
        <is>
          <t>2003-04-25</t>
        </is>
      </c>
      <c r="V306" t="inlineStr">
        <is>
          <t>2003-04-25</t>
        </is>
      </c>
      <c r="W306" t="inlineStr">
        <is>
          <t>1992-07-28</t>
        </is>
      </c>
      <c r="X306" t="inlineStr">
        <is>
          <t>1992-07-28</t>
        </is>
      </c>
      <c r="Y306" t="n">
        <v>455</v>
      </c>
      <c r="Z306" t="n">
        <v>402</v>
      </c>
      <c r="AA306" t="n">
        <v>455</v>
      </c>
      <c r="AB306" t="n">
        <v>3</v>
      </c>
      <c r="AC306" t="n">
        <v>4</v>
      </c>
      <c r="AD306" t="n">
        <v>19</v>
      </c>
      <c r="AE306" t="n">
        <v>21</v>
      </c>
      <c r="AF306" t="n">
        <v>9</v>
      </c>
      <c r="AG306" t="n">
        <v>10</v>
      </c>
      <c r="AH306" t="n">
        <v>5</v>
      </c>
      <c r="AI306" t="n">
        <v>5</v>
      </c>
      <c r="AJ306" t="n">
        <v>9</v>
      </c>
      <c r="AK306" t="n">
        <v>11</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HYPERLINK("https://creighton-primo.hosted.exlibrisgroup.com/primo-explore/search?tab=default_tab&amp;search_scope=EVERYTHING&amp;vid=01CRU&amp;lang=en_US&amp;offset=0&amp;query=any,contains,991001829769702656","Catalog Record")</f>
        <v/>
      </c>
      <c r="AT306">
        <f>HYPERLINK("http://www.worldcat.org/oclc/22983956","WorldCat Record")</f>
        <v/>
      </c>
      <c r="AU306" t="inlineStr">
        <is>
          <t>2678658:eng</t>
        </is>
      </c>
      <c r="AV306" t="inlineStr">
        <is>
          <t>22983956</t>
        </is>
      </c>
      <c r="AW306" t="inlineStr">
        <is>
          <t>991001829769702656</t>
        </is>
      </c>
      <c r="AX306" t="inlineStr">
        <is>
          <t>991001829769702656</t>
        </is>
      </c>
      <c r="AY306" t="inlineStr">
        <is>
          <t>2255727420002656</t>
        </is>
      </c>
      <c r="AZ306" t="inlineStr">
        <is>
          <t>BOOK</t>
        </is>
      </c>
      <c r="BB306" t="inlineStr">
        <is>
          <t>9780674111110</t>
        </is>
      </c>
      <c r="BC306" t="inlineStr">
        <is>
          <t>32285001195501</t>
        </is>
      </c>
      <c r="BD306" t="inlineStr">
        <is>
          <t>893791747</t>
        </is>
      </c>
    </row>
    <row r="307">
      <c r="A307" t="inlineStr">
        <is>
          <t>No</t>
        </is>
      </c>
      <c r="B307" t="inlineStr">
        <is>
          <t>ND237.S47 R6 1969</t>
        </is>
      </c>
      <c r="C307" t="inlineStr">
        <is>
          <t>0                      ND 0237000S  47                 R  6           1969</t>
        </is>
      </c>
      <c r="D307" t="inlineStr">
        <is>
          <t>Charles Sheeler, artist in the American tradition.</t>
        </is>
      </c>
      <c r="F307" t="inlineStr">
        <is>
          <t>No</t>
        </is>
      </c>
      <c r="G307" t="inlineStr">
        <is>
          <t>1</t>
        </is>
      </c>
      <c r="H307" t="inlineStr">
        <is>
          <t>No</t>
        </is>
      </c>
      <c r="I307" t="inlineStr">
        <is>
          <t>No</t>
        </is>
      </c>
      <c r="J307" t="inlineStr">
        <is>
          <t>0</t>
        </is>
      </c>
      <c r="K307" t="inlineStr">
        <is>
          <t>Rourke, Constance, 1885-1941.</t>
        </is>
      </c>
      <c r="L307" t="inlineStr">
        <is>
          <t>New York, Kennedy Galleries, 1969 [c1938]</t>
        </is>
      </c>
      <c r="M307" t="inlineStr">
        <is>
          <t>1969</t>
        </is>
      </c>
      <c r="O307" t="inlineStr">
        <is>
          <t>eng</t>
        </is>
      </c>
      <c r="P307" t="inlineStr">
        <is>
          <t>nyu</t>
        </is>
      </c>
      <c r="Q307" t="inlineStr">
        <is>
          <t>Library of American art</t>
        </is>
      </c>
      <c r="R307" t="inlineStr">
        <is>
          <t xml:space="preserve">ND </t>
        </is>
      </c>
      <c r="S307" t="n">
        <v>1</v>
      </c>
      <c r="T307" t="n">
        <v>1</v>
      </c>
      <c r="U307" t="inlineStr">
        <is>
          <t>2003-04-25</t>
        </is>
      </c>
      <c r="V307" t="inlineStr">
        <is>
          <t>2003-04-25</t>
        </is>
      </c>
      <c r="W307" t="inlineStr">
        <is>
          <t>1992-06-10</t>
        </is>
      </c>
      <c r="X307" t="inlineStr">
        <is>
          <t>1992-06-10</t>
        </is>
      </c>
      <c r="Y307" t="n">
        <v>311</v>
      </c>
      <c r="Z307" t="n">
        <v>281</v>
      </c>
      <c r="AA307" t="n">
        <v>630</v>
      </c>
      <c r="AB307" t="n">
        <v>3</v>
      </c>
      <c r="AC307" t="n">
        <v>5</v>
      </c>
      <c r="AD307" t="n">
        <v>13</v>
      </c>
      <c r="AE307" t="n">
        <v>23</v>
      </c>
      <c r="AF307" t="n">
        <v>6</v>
      </c>
      <c r="AG307" t="n">
        <v>9</v>
      </c>
      <c r="AH307" t="n">
        <v>2</v>
      </c>
      <c r="AI307" t="n">
        <v>6</v>
      </c>
      <c r="AJ307" t="n">
        <v>4</v>
      </c>
      <c r="AK307" t="n">
        <v>10</v>
      </c>
      <c r="AL307" t="n">
        <v>2</v>
      </c>
      <c r="AM307" t="n">
        <v>3</v>
      </c>
      <c r="AN307" t="n">
        <v>0</v>
      </c>
      <c r="AO307" t="n">
        <v>0</v>
      </c>
      <c r="AP307" t="inlineStr">
        <is>
          <t>No</t>
        </is>
      </c>
      <c r="AQ307" t="inlineStr">
        <is>
          <t>Yes</t>
        </is>
      </c>
      <c r="AR307">
        <f>HYPERLINK("http://catalog.hathitrust.org/Record/004504143","HathiTrust Record")</f>
        <v/>
      </c>
      <c r="AS307">
        <f>HYPERLINK("https://creighton-primo.hosted.exlibrisgroup.com/primo-explore/search?tab=default_tab&amp;search_scope=EVERYTHING&amp;vid=01CRU&amp;lang=en_US&amp;offset=0&amp;query=any,contains,991000135849702656","Catalog Record")</f>
        <v/>
      </c>
      <c r="AT307">
        <f>HYPERLINK("http://www.worldcat.org/oclc/56232","WorldCat Record")</f>
        <v/>
      </c>
      <c r="AU307" t="inlineStr">
        <is>
          <t>1188234:eng</t>
        </is>
      </c>
      <c r="AV307" t="inlineStr">
        <is>
          <t>56232</t>
        </is>
      </c>
      <c r="AW307" t="inlineStr">
        <is>
          <t>991000135849702656</t>
        </is>
      </c>
      <c r="AX307" t="inlineStr">
        <is>
          <t>991000135849702656</t>
        </is>
      </c>
      <c r="AY307" t="inlineStr">
        <is>
          <t>2261215960002656</t>
        </is>
      </c>
      <c r="AZ307" t="inlineStr">
        <is>
          <t>BOOK</t>
        </is>
      </c>
      <c r="BC307" t="inlineStr">
        <is>
          <t>32285001098762</t>
        </is>
      </c>
      <c r="BD307" t="inlineStr">
        <is>
          <t>893243023</t>
        </is>
      </c>
    </row>
    <row r="308">
      <c r="A308" t="inlineStr">
        <is>
          <t>No</t>
        </is>
      </c>
      <c r="B308" t="inlineStr">
        <is>
          <t>ND237.S683 R6</t>
        </is>
      </c>
      <c r="C308" t="inlineStr">
        <is>
          <t>0                      ND 0237000S  683                R  6</t>
        </is>
      </c>
      <c r="D308" t="inlineStr">
        <is>
          <t>Frank Stella.</t>
        </is>
      </c>
      <c r="F308" t="inlineStr">
        <is>
          <t>No</t>
        </is>
      </c>
      <c r="G308" t="inlineStr">
        <is>
          <t>1</t>
        </is>
      </c>
      <c r="H308" t="inlineStr">
        <is>
          <t>No</t>
        </is>
      </c>
      <c r="I308" t="inlineStr">
        <is>
          <t>No</t>
        </is>
      </c>
      <c r="J308" t="inlineStr">
        <is>
          <t>0</t>
        </is>
      </c>
      <c r="K308" t="inlineStr">
        <is>
          <t>Rosenblum, Robert.</t>
        </is>
      </c>
      <c r="L308" t="inlineStr">
        <is>
          <t>[Harmondsworth, Eng. : Penguin Books, 1971]</t>
        </is>
      </c>
      <c r="M308" t="inlineStr">
        <is>
          <t>1971</t>
        </is>
      </c>
      <c r="O308" t="inlineStr">
        <is>
          <t>eng</t>
        </is>
      </c>
      <c r="P308" t="inlineStr">
        <is>
          <t>enk</t>
        </is>
      </c>
      <c r="Q308" t="inlineStr">
        <is>
          <t>Penguin new art ; 1</t>
        </is>
      </c>
      <c r="R308" t="inlineStr">
        <is>
          <t xml:space="preserve">ND </t>
        </is>
      </c>
      <c r="S308" t="n">
        <v>2</v>
      </c>
      <c r="T308" t="n">
        <v>2</v>
      </c>
      <c r="U308" t="inlineStr">
        <is>
          <t>2010-04-18</t>
        </is>
      </c>
      <c r="V308" t="inlineStr">
        <is>
          <t>2010-04-18</t>
        </is>
      </c>
      <c r="W308" t="inlineStr">
        <is>
          <t>1994-12-12</t>
        </is>
      </c>
      <c r="X308" t="inlineStr">
        <is>
          <t>1994-12-12</t>
        </is>
      </c>
      <c r="Y308" t="n">
        <v>548</v>
      </c>
      <c r="Z308" t="n">
        <v>432</v>
      </c>
      <c r="AA308" t="n">
        <v>435</v>
      </c>
      <c r="AB308" t="n">
        <v>3</v>
      </c>
      <c r="AC308" t="n">
        <v>3</v>
      </c>
      <c r="AD308" t="n">
        <v>15</v>
      </c>
      <c r="AE308" t="n">
        <v>15</v>
      </c>
      <c r="AF308" t="n">
        <v>4</v>
      </c>
      <c r="AG308" t="n">
        <v>4</v>
      </c>
      <c r="AH308" t="n">
        <v>3</v>
      </c>
      <c r="AI308" t="n">
        <v>3</v>
      </c>
      <c r="AJ308" t="n">
        <v>7</v>
      </c>
      <c r="AK308" t="n">
        <v>7</v>
      </c>
      <c r="AL308" t="n">
        <v>2</v>
      </c>
      <c r="AM308" t="n">
        <v>2</v>
      </c>
      <c r="AN308" t="n">
        <v>0</v>
      </c>
      <c r="AO308" t="n">
        <v>0</v>
      </c>
      <c r="AP308" t="inlineStr">
        <is>
          <t>No</t>
        </is>
      </c>
      <c r="AQ308" t="inlineStr">
        <is>
          <t>Yes</t>
        </is>
      </c>
      <c r="AR308">
        <f>HYPERLINK("http://catalog.hathitrust.org/Record/000002469","HathiTrust Record")</f>
        <v/>
      </c>
      <c r="AS308">
        <f>HYPERLINK("https://creighton-primo.hosted.exlibrisgroup.com/primo-explore/search?tab=default_tab&amp;search_scope=EVERYTHING&amp;vid=01CRU&amp;lang=en_US&amp;offset=0&amp;query=any,contains,991000925719702656","Catalog Record")</f>
        <v/>
      </c>
      <c r="AT308">
        <f>HYPERLINK("http://www.worldcat.org/oclc/163252","WorldCat Record")</f>
        <v/>
      </c>
      <c r="AU308" t="inlineStr">
        <is>
          <t>1909090847:eng</t>
        </is>
      </c>
      <c r="AV308" t="inlineStr">
        <is>
          <t>163252</t>
        </is>
      </c>
      <c r="AW308" t="inlineStr">
        <is>
          <t>991000925719702656</t>
        </is>
      </c>
      <c r="AX308" t="inlineStr">
        <is>
          <t>991000925719702656</t>
        </is>
      </c>
      <c r="AY308" t="inlineStr">
        <is>
          <t>2272149220002656</t>
        </is>
      </c>
      <c r="AZ308" t="inlineStr">
        <is>
          <t>BOOK</t>
        </is>
      </c>
      <c r="BB308" t="inlineStr">
        <is>
          <t>9780140706215</t>
        </is>
      </c>
      <c r="BC308" t="inlineStr">
        <is>
          <t>32285001981660</t>
        </is>
      </c>
      <c r="BD308" t="inlineStr">
        <is>
          <t>893865800</t>
        </is>
      </c>
    </row>
    <row r="309">
      <c r="A309" t="inlineStr">
        <is>
          <t>No</t>
        </is>
      </c>
      <c r="B309" t="inlineStr">
        <is>
          <t>ND237.T5 A4 1982</t>
        </is>
      </c>
      <c r="C309" t="inlineStr">
        <is>
          <t>0                      ND 0237000T  5                  A  4           1982</t>
        </is>
      </c>
      <c r="D309" t="inlineStr">
        <is>
          <t>Abbott Handerson Thayer / Ross Anderson ; [editor, Eric Haines Patterson].</t>
        </is>
      </c>
      <c r="F309" t="inlineStr">
        <is>
          <t>No</t>
        </is>
      </c>
      <c r="G309" t="inlineStr">
        <is>
          <t>1</t>
        </is>
      </c>
      <c r="H309" t="inlineStr">
        <is>
          <t>No</t>
        </is>
      </c>
      <c r="I309" t="inlineStr">
        <is>
          <t>No</t>
        </is>
      </c>
      <c r="J309" t="inlineStr">
        <is>
          <t>0</t>
        </is>
      </c>
      <c r="K309" t="inlineStr">
        <is>
          <t>Anderson, Ross, 1951-</t>
        </is>
      </c>
      <c r="L309" t="inlineStr">
        <is>
          <t>Syracuse, N.Y. : Everson Museum, 1982.</t>
        </is>
      </c>
      <c r="M309" t="inlineStr">
        <is>
          <t>1982</t>
        </is>
      </c>
      <c r="O309" t="inlineStr">
        <is>
          <t>eng</t>
        </is>
      </c>
      <c r="P309" t="inlineStr">
        <is>
          <t>nyu</t>
        </is>
      </c>
      <c r="R309" t="inlineStr">
        <is>
          <t xml:space="preserve">ND </t>
        </is>
      </c>
      <c r="S309" t="n">
        <v>0</v>
      </c>
      <c r="T309" t="n">
        <v>0</v>
      </c>
      <c r="U309" t="inlineStr">
        <is>
          <t>2005-03-04</t>
        </is>
      </c>
      <c r="V309" t="inlineStr">
        <is>
          <t>2005-03-04</t>
        </is>
      </c>
      <c r="W309" t="inlineStr">
        <is>
          <t>1993-05-21</t>
        </is>
      </c>
      <c r="X309" t="inlineStr">
        <is>
          <t>1993-05-21</t>
        </is>
      </c>
      <c r="Y309" t="n">
        <v>377</v>
      </c>
      <c r="Z309" t="n">
        <v>346</v>
      </c>
      <c r="AA309" t="n">
        <v>347</v>
      </c>
      <c r="AB309" t="n">
        <v>3</v>
      </c>
      <c r="AC309" t="n">
        <v>3</v>
      </c>
      <c r="AD309" t="n">
        <v>6</v>
      </c>
      <c r="AE309" t="n">
        <v>6</v>
      </c>
      <c r="AF309" t="n">
        <v>2</v>
      </c>
      <c r="AG309" t="n">
        <v>2</v>
      </c>
      <c r="AH309" t="n">
        <v>1</v>
      </c>
      <c r="AI309" t="n">
        <v>1</v>
      </c>
      <c r="AJ309" t="n">
        <v>4</v>
      </c>
      <c r="AK309" t="n">
        <v>4</v>
      </c>
      <c r="AL309" t="n">
        <v>1</v>
      </c>
      <c r="AM309" t="n">
        <v>1</v>
      </c>
      <c r="AN309" t="n">
        <v>0</v>
      </c>
      <c r="AO309" t="n">
        <v>0</v>
      </c>
      <c r="AP309" t="inlineStr">
        <is>
          <t>No</t>
        </is>
      </c>
      <c r="AQ309" t="inlineStr">
        <is>
          <t>Yes</t>
        </is>
      </c>
      <c r="AR309">
        <f>HYPERLINK("http://catalog.hathitrust.org/Record/000189876","HathiTrust Record")</f>
        <v/>
      </c>
      <c r="AS309">
        <f>HYPERLINK("https://creighton-primo.hosted.exlibrisgroup.com/primo-explore/search?tab=default_tab&amp;search_scope=EVERYTHING&amp;vid=01CRU&amp;lang=en_US&amp;offset=0&amp;query=any,contains,991000085119702656","Catalog Record")</f>
        <v/>
      </c>
      <c r="AT309">
        <f>HYPERLINK("http://www.worldcat.org/oclc/8857434","WorldCat Record")</f>
        <v/>
      </c>
      <c r="AU309" t="inlineStr">
        <is>
          <t>43529668:eng</t>
        </is>
      </c>
      <c r="AV309" t="inlineStr">
        <is>
          <t>8857434</t>
        </is>
      </c>
      <c r="AW309" t="inlineStr">
        <is>
          <t>991000085119702656</t>
        </is>
      </c>
      <c r="AX309" t="inlineStr">
        <is>
          <t>991000085119702656</t>
        </is>
      </c>
      <c r="AY309" t="inlineStr">
        <is>
          <t>2258567040002656</t>
        </is>
      </c>
      <c r="AZ309" t="inlineStr">
        <is>
          <t>BOOK</t>
        </is>
      </c>
      <c r="BC309" t="inlineStr">
        <is>
          <t>32285001691434</t>
        </is>
      </c>
      <c r="BD309" t="inlineStr">
        <is>
          <t>893508501</t>
        </is>
      </c>
    </row>
    <row r="310">
      <c r="A310" t="inlineStr">
        <is>
          <t>No</t>
        </is>
      </c>
      <c r="B310" t="inlineStr">
        <is>
          <t>ND237.T585 G37 1985b</t>
        </is>
      </c>
      <c r="C310" t="inlineStr">
        <is>
          <t>0                      ND 0237000T  585                G  37          1985b</t>
        </is>
      </c>
      <c r="D310" t="inlineStr">
        <is>
          <t>George Tooker / by Thomas H. Garver.</t>
        </is>
      </c>
      <c r="F310" t="inlineStr">
        <is>
          <t>No</t>
        </is>
      </c>
      <c r="G310" t="inlineStr">
        <is>
          <t>1</t>
        </is>
      </c>
      <c r="H310" t="inlineStr">
        <is>
          <t>No</t>
        </is>
      </c>
      <c r="I310" t="inlineStr">
        <is>
          <t>No</t>
        </is>
      </c>
      <c r="J310" t="inlineStr">
        <is>
          <t>0</t>
        </is>
      </c>
      <c r="K310" t="inlineStr">
        <is>
          <t>Garver, Thomas H.</t>
        </is>
      </c>
      <c r="L310" t="inlineStr">
        <is>
          <t>New York : C.H. Potter : Distributed by Crown Publishers, c1985.</t>
        </is>
      </c>
      <c r="M310" t="inlineStr">
        <is>
          <t>1985</t>
        </is>
      </c>
      <c r="N310" t="inlineStr">
        <is>
          <t>1st ed.</t>
        </is>
      </c>
      <c r="O310" t="inlineStr">
        <is>
          <t>eng</t>
        </is>
      </c>
      <c r="P310" t="inlineStr">
        <is>
          <t>nyu</t>
        </is>
      </c>
      <c r="R310" t="inlineStr">
        <is>
          <t xml:space="preserve">ND </t>
        </is>
      </c>
      <c r="S310" t="n">
        <v>2</v>
      </c>
      <c r="T310" t="n">
        <v>2</v>
      </c>
      <c r="U310" t="inlineStr">
        <is>
          <t>2005-03-08</t>
        </is>
      </c>
      <c r="V310" t="inlineStr">
        <is>
          <t>2005-03-08</t>
        </is>
      </c>
      <c r="W310" t="inlineStr">
        <is>
          <t>1992-04-03</t>
        </is>
      </c>
      <c r="X310" t="inlineStr">
        <is>
          <t>1992-04-03</t>
        </is>
      </c>
      <c r="Y310" t="n">
        <v>368</v>
      </c>
      <c r="Z310" t="n">
        <v>327</v>
      </c>
      <c r="AA310" t="n">
        <v>397</v>
      </c>
      <c r="AB310" t="n">
        <v>4</v>
      </c>
      <c r="AC310" t="n">
        <v>4</v>
      </c>
      <c r="AD310" t="n">
        <v>10</v>
      </c>
      <c r="AE310" t="n">
        <v>12</v>
      </c>
      <c r="AF310" t="n">
        <v>5</v>
      </c>
      <c r="AG310" t="n">
        <v>6</v>
      </c>
      <c r="AH310" t="n">
        <v>1</v>
      </c>
      <c r="AI310" t="n">
        <v>2</v>
      </c>
      <c r="AJ310" t="n">
        <v>5</v>
      </c>
      <c r="AK310" t="n">
        <v>5</v>
      </c>
      <c r="AL310" t="n">
        <v>3</v>
      </c>
      <c r="AM310" t="n">
        <v>3</v>
      </c>
      <c r="AN310" t="n">
        <v>0</v>
      </c>
      <c r="AO310" t="n">
        <v>0</v>
      </c>
      <c r="AP310" t="inlineStr">
        <is>
          <t>No</t>
        </is>
      </c>
      <c r="AQ310" t="inlineStr">
        <is>
          <t>Yes</t>
        </is>
      </c>
      <c r="AR310">
        <f>HYPERLINK("http://catalog.hathitrust.org/Record/000425995","HathiTrust Record")</f>
        <v/>
      </c>
      <c r="AS310">
        <f>HYPERLINK("https://creighton-primo.hosted.exlibrisgroup.com/primo-explore/search?tab=default_tab&amp;search_scope=EVERYTHING&amp;vid=01CRU&amp;lang=en_US&amp;offset=0&amp;query=any,contains,991000670299702656","Catalog Record")</f>
        <v/>
      </c>
      <c r="AT310">
        <f>HYPERLINK("http://www.worldcat.org/oclc/12314186","WorldCat Record")</f>
        <v/>
      </c>
      <c r="AU310" t="inlineStr">
        <is>
          <t>16537800:eng</t>
        </is>
      </c>
      <c r="AV310" t="inlineStr">
        <is>
          <t>12314186</t>
        </is>
      </c>
      <c r="AW310" t="inlineStr">
        <is>
          <t>991000670299702656</t>
        </is>
      </c>
      <c r="AX310" t="inlineStr">
        <is>
          <t>991000670299702656</t>
        </is>
      </c>
      <c r="AY310" t="inlineStr">
        <is>
          <t>2271599890002656</t>
        </is>
      </c>
      <c r="AZ310" t="inlineStr">
        <is>
          <t>BOOK</t>
        </is>
      </c>
      <c r="BB310" t="inlineStr">
        <is>
          <t>9780517560181</t>
        </is>
      </c>
      <c r="BC310" t="inlineStr">
        <is>
          <t>32285001033587</t>
        </is>
      </c>
      <c r="BD310" t="inlineStr">
        <is>
          <t>893796890</t>
        </is>
      </c>
    </row>
    <row r="311">
      <c r="A311" t="inlineStr">
        <is>
          <t>No</t>
        </is>
      </c>
      <c r="B311" t="inlineStr">
        <is>
          <t>ND237.T64 M3 1981</t>
        </is>
      </c>
      <c r="C311" t="inlineStr">
        <is>
          <t>0                      ND 0237000T  64                 M  3           1981</t>
        </is>
      </c>
      <c r="D311" t="inlineStr">
        <is>
          <t>The race horses of America, 1832-1872 : portraits and other paintings by Edward Troye / Alexander Mackay-Smith.</t>
        </is>
      </c>
      <c r="F311" t="inlineStr">
        <is>
          <t>No</t>
        </is>
      </c>
      <c r="G311" t="inlineStr">
        <is>
          <t>1</t>
        </is>
      </c>
      <c r="H311" t="inlineStr">
        <is>
          <t>No</t>
        </is>
      </c>
      <c r="I311" t="inlineStr">
        <is>
          <t>No</t>
        </is>
      </c>
      <c r="J311" t="inlineStr">
        <is>
          <t>0</t>
        </is>
      </c>
      <c r="K311" t="inlineStr">
        <is>
          <t>Mackay-Smith, Alexander.</t>
        </is>
      </c>
      <c r="L311" t="inlineStr">
        <is>
          <t>Saratoga Springs, N.Y. : National Museum of Racing, 1981.</t>
        </is>
      </c>
      <c r="M311" t="inlineStr">
        <is>
          <t>1981</t>
        </is>
      </c>
      <c r="O311" t="inlineStr">
        <is>
          <t>eng</t>
        </is>
      </c>
      <c r="P311" t="inlineStr">
        <is>
          <t>nyu</t>
        </is>
      </c>
      <c r="R311" t="inlineStr">
        <is>
          <t xml:space="preserve">ND </t>
        </is>
      </c>
      <c r="S311" t="n">
        <v>2</v>
      </c>
      <c r="T311" t="n">
        <v>2</v>
      </c>
      <c r="U311" t="inlineStr">
        <is>
          <t>2006-03-29</t>
        </is>
      </c>
      <c r="V311" t="inlineStr">
        <is>
          <t>2006-03-29</t>
        </is>
      </c>
      <c r="W311" t="inlineStr">
        <is>
          <t>1993-05-21</t>
        </is>
      </c>
      <c r="X311" t="inlineStr">
        <is>
          <t>1993-05-21</t>
        </is>
      </c>
      <c r="Y311" t="n">
        <v>235</v>
      </c>
      <c r="Z311" t="n">
        <v>230</v>
      </c>
      <c r="AA311" t="n">
        <v>232</v>
      </c>
      <c r="AB311" t="n">
        <v>2</v>
      </c>
      <c r="AC311" t="n">
        <v>2</v>
      </c>
      <c r="AD311" t="n">
        <v>6</v>
      </c>
      <c r="AE311" t="n">
        <v>6</v>
      </c>
      <c r="AF311" t="n">
        <v>3</v>
      </c>
      <c r="AG311" t="n">
        <v>3</v>
      </c>
      <c r="AH311" t="n">
        <v>1</v>
      </c>
      <c r="AI311" t="n">
        <v>1</v>
      </c>
      <c r="AJ311" t="n">
        <v>2</v>
      </c>
      <c r="AK311" t="n">
        <v>2</v>
      </c>
      <c r="AL311" t="n">
        <v>1</v>
      </c>
      <c r="AM311" t="n">
        <v>1</v>
      </c>
      <c r="AN311" t="n">
        <v>0</v>
      </c>
      <c r="AO311" t="n">
        <v>0</v>
      </c>
      <c r="AP311" t="inlineStr">
        <is>
          <t>No</t>
        </is>
      </c>
      <c r="AQ311" t="inlineStr">
        <is>
          <t>Yes</t>
        </is>
      </c>
      <c r="AR311">
        <f>HYPERLINK("http://catalog.hathitrust.org/Record/005923155","HathiTrust Record")</f>
        <v/>
      </c>
      <c r="AS311">
        <f>HYPERLINK("https://creighton-primo.hosted.exlibrisgroup.com/primo-explore/search?tab=default_tab&amp;search_scope=EVERYTHING&amp;vid=01CRU&amp;lang=en_US&amp;offset=0&amp;query=any,contains,991005160729702656","Catalog Record")</f>
        <v/>
      </c>
      <c r="AT311">
        <f>HYPERLINK("http://www.worldcat.org/oclc/7783079","WorldCat Record")</f>
        <v/>
      </c>
      <c r="AU311" t="inlineStr">
        <is>
          <t>29693494:eng</t>
        </is>
      </c>
      <c r="AV311" t="inlineStr">
        <is>
          <t>7783079</t>
        </is>
      </c>
      <c r="AW311" t="inlineStr">
        <is>
          <t>991005160729702656</t>
        </is>
      </c>
      <c r="AX311" t="inlineStr">
        <is>
          <t>991005160729702656</t>
        </is>
      </c>
      <c r="AY311" t="inlineStr">
        <is>
          <t>2265643150002656</t>
        </is>
      </c>
      <c r="AZ311" t="inlineStr">
        <is>
          <t>BOOK</t>
        </is>
      </c>
      <c r="BC311" t="inlineStr">
        <is>
          <t>32285001691459</t>
        </is>
      </c>
      <c r="BD311" t="inlineStr">
        <is>
          <t>893606931</t>
        </is>
      </c>
    </row>
    <row r="312">
      <c r="A312" t="inlineStr">
        <is>
          <t>No</t>
        </is>
      </c>
      <c r="B312" t="inlineStr">
        <is>
          <t>ND237.T8 J64 2001</t>
        </is>
      </c>
      <c r="C312" t="inlineStr">
        <is>
          <t>0                      ND 0237000T  8                  J  64          2001</t>
        </is>
      </c>
      <c r="D312" t="inlineStr">
        <is>
          <t>John Trumbull : a founding father of American art / Daniel C. Favata, exhibit curator ; preface by Irma B. Jaffe ; with essays by Daniel C. Favata, Kathryn Moore Heleniak and Keira Dillon.</t>
        </is>
      </c>
      <c r="F312" t="inlineStr">
        <is>
          <t>No</t>
        </is>
      </c>
      <c r="G312" t="inlineStr">
        <is>
          <t>1</t>
        </is>
      </c>
      <c r="H312" t="inlineStr">
        <is>
          <t>No</t>
        </is>
      </c>
      <c r="I312" t="inlineStr">
        <is>
          <t>No</t>
        </is>
      </c>
      <c r="J312" t="inlineStr">
        <is>
          <t>0</t>
        </is>
      </c>
      <c r="L312" t="inlineStr">
        <is>
          <t>New York : Fordham University Libraries, produced by Development and University Relations, Office of Public Affairs, c2001.</t>
        </is>
      </c>
      <c r="M312" t="inlineStr">
        <is>
          <t>2001</t>
        </is>
      </c>
      <c r="O312" t="inlineStr">
        <is>
          <t>eng</t>
        </is>
      </c>
      <c r="P312" t="inlineStr">
        <is>
          <t>nyu</t>
        </is>
      </c>
      <c r="R312" t="inlineStr">
        <is>
          <t xml:space="preserve">ND </t>
        </is>
      </c>
      <c r="S312" t="n">
        <v>2</v>
      </c>
      <c r="T312" t="n">
        <v>2</v>
      </c>
      <c r="U312" t="inlineStr">
        <is>
          <t>2001-06-07</t>
        </is>
      </c>
      <c r="V312" t="inlineStr">
        <is>
          <t>2001-06-07</t>
        </is>
      </c>
      <c r="W312" t="inlineStr">
        <is>
          <t>2001-06-06</t>
        </is>
      </c>
      <c r="X312" t="inlineStr">
        <is>
          <t>2001-06-06</t>
        </is>
      </c>
      <c r="Y312" t="n">
        <v>176</v>
      </c>
      <c r="Z312" t="n">
        <v>170</v>
      </c>
      <c r="AA312" t="n">
        <v>174</v>
      </c>
      <c r="AB312" t="n">
        <v>1</v>
      </c>
      <c r="AC312" t="n">
        <v>1</v>
      </c>
      <c r="AD312" t="n">
        <v>19</v>
      </c>
      <c r="AE312" t="n">
        <v>20</v>
      </c>
      <c r="AF312" t="n">
        <v>3</v>
      </c>
      <c r="AG312" t="n">
        <v>4</v>
      </c>
      <c r="AH312" t="n">
        <v>4</v>
      </c>
      <c r="AI312" t="n">
        <v>4</v>
      </c>
      <c r="AJ312" t="n">
        <v>18</v>
      </c>
      <c r="AK312" t="n">
        <v>19</v>
      </c>
      <c r="AL312" t="n">
        <v>0</v>
      </c>
      <c r="AM312" t="n">
        <v>0</v>
      </c>
      <c r="AN312" t="n">
        <v>0</v>
      </c>
      <c r="AO312" t="n">
        <v>0</v>
      </c>
      <c r="AP312" t="inlineStr">
        <is>
          <t>No</t>
        </is>
      </c>
      <c r="AQ312" t="inlineStr">
        <is>
          <t>Yes</t>
        </is>
      </c>
      <c r="AR312">
        <f>HYPERLINK("http://catalog.hathitrust.org/Record/004209004","HathiTrust Record")</f>
        <v/>
      </c>
      <c r="AS312">
        <f>HYPERLINK("https://creighton-primo.hosted.exlibrisgroup.com/primo-explore/search?tab=default_tab&amp;search_scope=EVERYTHING&amp;vid=01CRU&amp;lang=en_US&amp;offset=0&amp;query=any,contains,991003533659702656","Catalog Record")</f>
        <v/>
      </c>
      <c r="AT312">
        <f>HYPERLINK("http://www.worldcat.org/oclc/48051947","WorldCat Record")</f>
        <v/>
      </c>
      <c r="AU312" t="inlineStr">
        <is>
          <t>56654692:eng</t>
        </is>
      </c>
      <c r="AV312" t="inlineStr">
        <is>
          <t>48051947</t>
        </is>
      </c>
      <c r="AW312" t="inlineStr">
        <is>
          <t>991003533659702656</t>
        </is>
      </c>
      <c r="AX312" t="inlineStr">
        <is>
          <t>991003533659702656</t>
        </is>
      </c>
      <c r="AY312" t="inlineStr">
        <is>
          <t>2255393900002656</t>
        </is>
      </c>
      <c r="AZ312" t="inlineStr">
        <is>
          <t>BOOK</t>
        </is>
      </c>
      <c r="BC312" t="inlineStr">
        <is>
          <t>32285004325758</t>
        </is>
      </c>
      <c r="BD312" t="inlineStr">
        <is>
          <t>893874858</t>
        </is>
      </c>
    </row>
    <row r="313">
      <c r="A313" t="inlineStr">
        <is>
          <t>No</t>
        </is>
      </c>
      <c r="B313" t="inlineStr">
        <is>
          <t>ND237.W37 W47 1975</t>
        </is>
      </c>
      <c r="C313" t="inlineStr">
        <is>
          <t>0                      ND 0237000W  37                 W  47          1975</t>
        </is>
      </c>
      <c r="D313" t="inlineStr">
        <is>
          <t>Max Weber / text by Alfred Werner.</t>
        </is>
      </c>
      <c r="F313" t="inlineStr">
        <is>
          <t>No</t>
        </is>
      </c>
      <c r="G313" t="inlineStr">
        <is>
          <t>1</t>
        </is>
      </c>
      <c r="H313" t="inlineStr">
        <is>
          <t>No</t>
        </is>
      </c>
      <c r="I313" t="inlineStr">
        <is>
          <t>No</t>
        </is>
      </c>
      <c r="J313" t="inlineStr">
        <is>
          <t>0</t>
        </is>
      </c>
      <c r="K313" t="inlineStr">
        <is>
          <t>Weber, Max, 1881-1961.</t>
        </is>
      </c>
      <c r="L313" t="inlineStr">
        <is>
          <t>New York : Abrams, c1975.</t>
        </is>
      </c>
      <c r="M313" t="inlineStr">
        <is>
          <t>1975</t>
        </is>
      </c>
      <c r="O313" t="inlineStr">
        <is>
          <t>eng</t>
        </is>
      </c>
      <c r="P313" t="inlineStr">
        <is>
          <t>nyu</t>
        </is>
      </c>
      <c r="R313" t="inlineStr">
        <is>
          <t xml:space="preserve">ND </t>
        </is>
      </c>
      <c r="S313" t="n">
        <v>2</v>
      </c>
      <c r="T313" t="n">
        <v>2</v>
      </c>
      <c r="U313" t="inlineStr">
        <is>
          <t>1995-03-27</t>
        </is>
      </c>
      <c r="V313" t="inlineStr">
        <is>
          <t>1995-03-27</t>
        </is>
      </c>
      <c r="W313" t="inlineStr">
        <is>
          <t>1993-05-21</t>
        </is>
      </c>
      <c r="X313" t="inlineStr">
        <is>
          <t>1993-05-21</t>
        </is>
      </c>
      <c r="Y313" t="n">
        <v>629</v>
      </c>
      <c r="Z313" t="n">
        <v>560</v>
      </c>
      <c r="AA313" t="n">
        <v>561</v>
      </c>
      <c r="AB313" t="n">
        <v>4</v>
      </c>
      <c r="AC313" t="n">
        <v>4</v>
      </c>
      <c r="AD313" t="n">
        <v>13</v>
      </c>
      <c r="AE313" t="n">
        <v>13</v>
      </c>
      <c r="AF313" t="n">
        <v>4</v>
      </c>
      <c r="AG313" t="n">
        <v>4</v>
      </c>
      <c r="AH313" t="n">
        <v>3</v>
      </c>
      <c r="AI313" t="n">
        <v>3</v>
      </c>
      <c r="AJ313" t="n">
        <v>5</v>
      </c>
      <c r="AK313" t="n">
        <v>5</v>
      </c>
      <c r="AL313" t="n">
        <v>2</v>
      </c>
      <c r="AM313" t="n">
        <v>2</v>
      </c>
      <c r="AN313" t="n">
        <v>0</v>
      </c>
      <c r="AO313" t="n">
        <v>0</v>
      </c>
      <c r="AP313" t="inlineStr">
        <is>
          <t>No</t>
        </is>
      </c>
      <c r="AQ313" t="inlineStr">
        <is>
          <t>Yes</t>
        </is>
      </c>
      <c r="AR313">
        <f>HYPERLINK("http://catalog.hathitrust.org/Record/000371254","HathiTrust Record")</f>
        <v/>
      </c>
      <c r="AS313">
        <f>HYPERLINK("https://creighton-primo.hosted.exlibrisgroup.com/primo-explore/search?tab=default_tab&amp;search_scope=EVERYTHING&amp;vid=01CRU&amp;lang=en_US&amp;offset=0&amp;query=any,contains,991003386459702656","Catalog Record")</f>
        <v/>
      </c>
      <c r="AT313">
        <f>HYPERLINK("http://www.worldcat.org/oclc/922804","WorldCat Record")</f>
        <v/>
      </c>
      <c r="AU313" t="inlineStr">
        <is>
          <t>4926084926:eng</t>
        </is>
      </c>
      <c r="AV313" t="inlineStr">
        <is>
          <t>922804</t>
        </is>
      </c>
      <c r="AW313" t="inlineStr">
        <is>
          <t>991003386459702656</t>
        </is>
      </c>
      <c r="AX313" t="inlineStr">
        <is>
          <t>991003386459702656</t>
        </is>
      </c>
      <c r="AY313" t="inlineStr">
        <is>
          <t>2264878450002656</t>
        </is>
      </c>
      <c r="AZ313" t="inlineStr">
        <is>
          <t>BOOK</t>
        </is>
      </c>
      <c r="BB313" t="inlineStr">
        <is>
          <t>9780810905405</t>
        </is>
      </c>
      <c r="BC313" t="inlineStr">
        <is>
          <t>32285001691483</t>
        </is>
      </c>
      <c r="BD313" t="inlineStr">
        <is>
          <t>893240167</t>
        </is>
      </c>
    </row>
    <row r="314">
      <c r="A314" t="inlineStr">
        <is>
          <t>No</t>
        </is>
      </c>
      <c r="B314" t="inlineStr">
        <is>
          <t>ND237.W6 A4 1980</t>
        </is>
      </c>
      <c r="C314" t="inlineStr">
        <is>
          <t>0                      ND 0237000W  6                  A  4           1980</t>
        </is>
      </c>
      <c r="D314" t="inlineStr">
        <is>
          <t>The paintings of James McNeill Whistler / Andrew McLaren Young, Margaret MacDonald, Robin Spencer, with the assistance of Hamish Miles.</t>
        </is>
      </c>
      <c r="E314" t="inlineStr">
        <is>
          <t>V.2</t>
        </is>
      </c>
      <c r="F314" t="inlineStr">
        <is>
          <t>Yes</t>
        </is>
      </c>
      <c r="G314" t="inlineStr">
        <is>
          <t>1</t>
        </is>
      </c>
      <c r="H314" t="inlineStr">
        <is>
          <t>No</t>
        </is>
      </c>
      <c r="I314" t="inlineStr">
        <is>
          <t>No</t>
        </is>
      </c>
      <c r="J314" t="inlineStr">
        <is>
          <t>0</t>
        </is>
      </c>
      <c r="K314" t="inlineStr">
        <is>
          <t>Young, Andrew McLaren.</t>
        </is>
      </c>
      <c r="L314" t="inlineStr">
        <is>
          <t>New Haven : Published for the Paul Mellon Centre for Studies in British Art by Yale University Press, 1980.</t>
        </is>
      </c>
      <c r="M314" t="inlineStr">
        <is>
          <t>1980</t>
        </is>
      </c>
      <c r="O314" t="inlineStr">
        <is>
          <t>eng</t>
        </is>
      </c>
      <c r="P314" t="inlineStr">
        <is>
          <t>ctu</t>
        </is>
      </c>
      <c r="Q314" t="inlineStr">
        <is>
          <t>Studies in British art</t>
        </is>
      </c>
      <c r="R314" t="inlineStr">
        <is>
          <t xml:space="preserve">ND </t>
        </is>
      </c>
      <c r="S314" t="n">
        <v>5</v>
      </c>
      <c r="T314" t="n">
        <v>7</v>
      </c>
      <c r="U314" t="inlineStr">
        <is>
          <t>1996-10-24</t>
        </is>
      </c>
      <c r="V314" t="inlineStr">
        <is>
          <t>1996-10-24</t>
        </is>
      </c>
      <c r="W314" t="inlineStr">
        <is>
          <t>1993-05-21</t>
        </is>
      </c>
      <c r="X314" t="inlineStr">
        <is>
          <t>1993-05-21</t>
        </is>
      </c>
      <c r="Y314" t="n">
        <v>745</v>
      </c>
      <c r="Z314" t="n">
        <v>598</v>
      </c>
      <c r="AA314" t="n">
        <v>600</v>
      </c>
      <c r="AB314" t="n">
        <v>4</v>
      </c>
      <c r="AC314" t="n">
        <v>4</v>
      </c>
      <c r="AD314" t="n">
        <v>26</v>
      </c>
      <c r="AE314" t="n">
        <v>26</v>
      </c>
      <c r="AF314" t="n">
        <v>11</v>
      </c>
      <c r="AG314" t="n">
        <v>11</v>
      </c>
      <c r="AH314" t="n">
        <v>6</v>
      </c>
      <c r="AI314" t="n">
        <v>6</v>
      </c>
      <c r="AJ314" t="n">
        <v>13</v>
      </c>
      <c r="AK314" t="n">
        <v>13</v>
      </c>
      <c r="AL314" t="n">
        <v>2</v>
      </c>
      <c r="AM314" t="n">
        <v>2</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HYPERLINK("https://creighton-primo.hosted.exlibrisgroup.com/primo-explore/search?tab=default_tab&amp;search_scope=EVERYTHING&amp;vid=01CRU&amp;lang=en_US&amp;offset=0&amp;query=any,contains,991004935009702656","Catalog Record")</f>
        <v/>
      </c>
      <c r="AT314">
        <f>HYPERLINK("http://www.worldcat.org/oclc/6142494","WorldCat Record")</f>
        <v/>
      </c>
      <c r="AU314" t="inlineStr">
        <is>
          <t>435430:eng</t>
        </is>
      </c>
      <c r="AV314" t="inlineStr">
        <is>
          <t>6142494</t>
        </is>
      </c>
      <c r="AW314" t="inlineStr">
        <is>
          <t>991004935009702656</t>
        </is>
      </c>
      <c r="AX314" t="inlineStr">
        <is>
          <t>991004935009702656</t>
        </is>
      </c>
      <c r="AY314" t="inlineStr">
        <is>
          <t>2261567390002656</t>
        </is>
      </c>
      <c r="AZ314" t="inlineStr">
        <is>
          <t>BOOK</t>
        </is>
      </c>
      <c r="BB314" t="inlineStr">
        <is>
          <t>9780300023848</t>
        </is>
      </c>
      <c r="BC314" t="inlineStr">
        <is>
          <t>32285001691517</t>
        </is>
      </c>
      <c r="BD314" t="inlineStr">
        <is>
          <t>893332191</t>
        </is>
      </c>
    </row>
    <row r="315">
      <c r="A315" t="inlineStr">
        <is>
          <t>No</t>
        </is>
      </c>
      <c r="B315" t="inlineStr">
        <is>
          <t>ND237.W6 A4 1980</t>
        </is>
      </c>
      <c r="C315" t="inlineStr">
        <is>
          <t>0                      ND 0237000W  6                  A  4           1980</t>
        </is>
      </c>
      <c r="D315" t="inlineStr">
        <is>
          <t>The paintings of James McNeill Whistler / Andrew McLaren Young, Margaret MacDonald, Robin Spencer, with the assistance of Hamish Miles.</t>
        </is>
      </c>
      <c r="E315" t="inlineStr">
        <is>
          <t>V.1</t>
        </is>
      </c>
      <c r="F315" t="inlineStr">
        <is>
          <t>Yes</t>
        </is>
      </c>
      <c r="G315" t="inlineStr">
        <is>
          <t>1</t>
        </is>
      </c>
      <c r="H315" t="inlineStr">
        <is>
          <t>No</t>
        </is>
      </c>
      <c r="I315" t="inlineStr">
        <is>
          <t>No</t>
        </is>
      </c>
      <c r="J315" t="inlineStr">
        <is>
          <t>0</t>
        </is>
      </c>
      <c r="K315" t="inlineStr">
        <is>
          <t>Young, Andrew McLaren.</t>
        </is>
      </c>
      <c r="L315" t="inlineStr">
        <is>
          <t>New Haven : Published for the Paul Mellon Centre for Studies in British Art by Yale University Press, 1980.</t>
        </is>
      </c>
      <c r="M315" t="inlineStr">
        <is>
          <t>1980</t>
        </is>
      </c>
      <c r="O315" t="inlineStr">
        <is>
          <t>eng</t>
        </is>
      </c>
      <c r="P315" t="inlineStr">
        <is>
          <t>ctu</t>
        </is>
      </c>
      <c r="Q315" t="inlineStr">
        <is>
          <t>Studies in British art</t>
        </is>
      </c>
      <c r="R315" t="inlineStr">
        <is>
          <t xml:space="preserve">ND </t>
        </is>
      </c>
      <c r="S315" t="n">
        <v>2</v>
      </c>
      <c r="T315" t="n">
        <v>7</v>
      </c>
      <c r="U315" t="inlineStr">
        <is>
          <t>1995-11-21</t>
        </is>
      </c>
      <c r="V315" t="inlineStr">
        <is>
          <t>1996-10-24</t>
        </is>
      </c>
      <c r="W315" t="inlineStr">
        <is>
          <t>1993-05-21</t>
        </is>
      </c>
      <c r="X315" t="inlineStr">
        <is>
          <t>1993-05-21</t>
        </is>
      </c>
      <c r="Y315" t="n">
        <v>745</v>
      </c>
      <c r="Z315" t="n">
        <v>598</v>
      </c>
      <c r="AA315" t="n">
        <v>600</v>
      </c>
      <c r="AB315" t="n">
        <v>4</v>
      </c>
      <c r="AC315" t="n">
        <v>4</v>
      </c>
      <c r="AD315" t="n">
        <v>26</v>
      </c>
      <c r="AE315" t="n">
        <v>26</v>
      </c>
      <c r="AF315" t="n">
        <v>11</v>
      </c>
      <c r="AG315" t="n">
        <v>11</v>
      </c>
      <c r="AH315" t="n">
        <v>6</v>
      </c>
      <c r="AI315" t="n">
        <v>6</v>
      </c>
      <c r="AJ315" t="n">
        <v>13</v>
      </c>
      <c r="AK315" t="n">
        <v>13</v>
      </c>
      <c r="AL315" t="n">
        <v>2</v>
      </c>
      <c r="AM315" t="n">
        <v>2</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HYPERLINK("https://creighton-primo.hosted.exlibrisgroup.com/primo-explore/search?tab=default_tab&amp;search_scope=EVERYTHING&amp;vid=01CRU&amp;lang=en_US&amp;offset=0&amp;query=any,contains,991004935009702656","Catalog Record")</f>
        <v/>
      </c>
      <c r="AT315">
        <f>HYPERLINK("http://www.worldcat.org/oclc/6142494","WorldCat Record")</f>
        <v/>
      </c>
      <c r="AU315" t="inlineStr">
        <is>
          <t>435430:eng</t>
        </is>
      </c>
      <c r="AV315" t="inlineStr">
        <is>
          <t>6142494</t>
        </is>
      </c>
      <c r="AW315" t="inlineStr">
        <is>
          <t>991004935009702656</t>
        </is>
      </c>
      <c r="AX315" t="inlineStr">
        <is>
          <t>991004935009702656</t>
        </is>
      </c>
      <c r="AY315" t="inlineStr">
        <is>
          <t>2261567390002656</t>
        </is>
      </c>
      <c r="AZ315" t="inlineStr">
        <is>
          <t>BOOK</t>
        </is>
      </c>
      <c r="BB315" t="inlineStr">
        <is>
          <t>9780300023848</t>
        </is>
      </c>
      <c r="BC315" t="inlineStr">
        <is>
          <t>32285001691509</t>
        </is>
      </c>
      <c r="BD315" t="inlineStr">
        <is>
          <t>893319792</t>
        </is>
      </c>
    </row>
    <row r="316">
      <c r="A316" t="inlineStr">
        <is>
          <t>No</t>
        </is>
      </c>
      <c r="B316" t="inlineStr">
        <is>
          <t>ND237.W6 L25</t>
        </is>
      </c>
      <c r="C316" t="inlineStr">
        <is>
          <t>0                      ND 0237000W  6                  L  25</t>
        </is>
      </c>
      <c r="D316" t="inlineStr">
        <is>
          <t>Whistler, by James W. Lane; photo research and bibliography by Aimée Crane.</t>
        </is>
      </c>
      <c r="F316" t="inlineStr">
        <is>
          <t>No</t>
        </is>
      </c>
      <c r="G316" t="inlineStr">
        <is>
          <t>1</t>
        </is>
      </c>
      <c r="H316" t="inlineStr">
        <is>
          <t>No</t>
        </is>
      </c>
      <c r="I316" t="inlineStr">
        <is>
          <t>No</t>
        </is>
      </c>
      <c r="J316" t="inlineStr">
        <is>
          <t>0</t>
        </is>
      </c>
      <c r="K316" t="inlineStr">
        <is>
          <t>Lane, James W. (James Warren), 1898-1959.</t>
        </is>
      </c>
      <c r="L316" t="inlineStr">
        <is>
          <t>New York, Crown publishers, [1942]</t>
        </is>
      </c>
      <c r="M316" t="inlineStr">
        <is>
          <t>1942</t>
        </is>
      </c>
      <c r="O316" t="inlineStr">
        <is>
          <t>eng</t>
        </is>
      </c>
      <c r="P316" t="inlineStr">
        <is>
          <t>nyu</t>
        </is>
      </c>
      <c r="Q316" t="inlineStr">
        <is>
          <t>American artists series</t>
        </is>
      </c>
      <c r="R316" t="inlineStr">
        <is>
          <t xml:space="preserve">ND </t>
        </is>
      </c>
      <c r="S316" t="n">
        <v>4</v>
      </c>
      <c r="T316" t="n">
        <v>4</v>
      </c>
      <c r="U316" t="inlineStr">
        <is>
          <t>1999-04-01</t>
        </is>
      </c>
      <c r="V316" t="inlineStr">
        <is>
          <t>1999-04-01</t>
        </is>
      </c>
      <c r="W316" t="inlineStr">
        <is>
          <t>1997-07-24</t>
        </is>
      </c>
      <c r="X316" t="inlineStr">
        <is>
          <t>1997-07-24</t>
        </is>
      </c>
      <c r="Y316" t="n">
        <v>348</v>
      </c>
      <c r="Z316" t="n">
        <v>304</v>
      </c>
      <c r="AA316" t="n">
        <v>306</v>
      </c>
      <c r="AB316" t="n">
        <v>3</v>
      </c>
      <c r="AC316" t="n">
        <v>3</v>
      </c>
      <c r="AD316" t="n">
        <v>3</v>
      </c>
      <c r="AE316" t="n">
        <v>3</v>
      </c>
      <c r="AF316" t="n">
        <v>0</v>
      </c>
      <c r="AG316" t="n">
        <v>0</v>
      </c>
      <c r="AH316" t="n">
        <v>1</v>
      </c>
      <c r="AI316" t="n">
        <v>1</v>
      </c>
      <c r="AJ316" t="n">
        <v>2</v>
      </c>
      <c r="AK316" t="n">
        <v>2</v>
      </c>
      <c r="AL316" t="n">
        <v>0</v>
      </c>
      <c r="AM316" t="n">
        <v>0</v>
      </c>
      <c r="AN316" t="n">
        <v>0</v>
      </c>
      <c r="AO316" t="n">
        <v>0</v>
      </c>
      <c r="AP316" t="inlineStr">
        <is>
          <t>No</t>
        </is>
      </c>
      <c r="AQ316" t="inlineStr">
        <is>
          <t>Yes</t>
        </is>
      </c>
      <c r="AR316">
        <f>HYPERLINK("http://catalog.hathitrust.org/Record/009514883","HathiTrust Record")</f>
        <v/>
      </c>
      <c r="AS316">
        <f>HYPERLINK("https://creighton-primo.hosted.exlibrisgroup.com/primo-explore/search?tab=default_tab&amp;search_scope=EVERYTHING&amp;vid=01CRU&amp;lang=en_US&amp;offset=0&amp;query=any,contains,991003769579702656","Catalog Record")</f>
        <v/>
      </c>
      <c r="AT316">
        <f>HYPERLINK("http://www.worldcat.org/oclc/1467646","WorldCat Record")</f>
        <v/>
      </c>
      <c r="AU316" t="inlineStr">
        <is>
          <t>353754467:eng</t>
        </is>
      </c>
      <c r="AV316" t="inlineStr">
        <is>
          <t>1467646</t>
        </is>
      </c>
      <c r="AW316" t="inlineStr">
        <is>
          <t>991003769579702656</t>
        </is>
      </c>
      <c r="AX316" t="inlineStr">
        <is>
          <t>991003769579702656</t>
        </is>
      </c>
      <c r="AY316" t="inlineStr">
        <is>
          <t>2261444020002656</t>
        </is>
      </c>
      <c r="AZ316" t="inlineStr">
        <is>
          <t>BOOK</t>
        </is>
      </c>
      <c r="BC316" t="inlineStr">
        <is>
          <t>32285002966876</t>
        </is>
      </c>
      <c r="BD316" t="inlineStr">
        <is>
          <t>893781388</t>
        </is>
      </c>
    </row>
    <row r="317">
      <c r="A317" t="inlineStr">
        <is>
          <t>No</t>
        </is>
      </c>
      <c r="B317" t="inlineStr">
        <is>
          <t>ND237.W6 P7</t>
        </is>
      </c>
      <c r="C317" t="inlineStr">
        <is>
          <t>0                      ND 0237000W  6                  P  7</t>
        </is>
      </c>
      <c r="D317" t="inlineStr">
        <is>
          <t>The world of Whistler, 1834-1903, by Tom Prideaux and the editors of Time-Life Books.</t>
        </is>
      </c>
      <c r="F317" t="inlineStr">
        <is>
          <t>No</t>
        </is>
      </c>
      <c r="G317" t="inlineStr">
        <is>
          <t>1</t>
        </is>
      </c>
      <c r="H317" t="inlineStr">
        <is>
          <t>No</t>
        </is>
      </c>
      <c r="I317" t="inlineStr">
        <is>
          <t>No</t>
        </is>
      </c>
      <c r="J317" t="inlineStr">
        <is>
          <t>0</t>
        </is>
      </c>
      <c r="K317" t="inlineStr">
        <is>
          <t>Prideaux, Tom.</t>
        </is>
      </c>
      <c r="L317" t="inlineStr">
        <is>
          <t>New York, Time-Life Books [1970]</t>
        </is>
      </c>
      <c r="M317" t="inlineStr">
        <is>
          <t>1970</t>
        </is>
      </c>
      <c r="O317" t="inlineStr">
        <is>
          <t>eng</t>
        </is>
      </c>
      <c r="P317" t="inlineStr">
        <is>
          <t>nyu</t>
        </is>
      </c>
      <c r="Q317" t="inlineStr">
        <is>
          <t>Time-Life library of art</t>
        </is>
      </c>
      <c r="R317" t="inlineStr">
        <is>
          <t xml:space="preserve">ND </t>
        </is>
      </c>
      <c r="S317" t="n">
        <v>1</v>
      </c>
      <c r="T317" t="n">
        <v>1</v>
      </c>
      <c r="U317" t="inlineStr">
        <is>
          <t>2002-01-17</t>
        </is>
      </c>
      <c r="V317" t="inlineStr">
        <is>
          <t>2002-01-17</t>
        </is>
      </c>
      <c r="W317" t="inlineStr">
        <is>
          <t>1997-07-28</t>
        </is>
      </c>
      <c r="X317" t="inlineStr">
        <is>
          <t>1997-07-28</t>
        </is>
      </c>
      <c r="Y317" t="n">
        <v>2402</v>
      </c>
      <c r="Z317" t="n">
        <v>2250</v>
      </c>
      <c r="AA317" t="n">
        <v>2346</v>
      </c>
      <c r="AB317" t="n">
        <v>17</v>
      </c>
      <c r="AC317" t="n">
        <v>17</v>
      </c>
      <c r="AD317" t="n">
        <v>40</v>
      </c>
      <c r="AE317" t="n">
        <v>40</v>
      </c>
      <c r="AF317" t="n">
        <v>14</v>
      </c>
      <c r="AG317" t="n">
        <v>14</v>
      </c>
      <c r="AH317" t="n">
        <v>10</v>
      </c>
      <c r="AI317" t="n">
        <v>10</v>
      </c>
      <c r="AJ317" t="n">
        <v>20</v>
      </c>
      <c r="AK317" t="n">
        <v>20</v>
      </c>
      <c r="AL317" t="n">
        <v>5</v>
      </c>
      <c r="AM317" t="n">
        <v>5</v>
      </c>
      <c r="AN317" t="n">
        <v>0</v>
      </c>
      <c r="AO317" t="n">
        <v>0</v>
      </c>
      <c r="AP317" t="inlineStr">
        <is>
          <t>No</t>
        </is>
      </c>
      <c r="AQ317" t="inlineStr">
        <is>
          <t>Yes</t>
        </is>
      </c>
      <c r="AR317">
        <f>HYPERLINK("http://catalog.hathitrust.org/Record/000370610","HathiTrust Record")</f>
        <v/>
      </c>
      <c r="AS317">
        <f>HYPERLINK("https://creighton-primo.hosted.exlibrisgroup.com/primo-explore/search?tab=default_tab&amp;search_scope=EVERYTHING&amp;vid=01CRU&amp;lang=en_US&amp;offset=0&amp;query=any,contains,991000556329702656","Catalog Record")</f>
        <v/>
      </c>
      <c r="AT317">
        <f>HYPERLINK("http://www.worldcat.org/oclc/93097","WorldCat Record")</f>
        <v/>
      </c>
      <c r="AU317" t="inlineStr">
        <is>
          <t>448248:eng</t>
        </is>
      </c>
      <c r="AV317" t="inlineStr">
        <is>
          <t>93097</t>
        </is>
      </c>
      <c r="AW317" t="inlineStr">
        <is>
          <t>991000556329702656</t>
        </is>
      </c>
      <c r="AX317" t="inlineStr">
        <is>
          <t>991000556329702656</t>
        </is>
      </c>
      <c r="AY317" t="inlineStr">
        <is>
          <t>2265551620002656</t>
        </is>
      </c>
      <c r="AZ317" t="inlineStr">
        <is>
          <t>BOOK</t>
        </is>
      </c>
      <c r="BC317" t="inlineStr">
        <is>
          <t>32285002967015</t>
        </is>
      </c>
      <c r="BD317" t="inlineStr">
        <is>
          <t>893790635</t>
        </is>
      </c>
    </row>
    <row r="318">
      <c r="A318" t="inlineStr">
        <is>
          <t>No</t>
        </is>
      </c>
      <c r="B318" t="inlineStr">
        <is>
          <t>ND237.W93 M4</t>
        </is>
      </c>
      <c r="C318" t="inlineStr">
        <is>
          <t>0                      ND 0237000W  93                 M  4</t>
        </is>
      </c>
      <c r="D318" t="inlineStr">
        <is>
          <t>Andrew Wyeth / [by] Richard Meryman.</t>
        </is>
      </c>
      <c r="F318" t="inlineStr">
        <is>
          <t>No</t>
        </is>
      </c>
      <c r="G318" t="inlineStr">
        <is>
          <t>1</t>
        </is>
      </c>
      <c r="H318" t="inlineStr">
        <is>
          <t>No</t>
        </is>
      </c>
      <c r="I318" t="inlineStr">
        <is>
          <t>No</t>
        </is>
      </c>
      <c r="J318" t="inlineStr">
        <is>
          <t>0</t>
        </is>
      </c>
      <c r="K318" t="inlineStr">
        <is>
          <t>Wyeth, Andrew, 1917-2009.</t>
        </is>
      </c>
      <c r="L318" t="inlineStr">
        <is>
          <t>Boston : Houghton Mifflin, 1968.</t>
        </is>
      </c>
      <c r="M318" t="inlineStr">
        <is>
          <t>1968</t>
        </is>
      </c>
      <c r="O318" t="inlineStr">
        <is>
          <t>eng</t>
        </is>
      </c>
      <c r="P318" t="inlineStr">
        <is>
          <t>mau</t>
        </is>
      </c>
      <c r="R318" t="inlineStr">
        <is>
          <t xml:space="preserve">ND </t>
        </is>
      </c>
      <c r="S318" t="n">
        <v>2</v>
      </c>
      <c r="T318" t="n">
        <v>2</v>
      </c>
      <c r="U318" t="inlineStr">
        <is>
          <t>1999-09-10</t>
        </is>
      </c>
      <c r="V318" t="inlineStr">
        <is>
          <t>1999-09-10</t>
        </is>
      </c>
      <c r="W318" t="inlineStr">
        <is>
          <t>1999-09-08</t>
        </is>
      </c>
      <c r="X318" t="inlineStr">
        <is>
          <t>1999-09-08</t>
        </is>
      </c>
      <c r="Y318" t="n">
        <v>1312</v>
      </c>
      <c r="Z318" t="n">
        <v>1263</v>
      </c>
      <c r="AA318" t="n">
        <v>1325</v>
      </c>
      <c r="AB318" t="n">
        <v>7</v>
      </c>
      <c r="AC318" t="n">
        <v>7</v>
      </c>
      <c r="AD318" t="n">
        <v>31</v>
      </c>
      <c r="AE318" t="n">
        <v>32</v>
      </c>
      <c r="AF318" t="n">
        <v>14</v>
      </c>
      <c r="AG318" t="n">
        <v>15</v>
      </c>
      <c r="AH318" t="n">
        <v>5</v>
      </c>
      <c r="AI318" t="n">
        <v>5</v>
      </c>
      <c r="AJ318" t="n">
        <v>14</v>
      </c>
      <c r="AK318" t="n">
        <v>14</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HYPERLINK("https://creighton-primo.hosted.exlibrisgroup.com/primo-explore/search?tab=default_tab&amp;search_scope=EVERYTHING&amp;vid=01CRU&amp;lang=en_US&amp;offset=0&amp;query=any,contains,991002903379702656","Catalog Record")</f>
        <v/>
      </c>
      <c r="AT318">
        <f>HYPERLINK("http://www.worldcat.org/oclc/518302","WorldCat Record")</f>
        <v/>
      </c>
      <c r="AU318" t="inlineStr">
        <is>
          <t>2070218891:eng</t>
        </is>
      </c>
      <c r="AV318" t="inlineStr">
        <is>
          <t>518302</t>
        </is>
      </c>
      <c r="AW318" t="inlineStr">
        <is>
          <t>991002903379702656</t>
        </is>
      </c>
      <c r="AX318" t="inlineStr">
        <is>
          <t>991002903379702656</t>
        </is>
      </c>
      <c r="AY318" t="inlineStr">
        <is>
          <t>2255822150002656</t>
        </is>
      </c>
      <c r="AZ318" t="inlineStr">
        <is>
          <t>BOOK</t>
        </is>
      </c>
      <c r="BC318" t="inlineStr">
        <is>
          <t>32285001928638</t>
        </is>
      </c>
      <c r="BD318" t="inlineStr">
        <is>
          <t>893239647</t>
        </is>
      </c>
    </row>
    <row r="319">
      <c r="A319" t="inlineStr">
        <is>
          <t>No</t>
        </is>
      </c>
      <c r="B319" t="inlineStr">
        <is>
          <t>ND237.W93 M4 1996</t>
        </is>
      </c>
      <c r="C319" t="inlineStr">
        <is>
          <t>0                      ND 0237000W  93                 M  4           1996</t>
        </is>
      </c>
      <c r="D319" t="inlineStr">
        <is>
          <t>Andrew Wyeth : a secret life / Richard Meryman.</t>
        </is>
      </c>
      <c r="F319" t="inlineStr">
        <is>
          <t>No</t>
        </is>
      </c>
      <c r="G319" t="inlineStr">
        <is>
          <t>1</t>
        </is>
      </c>
      <c r="H319" t="inlineStr">
        <is>
          <t>No</t>
        </is>
      </c>
      <c r="I319" t="inlineStr">
        <is>
          <t>No</t>
        </is>
      </c>
      <c r="J319" t="inlineStr">
        <is>
          <t>0</t>
        </is>
      </c>
      <c r="K319" t="inlineStr">
        <is>
          <t>Meryman, Richard, 1926-2015.</t>
        </is>
      </c>
      <c r="L319" t="inlineStr">
        <is>
          <t>New York : HarperCollinsPublishers, c1996.</t>
        </is>
      </c>
      <c r="M319" t="inlineStr">
        <is>
          <t>1996</t>
        </is>
      </c>
      <c r="N319" t="inlineStr">
        <is>
          <t>1st ed.</t>
        </is>
      </c>
      <c r="O319" t="inlineStr">
        <is>
          <t>eng</t>
        </is>
      </c>
      <c r="P319" t="inlineStr">
        <is>
          <t>nyu</t>
        </is>
      </c>
      <c r="R319" t="inlineStr">
        <is>
          <t xml:space="preserve">ND </t>
        </is>
      </c>
      <c r="S319" t="n">
        <v>4</v>
      </c>
      <c r="T319" t="n">
        <v>4</v>
      </c>
      <c r="U319" t="inlineStr">
        <is>
          <t>1999-09-07</t>
        </is>
      </c>
      <c r="V319" t="inlineStr">
        <is>
          <t>1999-09-07</t>
        </is>
      </c>
      <c r="W319" t="inlineStr">
        <is>
          <t>1996-11-26</t>
        </is>
      </c>
      <c r="X319" t="inlineStr">
        <is>
          <t>1996-11-26</t>
        </is>
      </c>
      <c r="Y319" t="n">
        <v>1314</v>
      </c>
      <c r="Z319" t="n">
        <v>1250</v>
      </c>
      <c r="AA319" t="n">
        <v>1347</v>
      </c>
      <c r="AB319" t="n">
        <v>12</v>
      </c>
      <c r="AC319" t="n">
        <v>12</v>
      </c>
      <c r="AD319" t="n">
        <v>27</v>
      </c>
      <c r="AE319" t="n">
        <v>28</v>
      </c>
      <c r="AF319" t="n">
        <v>10</v>
      </c>
      <c r="AG319" t="n">
        <v>10</v>
      </c>
      <c r="AH319" t="n">
        <v>7</v>
      </c>
      <c r="AI319" t="n">
        <v>7</v>
      </c>
      <c r="AJ319" t="n">
        <v>11</v>
      </c>
      <c r="AK319" t="n">
        <v>12</v>
      </c>
      <c r="AL319" t="n">
        <v>5</v>
      </c>
      <c r="AM319" t="n">
        <v>5</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HYPERLINK("https://creighton-primo.hosted.exlibrisgroup.com/primo-explore/search?tab=default_tab&amp;search_scope=EVERYTHING&amp;vid=01CRU&amp;lang=en_US&amp;offset=0&amp;query=any,contains,991002643259702656","Catalog Record")</f>
        <v/>
      </c>
      <c r="AT319">
        <f>HYPERLINK("http://www.worldcat.org/oclc/34598057","WorldCat Record")</f>
        <v/>
      </c>
      <c r="AU319" t="inlineStr">
        <is>
          <t>40679844:eng</t>
        </is>
      </c>
      <c r="AV319" t="inlineStr">
        <is>
          <t>34598057</t>
        </is>
      </c>
      <c r="AW319" t="inlineStr">
        <is>
          <t>991002643259702656</t>
        </is>
      </c>
      <c r="AX319" t="inlineStr">
        <is>
          <t>991002643259702656</t>
        </is>
      </c>
      <c r="AY319" t="inlineStr">
        <is>
          <t>2268643840002656</t>
        </is>
      </c>
      <c r="AZ319" t="inlineStr">
        <is>
          <t>BOOK</t>
        </is>
      </c>
      <c r="BB319" t="inlineStr">
        <is>
          <t>9780060171131</t>
        </is>
      </c>
      <c r="BC319" t="inlineStr">
        <is>
          <t>32285002385895</t>
        </is>
      </c>
      <c r="BD319" t="inlineStr">
        <is>
          <t>893511009</t>
        </is>
      </c>
    </row>
    <row r="320">
      <c r="A320" t="inlineStr">
        <is>
          <t>No</t>
        </is>
      </c>
      <c r="B320" t="inlineStr">
        <is>
          <t>ND237.W93 P4</t>
        </is>
      </c>
      <c r="C320" t="inlineStr">
        <is>
          <t>0                      ND 0237000W  93                 P  4</t>
        </is>
      </c>
      <c r="D320" t="inlineStr">
        <is>
          <t>Andrew Wyeth : temperas, watercolors, dry brush, drawings, 1938 into 1966 : [exhibition] Pennsylvania Academy of the Fine Arts, Philadelphia, October 5-November 27, 1966 : Baltimore Museum of Art, December 11, 1966-January 27, 1967 : Whitney Museum of American Art, New York, February 6-April 12, 1967; the Art Institute of Chicago, April 21-June 4, 1967.</t>
        </is>
      </c>
      <c r="F320" t="inlineStr">
        <is>
          <t>No</t>
        </is>
      </c>
      <c r="G320" t="inlineStr">
        <is>
          <t>1</t>
        </is>
      </c>
      <c r="H320" t="inlineStr">
        <is>
          <t>No</t>
        </is>
      </c>
      <c r="I320" t="inlineStr">
        <is>
          <t>No</t>
        </is>
      </c>
      <c r="J320" t="inlineStr">
        <is>
          <t>0</t>
        </is>
      </c>
      <c r="K320" t="inlineStr">
        <is>
          <t>Pennsylvania Academy of the Fine Arts.</t>
        </is>
      </c>
      <c r="L320" t="inlineStr">
        <is>
          <t>[New York, Abercrombie &amp; Fitch Co., 1966]</t>
        </is>
      </c>
      <c r="M320" t="inlineStr">
        <is>
          <t>1966</t>
        </is>
      </c>
      <c r="O320" t="inlineStr">
        <is>
          <t>eng</t>
        </is>
      </c>
      <c r="P320" t="inlineStr">
        <is>
          <t>nyu</t>
        </is>
      </c>
      <c r="R320" t="inlineStr">
        <is>
          <t xml:space="preserve">ND </t>
        </is>
      </c>
      <c r="S320" t="n">
        <v>5</v>
      </c>
      <c r="T320" t="n">
        <v>5</v>
      </c>
      <c r="U320" t="inlineStr">
        <is>
          <t>1996-03-03</t>
        </is>
      </c>
      <c r="V320" t="inlineStr">
        <is>
          <t>1996-03-03</t>
        </is>
      </c>
      <c r="W320" t="inlineStr">
        <is>
          <t>1990-07-11</t>
        </is>
      </c>
      <c r="X320" t="inlineStr">
        <is>
          <t>1990-07-11</t>
        </is>
      </c>
      <c r="Y320" t="n">
        <v>809</v>
      </c>
      <c r="Z320" t="n">
        <v>761</v>
      </c>
      <c r="AA320" t="n">
        <v>814</v>
      </c>
      <c r="AB320" t="n">
        <v>4</v>
      </c>
      <c r="AC320" t="n">
        <v>5</v>
      </c>
      <c r="AD320" t="n">
        <v>18</v>
      </c>
      <c r="AE320" t="n">
        <v>19</v>
      </c>
      <c r="AF320" t="n">
        <v>9</v>
      </c>
      <c r="AG320" t="n">
        <v>9</v>
      </c>
      <c r="AH320" t="n">
        <v>3</v>
      </c>
      <c r="AI320" t="n">
        <v>4</v>
      </c>
      <c r="AJ320" t="n">
        <v>9</v>
      </c>
      <c r="AK320" t="n">
        <v>9</v>
      </c>
      <c r="AL320" t="n">
        <v>1</v>
      </c>
      <c r="AM320" t="n">
        <v>1</v>
      </c>
      <c r="AN320" t="n">
        <v>0</v>
      </c>
      <c r="AO320" t="n">
        <v>0</v>
      </c>
      <c r="AP320" t="inlineStr">
        <is>
          <t>No</t>
        </is>
      </c>
      <c r="AQ320" t="inlineStr">
        <is>
          <t>Yes</t>
        </is>
      </c>
      <c r="AR320">
        <f>HYPERLINK("http://catalog.hathitrust.org/Record/000370463","HathiTrust Record")</f>
        <v/>
      </c>
      <c r="AS320">
        <f>HYPERLINK("https://creighton-primo.hosted.exlibrisgroup.com/primo-explore/search?tab=default_tab&amp;search_scope=EVERYTHING&amp;vid=01CRU&amp;lang=en_US&amp;offset=0&amp;query=any,contains,991004112149702656","Catalog Record")</f>
        <v/>
      </c>
      <c r="AT320">
        <f>HYPERLINK("http://www.worldcat.org/oclc/2401202","WorldCat Record")</f>
        <v/>
      </c>
      <c r="AU320" t="inlineStr">
        <is>
          <t>4761937:eng</t>
        </is>
      </c>
      <c r="AV320" t="inlineStr">
        <is>
          <t>2401202</t>
        </is>
      </c>
      <c r="AW320" t="inlineStr">
        <is>
          <t>991004112149702656</t>
        </is>
      </c>
      <c r="AX320" t="inlineStr">
        <is>
          <t>991004112149702656</t>
        </is>
      </c>
      <c r="AY320" t="inlineStr">
        <is>
          <t>2266293070002656</t>
        </is>
      </c>
      <c r="AZ320" t="inlineStr">
        <is>
          <t>BOOK</t>
        </is>
      </c>
      <c r="BC320" t="inlineStr">
        <is>
          <t>32285000223932</t>
        </is>
      </c>
      <c r="BD320" t="inlineStr">
        <is>
          <t>893611935</t>
        </is>
      </c>
    </row>
    <row r="321">
      <c r="A321" t="inlineStr">
        <is>
          <t>No</t>
        </is>
      </c>
      <c r="B321" t="inlineStr">
        <is>
          <t>ND238.M4 M37 2002</t>
        </is>
      </c>
      <c r="C321" t="inlineStr">
        <is>
          <t>0                      ND 0238000M  4                  M  37          2002</t>
        </is>
      </c>
      <c r="D321" t="inlineStr">
        <is>
          <t>Chicano visions : American painters on the verge / Cheech Marin ; essays by Max Benavidez, Constance Cortez, Tere Romo.</t>
        </is>
      </c>
      <c r="F321" t="inlineStr">
        <is>
          <t>No</t>
        </is>
      </c>
      <c r="G321" t="inlineStr">
        <is>
          <t>1</t>
        </is>
      </c>
      <c r="H321" t="inlineStr">
        <is>
          <t>No</t>
        </is>
      </c>
      <c r="I321" t="inlineStr">
        <is>
          <t>No</t>
        </is>
      </c>
      <c r="J321" t="inlineStr">
        <is>
          <t>0</t>
        </is>
      </c>
      <c r="K321" t="inlineStr">
        <is>
          <t>Marin, Cheech.</t>
        </is>
      </c>
      <c r="L321" t="inlineStr">
        <is>
          <t>Boston : Bullfinch Press, c2002.</t>
        </is>
      </c>
      <c r="M321" t="inlineStr">
        <is>
          <t>2002</t>
        </is>
      </c>
      <c r="N321" t="inlineStr">
        <is>
          <t>1st North American ed.</t>
        </is>
      </c>
      <c r="O321" t="inlineStr">
        <is>
          <t>eng</t>
        </is>
      </c>
      <c r="P321" t="inlineStr">
        <is>
          <t>cau</t>
        </is>
      </c>
      <c r="R321" t="inlineStr">
        <is>
          <t xml:space="preserve">ND </t>
        </is>
      </c>
      <c r="S321" t="n">
        <v>1</v>
      </c>
      <c r="T321" t="n">
        <v>1</v>
      </c>
      <c r="U321" t="inlineStr">
        <is>
          <t>2002-12-09</t>
        </is>
      </c>
      <c r="V321" t="inlineStr">
        <is>
          <t>2002-12-09</t>
        </is>
      </c>
      <c r="W321" t="inlineStr">
        <is>
          <t>2002-12-09</t>
        </is>
      </c>
      <c r="X321" t="inlineStr">
        <is>
          <t>2002-12-09</t>
        </is>
      </c>
      <c r="Y321" t="n">
        <v>889</v>
      </c>
      <c r="Z321" t="n">
        <v>872</v>
      </c>
      <c r="AA321" t="n">
        <v>990</v>
      </c>
      <c r="AB321" t="n">
        <v>8</v>
      </c>
      <c r="AC321" t="n">
        <v>8</v>
      </c>
      <c r="AD321" t="n">
        <v>22</v>
      </c>
      <c r="AE321" t="n">
        <v>22</v>
      </c>
      <c r="AF321" t="n">
        <v>6</v>
      </c>
      <c r="AG321" t="n">
        <v>6</v>
      </c>
      <c r="AH321" t="n">
        <v>4</v>
      </c>
      <c r="AI321" t="n">
        <v>4</v>
      </c>
      <c r="AJ321" t="n">
        <v>9</v>
      </c>
      <c r="AK321" t="n">
        <v>9</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HYPERLINK("https://creighton-primo.hosted.exlibrisgroup.com/primo-explore/search?tab=default_tab&amp;search_scope=EVERYTHING&amp;vid=01CRU&amp;lang=en_US&amp;offset=0&amp;query=any,contains,991003950919702656","Catalog Record")</f>
        <v/>
      </c>
      <c r="AT321">
        <f>HYPERLINK("http://www.worldcat.org/oclc/50609903","WorldCat Record")</f>
        <v/>
      </c>
      <c r="AU321" t="inlineStr">
        <is>
          <t>840618676:eng</t>
        </is>
      </c>
      <c r="AV321" t="inlineStr">
        <is>
          <t>50609903</t>
        </is>
      </c>
      <c r="AW321" t="inlineStr">
        <is>
          <t>991003950919702656</t>
        </is>
      </c>
      <c r="AX321" t="inlineStr">
        <is>
          <t>991003950919702656</t>
        </is>
      </c>
      <c r="AY321" t="inlineStr">
        <is>
          <t>2258439300002656</t>
        </is>
      </c>
      <c r="AZ321" t="inlineStr">
        <is>
          <t>BOOK</t>
        </is>
      </c>
      <c r="BB321" t="inlineStr">
        <is>
          <t>9780821228050</t>
        </is>
      </c>
      <c r="BC321" t="inlineStr">
        <is>
          <t>32285004669015</t>
        </is>
      </c>
      <c r="BD321" t="inlineStr">
        <is>
          <t>893800402</t>
        </is>
      </c>
    </row>
    <row r="322">
      <c r="A322" t="inlineStr">
        <is>
          <t>No</t>
        </is>
      </c>
      <c r="B322" t="inlineStr">
        <is>
          <t>ND2420 .B36 1978</t>
        </is>
      </c>
      <c r="C322" t="inlineStr">
        <is>
          <t>0                      ND 2420000B  36          1978</t>
        </is>
      </c>
      <c r="D322" t="inlineStr">
        <is>
          <t>Watercolor : the wet technique / by Arthur J. Barbour.</t>
        </is>
      </c>
      <c r="F322" t="inlineStr">
        <is>
          <t>No</t>
        </is>
      </c>
      <c r="G322" t="inlineStr">
        <is>
          <t>1</t>
        </is>
      </c>
      <c r="H322" t="inlineStr">
        <is>
          <t>No</t>
        </is>
      </c>
      <c r="I322" t="inlineStr">
        <is>
          <t>No</t>
        </is>
      </c>
      <c r="J322" t="inlineStr">
        <is>
          <t>0</t>
        </is>
      </c>
      <c r="K322" t="inlineStr">
        <is>
          <t>Barbour, Arthur J., 1926-2006.</t>
        </is>
      </c>
      <c r="L322" t="inlineStr">
        <is>
          <t>New York : Watson-Guptill Publications, 1978.</t>
        </is>
      </c>
      <c r="M322" t="inlineStr">
        <is>
          <t>1978</t>
        </is>
      </c>
      <c r="O322" t="inlineStr">
        <is>
          <t>eng</t>
        </is>
      </c>
      <c r="P322" t="inlineStr">
        <is>
          <t>nyu</t>
        </is>
      </c>
      <c r="R322" t="inlineStr">
        <is>
          <t xml:space="preserve">ND </t>
        </is>
      </c>
      <c r="S322" t="n">
        <v>2</v>
      </c>
      <c r="T322" t="n">
        <v>2</v>
      </c>
      <c r="U322" t="inlineStr">
        <is>
          <t>2000-12-15</t>
        </is>
      </c>
      <c r="V322" t="inlineStr">
        <is>
          <t>2000-12-15</t>
        </is>
      </c>
      <c r="W322" t="inlineStr">
        <is>
          <t>1993-08-05</t>
        </is>
      </c>
      <c r="X322" t="inlineStr">
        <is>
          <t>1993-08-05</t>
        </is>
      </c>
      <c r="Y322" t="n">
        <v>790</v>
      </c>
      <c r="Z322" t="n">
        <v>713</v>
      </c>
      <c r="AA322" t="n">
        <v>720</v>
      </c>
      <c r="AB322" t="n">
        <v>5</v>
      </c>
      <c r="AC322" t="n">
        <v>5</v>
      </c>
      <c r="AD322" t="n">
        <v>9</v>
      </c>
      <c r="AE322" t="n">
        <v>9</v>
      </c>
      <c r="AF322" t="n">
        <v>4</v>
      </c>
      <c r="AG322" t="n">
        <v>4</v>
      </c>
      <c r="AH322" t="n">
        <v>0</v>
      </c>
      <c r="AI322" t="n">
        <v>0</v>
      </c>
      <c r="AJ322" t="n">
        <v>1</v>
      </c>
      <c r="AK322" t="n">
        <v>1</v>
      </c>
      <c r="AL322" t="n">
        <v>4</v>
      </c>
      <c r="AM322" t="n">
        <v>4</v>
      </c>
      <c r="AN322" t="n">
        <v>0</v>
      </c>
      <c r="AO322" t="n">
        <v>0</v>
      </c>
      <c r="AP322" t="inlineStr">
        <is>
          <t>No</t>
        </is>
      </c>
      <c r="AQ322" t="inlineStr">
        <is>
          <t>Yes</t>
        </is>
      </c>
      <c r="AR322">
        <f>HYPERLINK("http://catalog.hathitrust.org/Record/000091677","HathiTrust Record")</f>
        <v/>
      </c>
      <c r="AS322">
        <f>HYPERLINK("https://creighton-primo.hosted.exlibrisgroup.com/primo-explore/search?tab=default_tab&amp;search_scope=EVERYTHING&amp;vid=01CRU&amp;lang=en_US&amp;offset=0&amp;query=any,contains,991004477139702656","Catalog Record")</f>
        <v/>
      </c>
      <c r="AT322">
        <f>HYPERLINK("http://www.worldcat.org/oclc/3609723","WorldCat Record")</f>
        <v/>
      </c>
      <c r="AU322" t="inlineStr">
        <is>
          <t>198296601:eng</t>
        </is>
      </c>
      <c r="AV322" t="inlineStr">
        <is>
          <t>3609723</t>
        </is>
      </c>
      <c r="AW322" t="inlineStr">
        <is>
          <t>991004477139702656</t>
        </is>
      </c>
      <c r="AX322" t="inlineStr">
        <is>
          <t>991004477139702656</t>
        </is>
      </c>
      <c r="AY322" t="inlineStr">
        <is>
          <t>2271825930002656</t>
        </is>
      </c>
      <c r="AZ322" t="inlineStr">
        <is>
          <t>BOOK</t>
        </is>
      </c>
      <c r="BB322" t="inlineStr">
        <is>
          <t>9780823056811</t>
        </is>
      </c>
      <c r="BC322" t="inlineStr">
        <is>
          <t>32285001750974</t>
        </is>
      </c>
      <c r="BD322" t="inlineStr">
        <is>
          <t>893895043</t>
        </is>
      </c>
    </row>
    <row r="323">
      <c r="A323" t="inlineStr">
        <is>
          <t>No</t>
        </is>
      </c>
      <c r="B323" t="inlineStr">
        <is>
          <t>ND2420 .B56 1978</t>
        </is>
      </c>
      <c r="C323" t="inlineStr">
        <is>
          <t>0                      ND 2420000B  56          1978</t>
        </is>
      </c>
      <c r="D323" t="inlineStr">
        <is>
          <t>The watercolor painting book / by Wendon Blake ; paintings by Claude Croney.</t>
        </is>
      </c>
      <c r="F323" t="inlineStr">
        <is>
          <t>No</t>
        </is>
      </c>
      <c r="G323" t="inlineStr">
        <is>
          <t>1</t>
        </is>
      </c>
      <c r="H323" t="inlineStr">
        <is>
          <t>No</t>
        </is>
      </c>
      <c r="I323" t="inlineStr">
        <is>
          <t>No</t>
        </is>
      </c>
      <c r="J323" t="inlineStr">
        <is>
          <t>0</t>
        </is>
      </c>
      <c r="K323" t="inlineStr">
        <is>
          <t>Blake, Wendon.</t>
        </is>
      </c>
      <c r="L323" t="inlineStr">
        <is>
          <t>New York : Watson-Guptill Publications, c1978.</t>
        </is>
      </c>
      <c r="M323" t="inlineStr">
        <is>
          <t>1978</t>
        </is>
      </c>
      <c r="O323" t="inlineStr">
        <is>
          <t>eng</t>
        </is>
      </c>
      <c r="P323" t="inlineStr">
        <is>
          <t>nyu</t>
        </is>
      </c>
      <c r="R323" t="inlineStr">
        <is>
          <t xml:space="preserve">ND </t>
        </is>
      </c>
      <c r="S323" t="n">
        <v>8</v>
      </c>
      <c r="T323" t="n">
        <v>8</v>
      </c>
      <c r="U323" t="inlineStr">
        <is>
          <t>2006-12-13</t>
        </is>
      </c>
      <c r="V323" t="inlineStr">
        <is>
          <t>2006-12-13</t>
        </is>
      </c>
      <c r="W323" t="inlineStr">
        <is>
          <t>1993-05-28</t>
        </is>
      </c>
      <c r="X323" t="inlineStr">
        <is>
          <t>1993-05-28</t>
        </is>
      </c>
      <c r="Y323" t="n">
        <v>1224</v>
      </c>
      <c r="Z323" t="n">
        <v>1145</v>
      </c>
      <c r="AA323" t="n">
        <v>1147</v>
      </c>
      <c r="AB323" t="n">
        <v>16</v>
      </c>
      <c r="AC323" t="n">
        <v>16</v>
      </c>
      <c r="AD323" t="n">
        <v>14</v>
      </c>
      <c r="AE323" t="n">
        <v>14</v>
      </c>
      <c r="AF323" t="n">
        <v>5</v>
      </c>
      <c r="AG323" t="n">
        <v>5</v>
      </c>
      <c r="AH323" t="n">
        <v>2</v>
      </c>
      <c r="AI323" t="n">
        <v>2</v>
      </c>
      <c r="AJ323" t="n">
        <v>7</v>
      </c>
      <c r="AK323" t="n">
        <v>7</v>
      </c>
      <c r="AL323" t="n">
        <v>4</v>
      </c>
      <c r="AM323" t="n">
        <v>4</v>
      </c>
      <c r="AN323" t="n">
        <v>0</v>
      </c>
      <c r="AO323" t="n">
        <v>0</v>
      </c>
      <c r="AP323" t="inlineStr">
        <is>
          <t>No</t>
        </is>
      </c>
      <c r="AQ323" t="inlineStr">
        <is>
          <t>Yes</t>
        </is>
      </c>
      <c r="AR323">
        <f>HYPERLINK("http://catalog.hathitrust.org/Record/008232168","HathiTrust Record")</f>
        <v/>
      </c>
      <c r="AS323">
        <f>HYPERLINK("https://creighton-primo.hosted.exlibrisgroup.com/primo-explore/search?tab=default_tab&amp;search_scope=EVERYTHING&amp;vid=01CRU&amp;lang=en_US&amp;offset=0&amp;query=any,contains,991004474939702656","Catalog Record")</f>
        <v/>
      </c>
      <c r="AT323">
        <f>HYPERLINK("http://www.worldcat.org/oclc/3608808","WorldCat Record")</f>
        <v/>
      </c>
      <c r="AU323" t="inlineStr">
        <is>
          <t>2908673182:eng</t>
        </is>
      </c>
      <c r="AV323" t="inlineStr">
        <is>
          <t>3608808</t>
        </is>
      </c>
      <c r="AW323" t="inlineStr">
        <is>
          <t>991004474939702656</t>
        </is>
      </c>
      <c r="AX323" t="inlineStr">
        <is>
          <t>991004474939702656</t>
        </is>
      </c>
      <c r="AY323" t="inlineStr">
        <is>
          <t>2271474490002656</t>
        </is>
      </c>
      <c r="AZ323" t="inlineStr">
        <is>
          <t>BOOK</t>
        </is>
      </c>
      <c r="BB323" t="inlineStr">
        <is>
          <t>9780823056729</t>
        </is>
      </c>
      <c r="BC323" t="inlineStr">
        <is>
          <t>32285001694149</t>
        </is>
      </c>
      <c r="BD323" t="inlineStr">
        <is>
          <t>893876150</t>
        </is>
      </c>
    </row>
    <row r="324">
      <c r="A324" t="inlineStr">
        <is>
          <t>No</t>
        </is>
      </c>
      <c r="B324" t="inlineStr">
        <is>
          <t>ND2420 .B73 1986</t>
        </is>
      </c>
      <c r="C324" t="inlineStr">
        <is>
          <t>0                      ND 2420000B  73          1986</t>
        </is>
      </c>
      <c r="D324" t="inlineStr">
        <is>
          <t>Watercolor &amp; collage workshop / by Gerald Brommer.</t>
        </is>
      </c>
      <c r="F324" t="inlineStr">
        <is>
          <t>No</t>
        </is>
      </c>
      <c r="G324" t="inlineStr">
        <is>
          <t>1</t>
        </is>
      </c>
      <c r="H324" t="inlineStr">
        <is>
          <t>No</t>
        </is>
      </c>
      <c r="I324" t="inlineStr">
        <is>
          <t>No</t>
        </is>
      </c>
      <c r="J324" t="inlineStr">
        <is>
          <t>0</t>
        </is>
      </c>
      <c r="K324" t="inlineStr">
        <is>
          <t>Brommer, Gerald F.</t>
        </is>
      </c>
      <c r="L324" t="inlineStr">
        <is>
          <t>New York : Watson-Guptill Publications, [1986]</t>
        </is>
      </c>
      <c r="M324" t="inlineStr">
        <is>
          <t>1986</t>
        </is>
      </c>
      <c r="O324" t="inlineStr">
        <is>
          <t>eng</t>
        </is>
      </c>
      <c r="P324" t="inlineStr">
        <is>
          <t>nyu</t>
        </is>
      </c>
      <c r="R324" t="inlineStr">
        <is>
          <t xml:space="preserve">ND </t>
        </is>
      </c>
      <c r="S324" t="n">
        <v>3</v>
      </c>
      <c r="T324" t="n">
        <v>3</v>
      </c>
      <c r="U324" t="inlineStr">
        <is>
          <t>1994-11-10</t>
        </is>
      </c>
      <c r="V324" t="inlineStr">
        <is>
          <t>1994-11-10</t>
        </is>
      </c>
      <c r="W324" t="inlineStr">
        <is>
          <t>1993-05-28</t>
        </is>
      </c>
      <c r="X324" t="inlineStr">
        <is>
          <t>1993-05-28</t>
        </is>
      </c>
      <c r="Y324" t="n">
        <v>421</v>
      </c>
      <c r="Z324" t="n">
        <v>372</v>
      </c>
      <c r="AA324" t="n">
        <v>404</v>
      </c>
      <c r="AB324" t="n">
        <v>3</v>
      </c>
      <c r="AC324" t="n">
        <v>4</v>
      </c>
      <c r="AD324" t="n">
        <v>4</v>
      </c>
      <c r="AE324" t="n">
        <v>5</v>
      </c>
      <c r="AF324" t="n">
        <v>2</v>
      </c>
      <c r="AG324" t="n">
        <v>2</v>
      </c>
      <c r="AH324" t="n">
        <v>0</v>
      </c>
      <c r="AI324" t="n">
        <v>0</v>
      </c>
      <c r="AJ324" t="n">
        <v>0</v>
      </c>
      <c r="AK324" t="n">
        <v>0</v>
      </c>
      <c r="AL324" t="n">
        <v>2</v>
      </c>
      <c r="AM324" t="n">
        <v>3</v>
      </c>
      <c r="AN324" t="n">
        <v>0</v>
      </c>
      <c r="AO324" t="n">
        <v>0</v>
      </c>
      <c r="AP324" t="inlineStr">
        <is>
          <t>No</t>
        </is>
      </c>
      <c r="AQ324" t="inlineStr">
        <is>
          <t>Yes</t>
        </is>
      </c>
      <c r="AR324">
        <f>HYPERLINK("http://catalog.hathitrust.org/Record/007503813","HathiTrust Record")</f>
        <v/>
      </c>
      <c r="AS324">
        <f>HYPERLINK("https://creighton-primo.hosted.exlibrisgroup.com/primo-explore/search?tab=default_tab&amp;search_scope=EVERYTHING&amp;vid=01CRU&amp;lang=en_US&amp;offset=0&amp;query=any,contains,991000788179702656","Catalog Record")</f>
        <v/>
      </c>
      <c r="AT324">
        <f>HYPERLINK("http://www.worldcat.org/oclc/13126452","WorldCat Record")</f>
        <v/>
      </c>
      <c r="AU324" t="inlineStr">
        <is>
          <t>627175:eng</t>
        </is>
      </c>
      <c r="AV324" t="inlineStr">
        <is>
          <t>13126452</t>
        </is>
      </c>
      <c r="AW324" t="inlineStr">
        <is>
          <t>991000788179702656</t>
        </is>
      </c>
      <c r="AX324" t="inlineStr">
        <is>
          <t>991000788179702656</t>
        </is>
      </c>
      <c r="AY324" t="inlineStr">
        <is>
          <t>2257977880002656</t>
        </is>
      </c>
      <c r="AZ324" t="inlineStr">
        <is>
          <t>BOOK</t>
        </is>
      </c>
      <c r="BB324" t="inlineStr">
        <is>
          <t>9780823056521</t>
        </is>
      </c>
      <c r="BC324" t="inlineStr">
        <is>
          <t>32285001694156</t>
        </is>
      </c>
      <c r="BD324" t="inlineStr">
        <is>
          <t>893884757</t>
        </is>
      </c>
    </row>
    <row r="325">
      <c r="A325" t="inlineStr">
        <is>
          <t>No</t>
        </is>
      </c>
      <c r="B325" t="inlineStr">
        <is>
          <t>ND2420 .H37 1990</t>
        </is>
      </c>
      <c r="C325" t="inlineStr">
        <is>
          <t>0                      ND 2420000H  37          1990</t>
        </is>
      </c>
      <c r="D325" t="inlineStr">
        <is>
          <t>The encyclopedia of watercolor techniques / Hazel Harrison.</t>
        </is>
      </c>
      <c r="F325" t="inlineStr">
        <is>
          <t>No</t>
        </is>
      </c>
      <c r="G325" t="inlineStr">
        <is>
          <t>1</t>
        </is>
      </c>
      <c r="H325" t="inlineStr">
        <is>
          <t>No</t>
        </is>
      </c>
      <c r="I325" t="inlineStr">
        <is>
          <t>No</t>
        </is>
      </c>
      <c r="J325" t="inlineStr">
        <is>
          <t>0</t>
        </is>
      </c>
      <c r="K325" t="inlineStr">
        <is>
          <t>Harrison, Hazel.</t>
        </is>
      </c>
      <c r="L325" t="inlineStr">
        <is>
          <t>Philadelphia, Pa. : Running Press, 1990.</t>
        </is>
      </c>
      <c r="M325" t="inlineStr">
        <is>
          <t>1990</t>
        </is>
      </c>
      <c r="O325" t="inlineStr">
        <is>
          <t>eng</t>
        </is>
      </c>
      <c r="P325" t="inlineStr">
        <is>
          <t>pau</t>
        </is>
      </c>
      <c r="R325" t="inlineStr">
        <is>
          <t xml:space="preserve">ND </t>
        </is>
      </c>
      <c r="S325" t="n">
        <v>5</v>
      </c>
      <c r="T325" t="n">
        <v>5</v>
      </c>
      <c r="U325" t="inlineStr">
        <is>
          <t>2005-12-15</t>
        </is>
      </c>
      <c r="V325" t="inlineStr">
        <is>
          <t>2005-12-15</t>
        </is>
      </c>
      <c r="W325" t="inlineStr">
        <is>
          <t>1991-08-06</t>
        </is>
      </c>
      <c r="X325" t="inlineStr">
        <is>
          <t>1991-08-06</t>
        </is>
      </c>
      <c r="Y325" t="n">
        <v>698</v>
      </c>
      <c r="Z325" t="n">
        <v>663</v>
      </c>
      <c r="AA325" t="n">
        <v>1020</v>
      </c>
      <c r="AB325" t="n">
        <v>7</v>
      </c>
      <c r="AC325" t="n">
        <v>9</v>
      </c>
      <c r="AD325" t="n">
        <v>8</v>
      </c>
      <c r="AE325" t="n">
        <v>8</v>
      </c>
      <c r="AF325" t="n">
        <v>2</v>
      </c>
      <c r="AG325" t="n">
        <v>2</v>
      </c>
      <c r="AH325" t="n">
        <v>1</v>
      </c>
      <c r="AI325" t="n">
        <v>1</v>
      </c>
      <c r="AJ325" t="n">
        <v>3</v>
      </c>
      <c r="AK325" t="n">
        <v>3</v>
      </c>
      <c r="AL325" t="n">
        <v>4</v>
      </c>
      <c r="AM325" t="n">
        <v>4</v>
      </c>
      <c r="AN325" t="n">
        <v>0</v>
      </c>
      <c r="AO325" t="n">
        <v>0</v>
      </c>
      <c r="AP325" t="inlineStr">
        <is>
          <t>No</t>
        </is>
      </c>
      <c r="AQ325" t="inlineStr">
        <is>
          <t>Yes</t>
        </is>
      </c>
      <c r="AR325">
        <f>HYPERLINK("http://catalog.hathitrust.org/Record/002448273","HathiTrust Record")</f>
        <v/>
      </c>
      <c r="AS325">
        <f>HYPERLINK("https://creighton-primo.hosted.exlibrisgroup.com/primo-explore/search?tab=default_tab&amp;search_scope=EVERYTHING&amp;vid=01CRU&amp;lang=en_US&amp;offset=0&amp;query=any,contains,991001793319702656","Catalog Record")</f>
        <v/>
      </c>
      <c r="AT325">
        <f>HYPERLINK("http://www.worldcat.org/oclc/22575794","WorldCat Record")</f>
        <v/>
      </c>
      <c r="AU325" t="inlineStr">
        <is>
          <t>1151445069:eng</t>
        </is>
      </c>
      <c r="AV325" t="inlineStr">
        <is>
          <t>22575794</t>
        </is>
      </c>
      <c r="AW325" t="inlineStr">
        <is>
          <t>991001793319702656</t>
        </is>
      </c>
      <c r="AX325" t="inlineStr">
        <is>
          <t>991001793319702656</t>
        </is>
      </c>
      <c r="AY325" t="inlineStr">
        <is>
          <t>2260485860002656</t>
        </is>
      </c>
      <c r="AZ325" t="inlineStr">
        <is>
          <t>BOOK</t>
        </is>
      </c>
      <c r="BB325" t="inlineStr">
        <is>
          <t>9780894718939</t>
        </is>
      </c>
      <c r="BC325" t="inlineStr">
        <is>
          <t>32285000664994</t>
        </is>
      </c>
      <c r="BD325" t="inlineStr">
        <is>
          <t>893346792</t>
        </is>
      </c>
    </row>
    <row r="326">
      <c r="A326" t="inlineStr">
        <is>
          <t>No</t>
        </is>
      </c>
      <c r="B326" t="inlineStr">
        <is>
          <t>ND2420 .H54 1982</t>
        </is>
      </c>
      <c r="C326" t="inlineStr">
        <is>
          <t>0                      ND 2420000H  54          1982</t>
        </is>
      </c>
      <c r="D326" t="inlineStr">
        <is>
          <t>Color for the watercolor painter / by Tom Hill.</t>
        </is>
      </c>
      <c r="F326" t="inlineStr">
        <is>
          <t>No</t>
        </is>
      </c>
      <c r="G326" t="inlineStr">
        <is>
          <t>1</t>
        </is>
      </c>
      <c r="H326" t="inlineStr">
        <is>
          <t>No</t>
        </is>
      </c>
      <c r="I326" t="inlineStr">
        <is>
          <t>No</t>
        </is>
      </c>
      <c r="J326" t="inlineStr">
        <is>
          <t>0</t>
        </is>
      </c>
      <c r="K326" t="inlineStr">
        <is>
          <t>Hill, Tom, 1922-</t>
        </is>
      </c>
      <c r="L326" t="inlineStr">
        <is>
          <t>New York : Watson-Guptill Publications, [1982]</t>
        </is>
      </c>
      <c r="M326" t="inlineStr">
        <is>
          <t>1982</t>
        </is>
      </c>
      <c r="N326" t="inlineStr">
        <is>
          <t>Rev. ed.</t>
        </is>
      </c>
      <c r="O326" t="inlineStr">
        <is>
          <t>eng</t>
        </is>
      </c>
      <c r="P326" t="inlineStr">
        <is>
          <t>nyu</t>
        </is>
      </c>
      <c r="R326" t="inlineStr">
        <is>
          <t xml:space="preserve">ND </t>
        </is>
      </c>
      <c r="S326" t="n">
        <v>6</v>
      </c>
      <c r="T326" t="n">
        <v>6</v>
      </c>
      <c r="U326" t="inlineStr">
        <is>
          <t>2000-05-01</t>
        </is>
      </c>
      <c r="V326" t="inlineStr">
        <is>
          <t>2000-05-01</t>
        </is>
      </c>
      <c r="W326" t="inlineStr">
        <is>
          <t>1993-05-28</t>
        </is>
      </c>
      <c r="X326" t="inlineStr">
        <is>
          <t>1993-05-28</t>
        </is>
      </c>
      <c r="Y326" t="n">
        <v>398</v>
      </c>
      <c r="Z326" t="n">
        <v>362</v>
      </c>
      <c r="AA326" t="n">
        <v>700</v>
      </c>
      <c r="AB326" t="n">
        <v>5</v>
      </c>
      <c r="AC326" t="n">
        <v>10</v>
      </c>
      <c r="AD326" t="n">
        <v>2</v>
      </c>
      <c r="AE326" t="n">
        <v>12</v>
      </c>
      <c r="AF326" t="n">
        <v>0</v>
      </c>
      <c r="AG326" t="n">
        <v>3</v>
      </c>
      <c r="AH326" t="n">
        <v>0</v>
      </c>
      <c r="AI326" t="n">
        <v>2</v>
      </c>
      <c r="AJ326" t="n">
        <v>0</v>
      </c>
      <c r="AK326" t="n">
        <v>2</v>
      </c>
      <c r="AL326" t="n">
        <v>2</v>
      </c>
      <c r="AM326" t="n">
        <v>5</v>
      </c>
      <c r="AN326" t="n">
        <v>0</v>
      </c>
      <c r="AO326" t="n">
        <v>0</v>
      </c>
      <c r="AP326" t="inlineStr">
        <is>
          <t>No</t>
        </is>
      </c>
      <c r="AQ326" t="inlineStr">
        <is>
          <t>Yes</t>
        </is>
      </c>
      <c r="AR326">
        <f>HYPERLINK("http://catalog.hathitrust.org/Record/000150356","HathiTrust Record")</f>
        <v/>
      </c>
      <c r="AS326">
        <f>HYPERLINK("https://creighton-primo.hosted.exlibrisgroup.com/primo-explore/search?tab=default_tab&amp;search_scope=EVERYTHING&amp;vid=01CRU&amp;lang=en_US&amp;offset=0&amp;query=any,contains,991005211769702656","Catalog Record")</f>
        <v/>
      </c>
      <c r="AT326">
        <f>HYPERLINK("http://www.worldcat.org/oclc/8169828","WorldCat Record")</f>
        <v/>
      </c>
      <c r="AU326" t="inlineStr">
        <is>
          <t>2018875:eng</t>
        </is>
      </c>
      <c r="AV326" t="inlineStr">
        <is>
          <t>8169828</t>
        </is>
      </c>
      <c r="AW326" t="inlineStr">
        <is>
          <t>991005211769702656</t>
        </is>
      </c>
      <c r="AX326" t="inlineStr">
        <is>
          <t>991005211769702656</t>
        </is>
      </c>
      <c r="AY326" t="inlineStr">
        <is>
          <t>2269784620002656</t>
        </is>
      </c>
      <c r="AZ326" t="inlineStr">
        <is>
          <t>BOOK</t>
        </is>
      </c>
      <c r="BB326" t="inlineStr">
        <is>
          <t>9780823007349</t>
        </is>
      </c>
      <c r="BC326" t="inlineStr">
        <is>
          <t>32285001694180</t>
        </is>
      </c>
      <c r="BD326" t="inlineStr">
        <is>
          <t>893783207</t>
        </is>
      </c>
    </row>
    <row r="327">
      <c r="A327" t="inlineStr">
        <is>
          <t>No</t>
        </is>
      </c>
      <c r="B327" t="inlineStr">
        <is>
          <t>ND2420 .P37 1985</t>
        </is>
      </c>
      <c r="C327" t="inlineStr">
        <is>
          <t>0                      ND 2420000P  37          1985</t>
        </is>
      </c>
      <c r="D327" t="inlineStr">
        <is>
          <t>The big book of watercolor painting : the history, the studio, the materials, the techniques, the subjects, the theory and the practice of watercolor painting / by Jose M. Parramon.</t>
        </is>
      </c>
      <c r="F327" t="inlineStr">
        <is>
          <t>No</t>
        </is>
      </c>
      <c r="G327" t="inlineStr">
        <is>
          <t>1</t>
        </is>
      </c>
      <c r="H327" t="inlineStr">
        <is>
          <t>No</t>
        </is>
      </c>
      <c r="I327" t="inlineStr">
        <is>
          <t>No</t>
        </is>
      </c>
      <c r="J327" t="inlineStr">
        <is>
          <t>0</t>
        </is>
      </c>
      <c r="K327" t="inlineStr">
        <is>
          <t>Parramón, José María.</t>
        </is>
      </c>
      <c r="L327" t="inlineStr">
        <is>
          <t>New York : Watson-Guptill, 1985.</t>
        </is>
      </c>
      <c r="M327" t="inlineStr">
        <is>
          <t>1984</t>
        </is>
      </c>
      <c r="O327" t="inlineStr">
        <is>
          <t>eng</t>
        </is>
      </c>
      <c r="P327" t="inlineStr">
        <is>
          <t>nyu</t>
        </is>
      </c>
      <c r="R327" t="inlineStr">
        <is>
          <t xml:space="preserve">ND </t>
        </is>
      </c>
      <c r="S327" t="n">
        <v>5</v>
      </c>
      <c r="T327" t="n">
        <v>5</v>
      </c>
      <c r="U327" t="inlineStr">
        <is>
          <t>2004-07-06</t>
        </is>
      </c>
      <c r="V327" t="inlineStr">
        <is>
          <t>2004-07-06</t>
        </is>
      </c>
      <c r="W327" t="inlineStr">
        <is>
          <t>1993-05-28</t>
        </is>
      </c>
      <c r="X327" t="inlineStr">
        <is>
          <t>1993-05-28</t>
        </is>
      </c>
      <c r="Y327" t="n">
        <v>468</v>
      </c>
      <c r="Z327" t="n">
        <v>433</v>
      </c>
      <c r="AA327" t="n">
        <v>452</v>
      </c>
      <c r="AB327" t="n">
        <v>2</v>
      </c>
      <c r="AC327" t="n">
        <v>2</v>
      </c>
      <c r="AD327" t="n">
        <v>2</v>
      </c>
      <c r="AE327" t="n">
        <v>2</v>
      </c>
      <c r="AF327" t="n">
        <v>1</v>
      </c>
      <c r="AG327" t="n">
        <v>1</v>
      </c>
      <c r="AH327" t="n">
        <v>0</v>
      </c>
      <c r="AI327" t="n">
        <v>0</v>
      </c>
      <c r="AJ327" t="n">
        <v>1</v>
      </c>
      <c r="AK327" t="n">
        <v>1</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HYPERLINK("https://creighton-primo.hosted.exlibrisgroup.com/primo-explore/search?tab=default_tab&amp;search_scope=EVERYTHING&amp;vid=01CRU&amp;lang=en_US&amp;offset=0&amp;query=any,contains,991000577739702656","Catalog Record")</f>
        <v/>
      </c>
      <c r="AT327">
        <f>HYPERLINK("http://www.worldcat.org/oclc/11878917","WorldCat Record")</f>
        <v/>
      </c>
      <c r="AU327" t="inlineStr">
        <is>
          <t>4320204:eng</t>
        </is>
      </c>
      <c r="AV327" t="inlineStr">
        <is>
          <t>11878917</t>
        </is>
      </c>
      <c r="AW327" t="inlineStr">
        <is>
          <t>991000577739702656</t>
        </is>
      </c>
      <c r="AX327" t="inlineStr">
        <is>
          <t>991000577739702656</t>
        </is>
      </c>
      <c r="AY327" t="inlineStr">
        <is>
          <t>2260297550002656</t>
        </is>
      </c>
      <c r="AZ327" t="inlineStr">
        <is>
          <t>BOOK</t>
        </is>
      </c>
      <c r="BB327" t="inlineStr">
        <is>
          <t>9780823004966</t>
        </is>
      </c>
      <c r="BC327" t="inlineStr">
        <is>
          <t>32285001694214</t>
        </is>
      </c>
      <c r="BD327" t="inlineStr">
        <is>
          <t>893790651</t>
        </is>
      </c>
    </row>
    <row r="328">
      <c r="A328" t="inlineStr">
        <is>
          <t>No</t>
        </is>
      </c>
      <c r="B328" t="inlineStr">
        <is>
          <t>ND2420 .R36 1986</t>
        </is>
      </c>
      <c r="C328" t="inlineStr">
        <is>
          <t>0                      ND 2420000R  36          1986</t>
        </is>
      </c>
      <c r="D328" t="inlineStr">
        <is>
          <t>Mastering glazing techniques in watercolor / Don Rankin.</t>
        </is>
      </c>
      <c r="F328" t="inlineStr">
        <is>
          <t>No</t>
        </is>
      </c>
      <c r="G328" t="inlineStr">
        <is>
          <t>1</t>
        </is>
      </c>
      <c r="H328" t="inlineStr">
        <is>
          <t>No</t>
        </is>
      </c>
      <c r="I328" t="inlineStr">
        <is>
          <t>No</t>
        </is>
      </c>
      <c r="J328" t="inlineStr">
        <is>
          <t>0</t>
        </is>
      </c>
      <c r="K328" t="inlineStr">
        <is>
          <t>Rankin, Don.</t>
        </is>
      </c>
      <c r="L328" t="inlineStr">
        <is>
          <t>New York : Watson-Guptill Publications, 1986.</t>
        </is>
      </c>
      <c r="M328" t="inlineStr">
        <is>
          <t>1986</t>
        </is>
      </c>
      <c r="O328" t="inlineStr">
        <is>
          <t>eng</t>
        </is>
      </c>
      <c r="P328" t="inlineStr">
        <is>
          <t>nyu</t>
        </is>
      </c>
      <c r="R328" t="inlineStr">
        <is>
          <t xml:space="preserve">ND </t>
        </is>
      </c>
      <c r="S328" t="n">
        <v>4</v>
      </c>
      <c r="T328" t="n">
        <v>4</v>
      </c>
      <c r="U328" t="inlineStr">
        <is>
          <t>2007-03-23</t>
        </is>
      </c>
      <c r="V328" t="inlineStr">
        <is>
          <t>2007-03-23</t>
        </is>
      </c>
      <c r="W328" t="inlineStr">
        <is>
          <t>1993-05-28</t>
        </is>
      </c>
      <c r="X328" t="inlineStr">
        <is>
          <t>1993-05-28</t>
        </is>
      </c>
      <c r="Y328" t="n">
        <v>401</v>
      </c>
      <c r="Z328" t="n">
        <v>355</v>
      </c>
      <c r="AA328" t="n">
        <v>357</v>
      </c>
      <c r="AB328" t="n">
        <v>2</v>
      </c>
      <c r="AC328" t="n">
        <v>2</v>
      </c>
      <c r="AD328" t="n">
        <v>2</v>
      </c>
      <c r="AE328" t="n">
        <v>2</v>
      </c>
      <c r="AF328" t="n">
        <v>1</v>
      </c>
      <c r="AG328" t="n">
        <v>1</v>
      </c>
      <c r="AH328" t="n">
        <v>0</v>
      </c>
      <c r="AI328" t="n">
        <v>0</v>
      </c>
      <c r="AJ328" t="n">
        <v>0</v>
      </c>
      <c r="AK328" t="n">
        <v>0</v>
      </c>
      <c r="AL328" t="n">
        <v>1</v>
      </c>
      <c r="AM328" t="n">
        <v>1</v>
      </c>
      <c r="AN328" t="n">
        <v>0</v>
      </c>
      <c r="AO328" t="n">
        <v>0</v>
      </c>
      <c r="AP328" t="inlineStr">
        <is>
          <t>No</t>
        </is>
      </c>
      <c r="AQ328" t="inlineStr">
        <is>
          <t>Yes</t>
        </is>
      </c>
      <c r="AR328">
        <f>HYPERLINK("http://catalog.hathitrust.org/Record/008544438","HathiTrust Record")</f>
        <v/>
      </c>
      <c r="AS328">
        <f>HYPERLINK("https://creighton-primo.hosted.exlibrisgroup.com/primo-explore/search?tab=default_tab&amp;search_scope=EVERYTHING&amp;vid=01CRU&amp;lang=en_US&amp;offset=0&amp;query=any,contains,991000868359702656","Catalog Record")</f>
        <v/>
      </c>
      <c r="AT328">
        <f>HYPERLINK("http://www.worldcat.org/oclc/13761648","WorldCat Record")</f>
        <v/>
      </c>
      <c r="AU328" t="inlineStr">
        <is>
          <t>7057671:eng</t>
        </is>
      </c>
      <c r="AV328" t="inlineStr">
        <is>
          <t>13761648</t>
        </is>
      </c>
      <c r="AW328" t="inlineStr">
        <is>
          <t>991000868359702656</t>
        </is>
      </c>
      <c r="AX328" t="inlineStr">
        <is>
          <t>991000868359702656</t>
        </is>
      </c>
      <c r="AY328" t="inlineStr">
        <is>
          <t>2267923890002656</t>
        </is>
      </c>
      <c r="AZ328" t="inlineStr">
        <is>
          <t>BOOK</t>
        </is>
      </c>
      <c r="BB328" t="inlineStr">
        <is>
          <t>9780823030248</t>
        </is>
      </c>
      <c r="BC328" t="inlineStr">
        <is>
          <t>32285001694222</t>
        </is>
      </c>
      <c r="BD328" t="inlineStr">
        <is>
          <t>893255815</t>
        </is>
      </c>
    </row>
    <row r="329">
      <c r="A329" t="inlineStr">
        <is>
          <t>No</t>
        </is>
      </c>
      <c r="B329" t="inlineStr">
        <is>
          <t>ND2420 .S33 1981</t>
        </is>
      </c>
      <c r="C329" t="inlineStr">
        <is>
          <t>0                      ND 2420000S  33          1981</t>
        </is>
      </c>
      <c r="D329" t="inlineStr">
        <is>
          <t>Mastering color and design in watercolor / by Christopher Schink.</t>
        </is>
      </c>
      <c r="F329" t="inlineStr">
        <is>
          <t>No</t>
        </is>
      </c>
      <c r="G329" t="inlineStr">
        <is>
          <t>1</t>
        </is>
      </c>
      <c r="H329" t="inlineStr">
        <is>
          <t>No</t>
        </is>
      </c>
      <c r="I329" t="inlineStr">
        <is>
          <t>No</t>
        </is>
      </c>
      <c r="J329" t="inlineStr">
        <is>
          <t>0</t>
        </is>
      </c>
      <c r="K329" t="inlineStr">
        <is>
          <t>Schink, Christopher, 1936-</t>
        </is>
      </c>
      <c r="L329" t="inlineStr">
        <is>
          <t>New York : Watson/Guptill, 1981.</t>
        </is>
      </c>
      <c r="M329" t="inlineStr">
        <is>
          <t>1981</t>
        </is>
      </c>
      <c r="O329" t="inlineStr">
        <is>
          <t>eng</t>
        </is>
      </c>
      <c r="P329" t="inlineStr">
        <is>
          <t>nyu</t>
        </is>
      </c>
      <c r="R329" t="inlineStr">
        <is>
          <t xml:space="preserve">ND </t>
        </is>
      </c>
      <c r="S329" t="n">
        <v>4</v>
      </c>
      <c r="T329" t="n">
        <v>4</v>
      </c>
      <c r="U329" t="inlineStr">
        <is>
          <t>1992-07-07</t>
        </is>
      </c>
      <c r="V329" t="inlineStr">
        <is>
          <t>1992-07-07</t>
        </is>
      </c>
      <c r="W329" t="inlineStr">
        <is>
          <t>1992-04-13</t>
        </is>
      </c>
      <c r="X329" t="inlineStr">
        <is>
          <t>1992-04-13</t>
        </is>
      </c>
      <c r="Y329" t="n">
        <v>409</v>
      </c>
      <c r="Z329" t="n">
        <v>358</v>
      </c>
      <c r="AA329" t="n">
        <v>358</v>
      </c>
      <c r="AB329" t="n">
        <v>5</v>
      </c>
      <c r="AC329" t="n">
        <v>5</v>
      </c>
      <c r="AD329" t="n">
        <v>4</v>
      </c>
      <c r="AE329" t="n">
        <v>4</v>
      </c>
      <c r="AF329" t="n">
        <v>0</v>
      </c>
      <c r="AG329" t="n">
        <v>0</v>
      </c>
      <c r="AH329" t="n">
        <v>0</v>
      </c>
      <c r="AI329" t="n">
        <v>0</v>
      </c>
      <c r="AJ329" t="n">
        <v>0</v>
      </c>
      <c r="AK329" t="n">
        <v>0</v>
      </c>
      <c r="AL329" t="n">
        <v>4</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HYPERLINK("https://creighton-primo.hosted.exlibrisgroup.com/primo-explore/search?tab=default_tab&amp;search_scope=EVERYTHING&amp;vid=01CRU&amp;lang=en_US&amp;offset=0&amp;query=any,contains,991005079899702656","Catalog Record")</f>
        <v/>
      </c>
      <c r="AT329">
        <f>HYPERLINK("http://www.worldcat.org/oclc/7170464","WorldCat Record")</f>
        <v/>
      </c>
      <c r="AU329" t="inlineStr">
        <is>
          <t>2500938080:eng</t>
        </is>
      </c>
      <c r="AV329" t="inlineStr">
        <is>
          <t>7170464</t>
        </is>
      </c>
      <c r="AW329" t="inlineStr">
        <is>
          <t>991005079899702656</t>
        </is>
      </c>
      <c r="AX329" t="inlineStr">
        <is>
          <t>991005079899702656</t>
        </is>
      </c>
      <c r="AY329" t="inlineStr">
        <is>
          <t>2256683830002656</t>
        </is>
      </c>
      <c r="AZ329" t="inlineStr">
        <is>
          <t>BOOK</t>
        </is>
      </c>
      <c r="BB329" t="inlineStr">
        <is>
          <t>9780823030156</t>
        </is>
      </c>
      <c r="BC329" t="inlineStr">
        <is>
          <t>32285001059582</t>
        </is>
      </c>
      <c r="BD329" t="inlineStr">
        <is>
          <t>893619413</t>
        </is>
      </c>
    </row>
    <row r="330">
      <c r="A330" t="inlineStr">
        <is>
          <t>No</t>
        </is>
      </c>
      <c r="B330" t="inlineStr">
        <is>
          <t>ND2422 .D46 1978</t>
        </is>
      </c>
      <c r="C330" t="inlineStr">
        <is>
          <t>0                      ND 2422000D  46          1978</t>
        </is>
      </c>
      <c r="D330" t="inlineStr">
        <is>
          <t>Magic realist watercolor painting / by Rudy de Reyna.</t>
        </is>
      </c>
      <c r="F330" t="inlineStr">
        <is>
          <t>No</t>
        </is>
      </c>
      <c r="G330" t="inlineStr">
        <is>
          <t>1</t>
        </is>
      </c>
      <c r="H330" t="inlineStr">
        <is>
          <t>No</t>
        </is>
      </c>
      <c r="I330" t="inlineStr">
        <is>
          <t>No</t>
        </is>
      </c>
      <c r="J330" t="inlineStr">
        <is>
          <t>0</t>
        </is>
      </c>
      <c r="K330" t="inlineStr">
        <is>
          <t>De Reyna, Rudy, 1914-</t>
        </is>
      </c>
      <c r="L330" t="inlineStr">
        <is>
          <t>New York : Watson-Guptill, 1978.</t>
        </is>
      </c>
      <c r="M330" t="inlineStr">
        <is>
          <t>1978</t>
        </is>
      </c>
      <c r="O330" t="inlineStr">
        <is>
          <t>eng</t>
        </is>
      </c>
      <c r="P330" t="inlineStr">
        <is>
          <t>nyu</t>
        </is>
      </c>
      <c r="R330" t="inlineStr">
        <is>
          <t xml:space="preserve">ND </t>
        </is>
      </c>
      <c r="S330" t="n">
        <v>3</v>
      </c>
      <c r="T330" t="n">
        <v>3</v>
      </c>
      <c r="U330" t="inlineStr">
        <is>
          <t>1997-04-06</t>
        </is>
      </c>
      <c r="V330" t="inlineStr">
        <is>
          <t>1997-04-06</t>
        </is>
      </c>
      <c r="W330" t="inlineStr">
        <is>
          <t>1993-08-05</t>
        </is>
      </c>
      <c r="X330" t="inlineStr">
        <is>
          <t>1993-08-05</t>
        </is>
      </c>
      <c r="Y330" t="n">
        <v>463</v>
      </c>
      <c r="Z330" t="n">
        <v>403</v>
      </c>
      <c r="AA330" t="n">
        <v>456</v>
      </c>
      <c r="AB330" t="n">
        <v>2</v>
      </c>
      <c r="AC330" t="n">
        <v>2</v>
      </c>
      <c r="AD330" t="n">
        <v>6</v>
      </c>
      <c r="AE330" t="n">
        <v>7</v>
      </c>
      <c r="AF330" t="n">
        <v>3</v>
      </c>
      <c r="AG330" t="n">
        <v>4</v>
      </c>
      <c r="AH330" t="n">
        <v>0</v>
      </c>
      <c r="AI330" t="n">
        <v>0</v>
      </c>
      <c r="AJ330" t="n">
        <v>3</v>
      </c>
      <c r="AK330" t="n">
        <v>4</v>
      </c>
      <c r="AL330" t="n">
        <v>1</v>
      </c>
      <c r="AM330" t="n">
        <v>1</v>
      </c>
      <c r="AN330" t="n">
        <v>0</v>
      </c>
      <c r="AO330" t="n">
        <v>0</v>
      </c>
      <c r="AP330" t="inlineStr">
        <is>
          <t>No</t>
        </is>
      </c>
      <c r="AQ330" t="inlineStr">
        <is>
          <t>Yes</t>
        </is>
      </c>
      <c r="AR330">
        <f>HYPERLINK("http://catalog.hathitrust.org/Record/008544413","HathiTrust Record")</f>
        <v/>
      </c>
      <c r="AS330">
        <f>HYPERLINK("https://creighton-primo.hosted.exlibrisgroup.com/primo-explore/search?tab=default_tab&amp;search_scope=EVERYTHING&amp;vid=01CRU&amp;lang=en_US&amp;offset=0&amp;query=any,contains,991004535399702656","Catalog Record")</f>
        <v/>
      </c>
      <c r="AT330">
        <f>HYPERLINK("http://www.worldcat.org/oclc/3869311","WorldCat Record")</f>
        <v/>
      </c>
      <c r="AU330" t="inlineStr">
        <is>
          <t>7382008:eng</t>
        </is>
      </c>
      <c r="AV330" t="inlineStr">
        <is>
          <t>3869311</t>
        </is>
      </c>
      <c r="AW330" t="inlineStr">
        <is>
          <t>991004535399702656</t>
        </is>
      </c>
      <c r="AX330" t="inlineStr">
        <is>
          <t>991004535399702656</t>
        </is>
      </c>
      <c r="AY330" t="inlineStr">
        <is>
          <t>2263040590002656</t>
        </is>
      </c>
      <c r="AZ330" t="inlineStr">
        <is>
          <t>BOOK</t>
        </is>
      </c>
      <c r="BB330" t="inlineStr">
        <is>
          <t>9780823029570</t>
        </is>
      </c>
      <c r="BC330" t="inlineStr">
        <is>
          <t>32285001750990</t>
        </is>
      </c>
      <c r="BD330" t="inlineStr">
        <is>
          <t>893869830</t>
        </is>
      </c>
    </row>
    <row r="331">
      <c r="A331" t="inlineStr">
        <is>
          <t>No</t>
        </is>
      </c>
      <c r="B331" t="inlineStr">
        <is>
          <t>ND2430 .H54 1979</t>
        </is>
      </c>
      <c r="C331" t="inlineStr">
        <is>
          <t>0                      ND 2430000H  54          1979</t>
        </is>
      </c>
      <c r="D331" t="inlineStr">
        <is>
          <t>The watercolor painter's problem book / by Tom Hill.</t>
        </is>
      </c>
      <c r="F331" t="inlineStr">
        <is>
          <t>No</t>
        </is>
      </c>
      <c r="G331" t="inlineStr">
        <is>
          <t>1</t>
        </is>
      </c>
      <c r="H331" t="inlineStr">
        <is>
          <t>No</t>
        </is>
      </c>
      <c r="I331" t="inlineStr">
        <is>
          <t>No</t>
        </is>
      </c>
      <c r="J331" t="inlineStr">
        <is>
          <t>0</t>
        </is>
      </c>
      <c r="K331" t="inlineStr">
        <is>
          <t>Hill, Tom, 1922-</t>
        </is>
      </c>
      <c r="L331" t="inlineStr">
        <is>
          <t>New York : Watson-Guptill Publications, 1979.</t>
        </is>
      </c>
      <c r="M331" t="inlineStr">
        <is>
          <t>1979</t>
        </is>
      </c>
      <c r="O331" t="inlineStr">
        <is>
          <t>eng</t>
        </is>
      </c>
      <c r="P331" t="inlineStr">
        <is>
          <t>nyu</t>
        </is>
      </c>
      <c r="R331" t="inlineStr">
        <is>
          <t xml:space="preserve">ND </t>
        </is>
      </c>
      <c r="S331" t="n">
        <v>2</v>
      </c>
      <c r="T331" t="n">
        <v>2</v>
      </c>
      <c r="U331" t="inlineStr">
        <is>
          <t>1993-11-12</t>
        </is>
      </c>
      <c r="V331" t="inlineStr">
        <is>
          <t>1993-11-12</t>
        </is>
      </c>
      <c r="W331" t="inlineStr">
        <is>
          <t>1993-05-28</t>
        </is>
      </c>
      <c r="X331" t="inlineStr">
        <is>
          <t>1993-05-28</t>
        </is>
      </c>
      <c r="Y331" t="n">
        <v>439</v>
      </c>
      <c r="Z331" t="n">
        <v>389</v>
      </c>
      <c r="AA331" t="n">
        <v>392</v>
      </c>
      <c r="AB331" t="n">
        <v>4</v>
      </c>
      <c r="AC331" t="n">
        <v>4</v>
      </c>
      <c r="AD331" t="n">
        <v>5</v>
      </c>
      <c r="AE331" t="n">
        <v>5</v>
      </c>
      <c r="AF331" t="n">
        <v>2</v>
      </c>
      <c r="AG331" t="n">
        <v>2</v>
      </c>
      <c r="AH331" t="n">
        <v>1</v>
      </c>
      <c r="AI331" t="n">
        <v>1</v>
      </c>
      <c r="AJ331" t="n">
        <v>1</v>
      </c>
      <c r="AK331" t="n">
        <v>1</v>
      </c>
      <c r="AL331" t="n">
        <v>2</v>
      </c>
      <c r="AM331" t="n">
        <v>2</v>
      </c>
      <c r="AN331" t="n">
        <v>0</v>
      </c>
      <c r="AO331" t="n">
        <v>0</v>
      </c>
      <c r="AP331" t="inlineStr">
        <is>
          <t>No</t>
        </is>
      </c>
      <c r="AQ331" t="inlineStr">
        <is>
          <t>Yes</t>
        </is>
      </c>
      <c r="AR331">
        <f>HYPERLINK("http://catalog.hathitrust.org/Record/000259941","HathiTrust Record")</f>
        <v/>
      </c>
      <c r="AS331">
        <f>HYPERLINK("https://creighton-primo.hosted.exlibrisgroup.com/primo-explore/search?tab=default_tab&amp;search_scope=EVERYTHING&amp;vid=01CRU&amp;lang=en_US&amp;offset=0&amp;query=any,contains,991004694939702656","Catalog Record")</f>
        <v/>
      </c>
      <c r="AT331">
        <f>HYPERLINK("http://www.worldcat.org/oclc/4638567","WorldCat Record")</f>
        <v/>
      </c>
      <c r="AU331" t="inlineStr">
        <is>
          <t>488436:eng</t>
        </is>
      </c>
      <c r="AV331" t="inlineStr">
        <is>
          <t>4638567</t>
        </is>
      </c>
      <c r="AW331" t="inlineStr">
        <is>
          <t>991004694939702656</t>
        </is>
      </c>
      <c r="AX331" t="inlineStr">
        <is>
          <t>991004694939702656</t>
        </is>
      </c>
      <c r="AY331" t="inlineStr">
        <is>
          <t>2255709810002656</t>
        </is>
      </c>
      <c r="AZ331" t="inlineStr">
        <is>
          <t>BOOK</t>
        </is>
      </c>
      <c r="BB331" t="inlineStr">
        <is>
          <t>9780823056774</t>
        </is>
      </c>
      <c r="BC331" t="inlineStr">
        <is>
          <t>32285001694263</t>
        </is>
      </c>
      <c r="BD331" t="inlineStr">
        <is>
          <t>893430378</t>
        </is>
      </c>
    </row>
    <row r="332">
      <c r="A332" t="inlineStr">
        <is>
          <t>No</t>
        </is>
      </c>
      <c r="B332" t="inlineStr">
        <is>
          <t>ND2450 .B4</t>
        </is>
      </c>
      <c r="C332" t="inlineStr">
        <is>
          <t>0                      ND 2450000B  4</t>
        </is>
      </c>
      <c r="D332" t="inlineStr">
        <is>
          <t>Methods and techniques for gouache painting / by Arnold Blanch.</t>
        </is>
      </c>
      <c r="F332" t="inlineStr">
        <is>
          <t>No</t>
        </is>
      </c>
      <c r="G332" t="inlineStr">
        <is>
          <t>1</t>
        </is>
      </c>
      <c r="H332" t="inlineStr">
        <is>
          <t>No</t>
        </is>
      </c>
      <c r="I332" t="inlineStr">
        <is>
          <t>No</t>
        </is>
      </c>
      <c r="J332" t="inlineStr">
        <is>
          <t>0</t>
        </is>
      </c>
      <c r="K332" t="inlineStr">
        <is>
          <t>Blanch, Arnold, 1896-1968.</t>
        </is>
      </c>
      <c r="L332" t="inlineStr">
        <is>
          <t>New York : American Artists Group, [1946].</t>
        </is>
      </c>
      <c r="M332" t="inlineStr">
        <is>
          <t>1946</t>
        </is>
      </c>
      <c r="O332" t="inlineStr">
        <is>
          <t>eng</t>
        </is>
      </c>
      <c r="P332" t="inlineStr">
        <is>
          <t>nyu</t>
        </is>
      </c>
      <c r="R332" t="inlineStr">
        <is>
          <t xml:space="preserve">ND </t>
        </is>
      </c>
      <c r="S332" t="n">
        <v>1</v>
      </c>
      <c r="T332" t="n">
        <v>1</v>
      </c>
      <c r="U332" t="inlineStr">
        <is>
          <t>2000-08-23</t>
        </is>
      </c>
      <c r="V332" t="inlineStr">
        <is>
          <t>2000-08-23</t>
        </is>
      </c>
      <c r="W332" t="inlineStr">
        <is>
          <t>1997-08-06</t>
        </is>
      </c>
      <c r="X332" t="inlineStr">
        <is>
          <t>1997-08-06</t>
        </is>
      </c>
      <c r="Y332" t="n">
        <v>408</v>
      </c>
      <c r="Z332" t="n">
        <v>392</v>
      </c>
      <c r="AA332" t="n">
        <v>398</v>
      </c>
      <c r="AB332" t="n">
        <v>6</v>
      </c>
      <c r="AC332" t="n">
        <v>6</v>
      </c>
      <c r="AD332" t="n">
        <v>12</v>
      </c>
      <c r="AE332" t="n">
        <v>12</v>
      </c>
      <c r="AF332" t="n">
        <v>3</v>
      </c>
      <c r="AG332" t="n">
        <v>3</v>
      </c>
      <c r="AH332" t="n">
        <v>1</v>
      </c>
      <c r="AI332" t="n">
        <v>1</v>
      </c>
      <c r="AJ332" t="n">
        <v>6</v>
      </c>
      <c r="AK332" t="n">
        <v>6</v>
      </c>
      <c r="AL332" t="n">
        <v>4</v>
      </c>
      <c r="AM332" t="n">
        <v>4</v>
      </c>
      <c r="AN332" t="n">
        <v>0</v>
      </c>
      <c r="AO332" t="n">
        <v>0</v>
      </c>
      <c r="AP332" t="inlineStr">
        <is>
          <t>Yes</t>
        </is>
      </c>
      <c r="AQ332" t="inlineStr">
        <is>
          <t>No</t>
        </is>
      </c>
      <c r="AR332">
        <f>HYPERLINK("http://catalog.hathitrust.org/Record/000375570","HathiTrust Record")</f>
        <v/>
      </c>
      <c r="AS332">
        <f>HYPERLINK("https://creighton-primo.hosted.exlibrisgroup.com/primo-explore/search?tab=default_tab&amp;search_scope=EVERYTHING&amp;vid=01CRU&amp;lang=en_US&amp;offset=0&amp;query=any,contains,991003664799702656","Catalog Record")</f>
        <v/>
      </c>
      <c r="AT332">
        <f>HYPERLINK("http://www.worldcat.org/oclc/1277637","WorldCat Record")</f>
        <v/>
      </c>
      <c r="AU332" t="inlineStr">
        <is>
          <t>2206942:eng</t>
        </is>
      </c>
      <c r="AV332" t="inlineStr">
        <is>
          <t>1277637</t>
        </is>
      </c>
      <c r="AW332" t="inlineStr">
        <is>
          <t>991003664799702656</t>
        </is>
      </c>
      <c r="AX332" t="inlineStr">
        <is>
          <t>991003664799702656</t>
        </is>
      </c>
      <c r="AY332" t="inlineStr">
        <is>
          <t>2261514170002656</t>
        </is>
      </c>
      <c r="AZ332" t="inlineStr">
        <is>
          <t>BOOK</t>
        </is>
      </c>
      <c r="BC332" t="inlineStr">
        <is>
          <t>32285003045837</t>
        </is>
      </c>
      <c r="BD332" t="inlineStr">
        <is>
          <t>893435256</t>
        </is>
      </c>
    </row>
    <row r="333">
      <c r="A333" t="inlineStr">
        <is>
          <t>No</t>
        </is>
      </c>
      <c r="B333" t="inlineStr">
        <is>
          <t>ND2462 .H57</t>
        </is>
      </c>
      <c r="C333" t="inlineStr">
        <is>
          <t>0                      ND 2462000H  57</t>
        </is>
      </c>
      <c r="D333" t="inlineStr">
        <is>
          <t>Sumi-e just for you : traditional "one brush" ink painting / Hakuho Hirayama.</t>
        </is>
      </c>
      <c r="F333" t="inlineStr">
        <is>
          <t>No</t>
        </is>
      </c>
      <c r="G333" t="inlineStr">
        <is>
          <t>1</t>
        </is>
      </c>
      <c r="H333" t="inlineStr">
        <is>
          <t>No</t>
        </is>
      </c>
      <c r="I333" t="inlineStr">
        <is>
          <t>No</t>
        </is>
      </c>
      <c r="J333" t="inlineStr">
        <is>
          <t>0</t>
        </is>
      </c>
      <c r="K333" t="inlineStr">
        <is>
          <t>Hirayama, Hakuho.</t>
        </is>
      </c>
      <c r="L333" t="inlineStr">
        <is>
          <t>Tokyo : Kodansha Internatinal, 1979.</t>
        </is>
      </c>
      <c r="M333" t="inlineStr">
        <is>
          <t>1979</t>
        </is>
      </c>
      <c r="O333" t="inlineStr">
        <is>
          <t>eng</t>
        </is>
      </c>
      <c r="P333" t="inlineStr">
        <is>
          <t xml:space="preserve">xx </t>
        </is>
      </c>
      <c r="R333" t="inlineStr">
        <is>
          <t xml:space="preserve">ND </t>
        </is>
      </c>
      <c r="S333" t="n">
        <v>7</v>
      </c>
      <c r="T333" t="n">
        <v>7</v>
      </c>
      <c r="U333" t="inlineStr">
        <is>
          <t>2004-08-03</t>
        </is>
      </c>
      <c r="V333" t="inlineStr">
        <is>
          <t>2004-08-03</t>
        </is>
      </c>
      <c r="W333" t="inlineStr">
        <is>
          <t>1993-05-28</t>
        </is>
      </c>
      <c r="X333" t="inlineStr">
        <is>
          <t>1993-05-28</t>
        </is>
      </c>
      <c r="Y333" t="n">
        <v>268</v>
      </c>
      <c r="Z333" t="n">
        <v>214</v>
      </c>
      <c r="AA333" t="n">
        <v>235</v>
      </c>
      <c r="AB333" t="n">
        <v>2</v>
      </c>
      <c r="AC333" t="n">
        <v>3</v>
      </c>
      <c r="AD333" t="n">
        <v>7</v>
      </c>
      <c r="AE333" t="n">
        <v>8</v>
      </c>
      <c r="AF333" t="n">
        <v>2</v>
      </c>
      <c r="AG333" t="n">
        <v>2</v>
      </c>
      <c r="AH333" t="n">
        <v>1</v>
      </c>
      <c r="AI333" t="n">
        <v>1</v>
      </c>
      <c r="AJ333" t="n">
        <v>4</v>
      </c>
      <c r="AK333" t="n">
        <v>4</v>
      </c>
      <c r="AL333" t="n">
        <v>1</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HYPERLINK("https://creighton-primo.hosted.exlibrisgroup.com/primo-explore/search?tab=default_tab&amp;search_scope=EVERYTHING&amp;vid=01CRU&amp;lang=en_US&amp;offset=0&amp;query=any,contains,991004912699702656","Catalog Record")</f>
        <v/>
      </c>
      <c r="AT333">
        <f>HYPERLINK("http://www.worldcat.org/oclc/6143353","WorldCat Record")</f>
        <v/>
      </c>
      <c r="AU333" t="inlineStr">
        <is>
          <t>293829535:eng</t>
        </is>
      </c>
      <c r="AV333" t="inlineStr">
        <is>
          <t>6143353</t>
        </is>
      </c>
      <c r="AW333" t="inlineStr">
        <is>
          <t>991004912699702656</t>
        </is>
      </c>
      <c r="AX333" t="inlineStr">
        <is>
          <t>991004912699702656</t>
        </is>
      </c>
      <c r="AY333" t="inlineStr">
        <is>
          <t>2272624510002656</t>
        </is>
      </c>
      <c r="AZ333" t="inlineStr">
        <is>
          <t>BOOK</t>
        </is>
      </c>
      <c r="BB333" t="inlineStr">
        <is>
          <t>9780870113697</t>
        </is>
      </c>
      <c r="BC333" t="inlineStr">
        <is>
          <t>32285001694271</t>
        </is>
      </c>
      <c r="BD333" t="inlineStr">
        <is>
          <t>893883098</t>
        </is>
      </c>
    </row>
    <row r="334">
      <c r="A334" t="inlineStr">
        <is>
          <t>No</t>
        </is>
      </c>
      <c r="B334" t="inlineStr">
        <is>
          <t>ND2462 .Y2816</t>
        </is>
      </c>
      <c r="C334" t="inlineStr">
        <is>
          <t>0                      ND 2462000Y  2816</t>
        </is>
      </c>
      <c r="D334" t="inlineStr">
        <is>
          <t>Complete Sumi-e techniques; complete instructions for painting over 200 subjects including flowers, trees, animals, fish, and landscapes. [Translation by Transearch, under the direction of Charles Pomeroy]</t>
        </is>
      </c>
      <c r="F334" t="inlineStr">
        <is>
          <t>No</t>
        </is>
      </c>
      <c r="G334" t="inlineStr">
        <is>
          <t>1</t>
        </is>
      </c>
      <c r="H334" t="inlineStr">
        <is>
          <t>No</t>
        </is>
      </c>
      <c r="I334" t="inlineStr">
        <is>
          <t>No</t>
        </is>
      </c>
      <c r="J334" t="inlineStr">
        <is>
          <t>0</t>
        </is>
      </c>
      <c r="K334" t="inlineStr">
        <is>
          <t>Yamada, Sadami, 1915-</t>
        </is>
      </c>
      <c r="L334" t="inlineStr">
        <is>
          <t>Elmsford, N.Y. : Japan Publications Trading Co. [1966]</t>
        </is>
      </c>
      <c r="M334" t="inlineStr">
        <is>
          <t>1966</t>
        </is>
      </c>
      <c r="O334" t="inlineStr">
        <is>
          <t>eng</t>
        </is>
      </c>
      <c r="P334" t="inlineStr">
        <is>
          <t>___</t>
        </is>
      </c>
      <c r="R334" t="inlineStr">
        <is>
          <t xml:space="preserve">ND </t>
        </is>
      </c>
      <c r="S334" t="n">
        <v>7</v>
      </c>
      <c r="T334" t="n">
        <v>7</v>
      </c>
      <c r="U334" t="inlineStr">
        <is>
          <t>2004-08-03</t>
        </is>
      </c>
      <c r="V334" t="inlineStr">
        <is>
          <t>2004-08-03</t>
        </is>
      </c>
      <c r="W334" t="inlineStr">
        <is>
          <t>1993-05-28</t>
        </is>
      </c>
      <c r="X334" t="inlineStr">
        <is>
          <t>1993-05-28</t>
        </is>
      </c>
      <c r="Y334" t="n">
        <v>373</v>
      </c>
      <c r="Z334" t="n">
        <v>337</v>
      </c>
      <c r="AA334" t="n">
        <v>386</v>
      </c>
      <c r="AB334" t="n">
        <v>1</v>
      </c>
      <c r="AC334" t="n">
        <v>2</v>
      </c>
      <c r="AD334" t="n">
        <v>7</v>
      </c>
      <c r="AE334" t="n">
        <v>8</v>
      </c>
      <c r="AF334" t="n">
        <v>3</v>
      </c>
      <c r="AG334" t="n">
        <v>3</v>
      </c>
      <c r="AH334" t="n">
        <v>3</v>
      </c>
      <c r="AI334" t="n">
        <v>3</v>
      </c>
      <c r="AJ334" t="n">
        <v>5</v>
      </c>
      <c r="AK334" t="n">
        <v>6</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HYPERLINK("https://creighton-primo.hosted.exlibrisgroup.com/primo-explore/search?tab=default_tab&amp;search_scope=EVERYTHING&amp;vid=01CRU&amp;lang=en_US&amp;offset=0&amp;query=any,contains,991003756979702656","Catalog Record")</f>
        <v/>
      </c>
      <c r="AT334">
        <f>HYPERLINK("http://www.worldcat.org/oclc/1439668","WorldCat Record")</f>
        <v/>
      </c>
      <c r="AU334" t="inlineStr">
        <is>
          <t>2341586:eng</t>
        </is>
      </c>
      <c r="AV334" t="inlineStr">
        <is>
          <t>1439668</t>
        </is>
      </c>
      <c r="AW334" t="inlineStr">
        <is>
          <t>991003756979702656</t>
        </is>
      </c>
      <c r="AX334" t="inlineStr">
        <is>
          <t>991003756979702656</t>
        </is>
      </c>
      <c r="AY334" t="inlineStr">
        <is>
          <t>2269697680002656</t>
        </is>
      </c>
      <c r="AZ334" t="inlineStr">
        <is>
          <t>BOOK</t>
        </is>
      </c>
      <c r="BC334" t="inlineStr">
        <is>
          <t>32285001694289</t>
        </is>
      </c>
      <c r="BD334" t="inlineStr">
        <is>
          <t>893505954</t>
        </is>
      </c>
    </row>
    <row r="335">
      <c r="A335" t="inlineStr">
        <is>
          <t>No</t>
        </is>
      </c>
      <c r="B335" t="inlineStr">
        <is>
          <t>ND2468 .V52</t>
        </is>
      </c>
      <c r="C335" t="inlineStr">
        <is>
          <t>0                      ND 2468000V  52</t>
        </is>
      </c>
      <c r="D335" t="inlineStr">
        <is>
          <t>New techniques in egg tempera, by Robert Vickrey and Diane Cochrane.</t>
        </is>
      </c>
      <c r="F335" t="inlineStr">
        <is>
          <t>No</t>
        </is>
      </c>
      <c r="G335" t="inlineStr">
        <is>
          <t>1</t>
        </is>
      </c>
      <c r="H335" t="inlineStr">
        <is>
          <t>No</t>
        </is>
      </c>
      <c r="I335" t="inlineStr">
        <is>
          <t>No</t>
        </is>
      </c>
      <c r="J335" t="inlineStr">
        <is>
          <t>0</t>
        </is>
      </c>
      <c r="K335" t="inlineStr">
        <is>
          <t>Vickrey, Robert, 1926-2011.</t>
        </is>
      </c>
      <c r="L335" t="inlineStr">
        <is>
          <t>New York, Watson-Guptill Publications [1973]</t>
        </is>
      </c>
      <c r="M335" t="inlineStr">
        <is>
          <t>1973</t>
        </is>
      </c>
      <c r="O335" t="inlineStr">
        <is>
          <t>eng</t>
        </is>
      </c>
      <c r="P335" t="inlineStr">
        <is>
          <t>nyu</t>
        </is>
      </c>
      <c r="R335" t="inlineStr">
        <is>
          <t xml:space="preserve">ND </t>
        </is>
      </c>
      <c r="S335" t="n">
        <v>1</v>
      </c>
      <c r="T335" t="n">
        <v>1</v>
      </c>
      <c r="U335" t="inlineStr">
        <is>
          <t>1998-04-24</t>
        </is>
      </c>
      <c r="V335" t="inlineStr">
        <is>
          <t>1998-04-24</t>
        </is>
      </c>
      <c r="W335" t="inlineStr">
        <is>
          <t>1997-08-06</t>
        </is>
      </c>
      <c r="X335" t="inlineStr">
        <is>
          <t>1997-08-06</t>
        </is>
      </c>
      <c r="Y335" t="n">
        <v>760</v>
      </c>
      <c r="Z335" t="n">
        <v>661</v>
      </c>
      <c r="AA335" t="n">
        <v>665</v>
      </c>
      <c r="AB335" t="n">
        <v>5</v>
      </c>
      <c r="AC335" t="n">
        <v>5</v>
      </c>
      <c r="AD335" t="n">
        <v>12</v>
      </c>
      <c r="AE335" t="n">
        <v>12</v>
      </c>
      <c r="AF335" t="n">
        <v>4</v>
      </c>
      <c r="AG335" t="n">
        <v>4</v>
      </c>
      <c r="AH335" t="n">
        <v>2</v>
      </c>
      <c r="AI335" t="n">
        <v>2</v>
      </c>
      <c r="AJ335" t="n">
        <v>6</v>
      </c>
      <c r="AK335" t="n">
        <v>6</v>
      </c>
      <c r="AL335" t="n">
        <v>2</v>
      </c>
      <c r="AM335" t="n">
        <v>2</v>
      </c>
      <c r="AN335" t="n">
        <v>0</v>
      </c>
      <c r="AO335" t="n">
        <v>0</v>
      </c>
      <c r="AP335" t="inlineStr">
        <is>
          <t>No</t>
        </is>
      </c>
      <c r="AQ335" t="inlineStr">
        <is>
          <t>Yes</t>
        </is>
      </c>
      <c r="AR335">
        <f>HYPERLINK("http://catalog.hathitrust.org/Record/000465568","HathiTrust Record")</f>
        <v/>
      </c>
      <c r="AS335">
        <f>HYPERLINK("https://creighton-primo.hosted.exlibrisgroup.com/primo-explore/search?tab=default_tab&amp;search_scope=EVERYTHING&amp;vid=01CRU&amp;lang=en_US&amp;offset=0&amp;query=any,contains,991003069989702656","Catalog Record")</f>
        <v/>
      </c>
      <c r="AT335">
        <f>HYPERLINK("http://www.worldcat.org/oclc/624224","WorldCat Record")</f>
        <v/>
      </c>
      <c r="AU335" t="inlineStr">
        <is>
          <t>1711503:eng</t>
        </is>
      </c>
      <c r="AV335" t="inlineStr">
        <is>
          <t>624224</t>
        </is>
      </c>
      <c r="AW335" t="inlineStr">
        <is>
          <t>991003069989702656</t>
        </is>
      </c>
      <c r="AX335" t="inlineStr">
        <is>
          <t>991003069989702656</t>
        </is>
      </c>
      <c r="AY335" t="inlineStr">
        <is>
          <t>2258558580002656</t>
        </is>
      </c>
      <c r="AZ335" t="inlineStr">
        <is>
          <t>BOOK</t>
        </is>
      </c>
      <c r="BB335" t="inlineStr">
        <is>
          <t>9780823031702</t>
        </is>
      </c>
      <c r="BC335" t="inlineStr">
        <is>
          <t>32285003045845</t>
        </is>
      </c>
      <c r="BD335" t="inlineStr">
        <is>
          <t>893445529</t>
        </is>
      </c>
    </row>
    <row r="336">
      <c r="A336" t="inlineStr">
        <is>
          <t>No</t>
        </is>
      </c>
      <c r="B336" t="inlineStr">
        <is>
          <t>ND249.S53 W37 1990</t>
        </is>
      </c>
      <c r="C336" t="inlineStr">
        <is>
          <t>0                      ND 0249000S  53                 W  37          1990</t>
        </is>
      </c>
      <c r="D336" t="inlineStr">
        <is>
          <t>Jack Shadbolt / Scott Watson.</t>
        </is>
      </c>
      <c r="F336" t="inlineStr">
        <is>
          <t>No</t>
        </is>
      </c>
      <c r="G336" t="inlineStr">
        <is>
          <t>1</t>
        </is>
      </c>
      <c r="H336" t="inlineStr">
        <is>
          <t>No</t>
        </is>
      </c>
      <c r="I336" t="inlineStr">
        <is>
          <t>No</t>
        </is>
      </c>
      <c r="J336" t="inlineStr">
        <is>
          <t>0</t>
        </is>
      </c>
      <c r="K336" t="inlineStr">
        <is>
          <t>Watson, Scott, 1950-</t>
        </is>
      </c>
      <c r="L336" t="inlineStr">
        <is>
          <t>Vancouver : Douglas &amp; McIntyre, c1990.</t>
        </is>
      </c>
      <c r="M336" t="inlineStr">
        <is>
          <t>1990</t>
        </is>
      </c>
      <c r="O336" t="inlineStr">
        <is>
          <t>eng</t>
        </is>
      </c>
      <c r="P336" t="inlineStr">
        <is>
          <t>bcc</t>
        </is>
      </c>
      <c r="R336" t="inlineStr">
        <is>
          <t xml:space="preserve">ND </t>
        </is>
      </c>
      <c r="S336" t="n">
        <v>8</v>
      </c>
      <c r="T336" t="n">
        <v>8</v>
      </c>
      <c r="U336" t="inlineStr">
        <is>
          <t>1996-03-12</t>
        </is>
      </c>
      <c r="V336" t="inlineStr">
        <is>
          <t>1996-03-12</t>
        </is>
      </c>
      <c r="W336" t="inlineStr">
        <is>
          <t>1991-07-17</t>
        </is>
      </c>
      <c r="X336" t="inlineStr">
        <is>
          <t>1991-07-17</t>
        </is>
      </c>
      <c r="Y336" t="n">
        <v>182</v>
      </c>
      <c r="Z336" t="n">
        <v>103</v>
      </c>
      <c r="AA336" t="n">
        <v>107</v>
      </c>
      <c r="AB336" t="n">
        <v>2</v>
      </c>
      <c r="AC336" t="n">
        <v>2</v>
      </c>
      <c r="AD336" t="n">
        <v>5</v>
      </c>
      <c r="AE336" t="n">
        <v>5</v>
      </c>
      <c r="AF336" t="n">
        <v>1</v>
      </c>
      <c r="AG336" t="n">
        <v>1</v>
      </c>
      <c r="AH336" t="n">
        <v>2</v>
      </c>
      <c r="AI336" t="n">
        <v>2</v>
      </c>
      <c r="AJ336" t="n">
        <v>3</v>
      </c>
      <c r="AK336" t="n">
        <v>3</v>
      </c>
      <c r="AL336" t="n">
        <v>1</v>
      </c>
      <c r="AM336" t="n">
        <v>1</v>
      </c>
      <c r="AN336" t="n">
        <v>0</v>
      </c>
      <c r="AO336" t="n">
        <v>0</v>
      </c>
      <c r="AP336" t="inlineStr">
        <is>
          <t>No</t>
        </is>
      </c>
      <c r="AQ336" t="inlineStr">
        <is>
          <t>Yes</t>
        </is>
      </c>
      <c r="AR336">
        <f>HYPERLINK("http://catalog.hathitrust.org/Record/008511993","HathiTrust Record")</f>
        <v/>
      </c>
      <c r="AS336">
        <f>HYPERLINK("https://creighton-primo.hosted.exlibrisgroup.com/primo-explore/search?tab=default_tab&amp;search_scope=EVERYTHING&amp;vid=01CRU&amp;lang=en_US&amp;offset=0&amp;query=any,contains,991001728299702656","Catalog Record")</f>
        <v/>
      </c>
      <c r="AT336">
        <f>HYPERLINK("http://www.worldcat.org/oclc/24544021","WorldCat Record")</f>
        <v/>
      </c>
      <c r="AU336" t="inlineStr">
        <is>
          <t>43016752:eng</t>
        </is>
      </c>
      <c r="AV336" t="inlineStr">
        <is>
          <t>24544021</t>
        </is>
      </c>
      <c r="AW336" t="inlineStr">
        <is>
          <t>991001728299702656</t>
        </is>
      </c>
      <c r="AX336" t="inlineStr">
        <is>
          <t>991001728299702656</t>
        </is>
      </c>
      <c r="AY336" t="inlineStr">
        <is>
          <t>2271241920002656</t>
        </is>
      </c>
      <c r="AZ336" t="inlineStr">
        <is>
          <t>BOOK</t>
        </is>
      </c>
      <c r="BB336" t="inlineStr">
        <is>
          <t>9780888946140</t>
        </is>
      </c>
      <c r="BC336" t="inlineStr">
        <is>
          <t>32285000661529</t>
        </is>
      </c>
      <c r="BD336" t="inlineStr">
        <is>
          <t>893516439</t>
        </is>
      </c>
    </row>
    <row r="337">
      <c r="A337" t="inlineStr">
        <is>
          <t>No</t>
        </is>
      </c>
      <c r="B337" t="inlineStr">
        <is>
          <t>ND253 .G78 1992</t>
        </is>
      </c>
      <c r="C337" t="inlineStr">
        <is>
          <t>0                      ND 0253000G  78          1992</t>
        </is>
      </c>
      <c r="D337" t="inlineStr">
        <is>
          <t>Painting the conquest : the Mexican Indians and the European Renaissance / Serge Gruzinski ; translated by Deke Dusinberre.</t>
        </is>
      </c>
      <c r="F337" t="inlineStr">
        <is>
          <t>No</t>
        </is>
      </c>
      <c r="G337" t="inlineStr">
        <is>
          <t>1</t>
        </is>
      </c>
      <c r="H337" t="inlineStr">
        <is>
          <t>No</t>
        </is>
      </c>
      <c r="I337" t="inlineStr">
        <is>
          <t>No</t>
        </is>
      </c>
      <c r="J337" t="inlineStr">
        <is>
          <t>0</t>
        </is>
      </c>
      <c r="K337" t="inlineStr">
        <is>
          <t>Gruzinski, Serge.</t>
        </is>
      </c>
      <c r="L337" t="inlineStr">
        <is>
          <t>Paris : Flammarion, c1992.</t>
        </is>
      </c>
      <c r="M337" t="inlineStr">
        <is>
          <t>1992</t>
        </is>
      </c>
      <c r="O337" t="inlineStr">
        <is>
          <t>eng</t>
        </is>
      </c>
      <c r="P337" t="inlineStr">
        <is>
          <t xml:space="preserve">fr </t>
        </is>
      </c>
      <c r="R337" t="inlineStr">
        <is>
          <t xml:space="preserve">ND </t>
        </is>
      </c>
      <c r="S337" t="n">
        <v>8</v>
      </c>
      <c r="T337" t="n">
        <v>8</v>
      </c>
      <c r="U337" t="inlineStr">
        <is>
          <t>1998-05-06</t>
        </is>
      </c>
      <c r="V337" t="inlineStr">
        <is>
          <t>1998-05-06</t>
        </is>
      </c>
      <c r="W337" t="inlineStr">
        <is>
          <t>1992-12-11</t>
        </is>
      </c>
      <c r="X337" t="inlineStr">
        <is>
          <t>1992-12-11</t>
        </is>
      </c>
      <c r="Y337" t="n">
        <v>661</v>
      </c>
      <c r="Z337" t="n">
        <v>546</v>
      </c>
      <c r="AA337" t="n">
        <v>547</v>
      </c>
      <c r="AB337" t="n">
        <v>5</v>
      </c>
      <c r="AC337" t="n">
        <v>5</v>
      </c>
      <c r="AD337" t="n">
        <v>23</v>
      </c>
      <c r="AE337" t="n">
        <v>23</v>
      </c>
      <c r="AF337" t="n">
        <v>9</v>
      </c>
      <c r="AG337" t="n">
        <v>9</v>
      </c>
      <c r="AH337" t="n">
        <v>7</v>
      </c>
      <c r="AI337" t="n">
        <v>7</v>
      </c>
      <c r="AJ337" t="n">
        <v>11</v>
      </c>
      <c r="AK337" t="n">
        <v>11</v>
      </c>
      <c r="AL337" t="n">
        <v>3</v>
      </c>
      <c r="AM337" t="n">
        <v>3</v>
      </c>
      <c r="AN337" t="n">
        <v>0</v>
      </c>
      <c r="AO337" t="n">
        <v>0</v>
      </c>
      <c r="AP337" t="inlineStr">
        <is>
          <t>No</t>
        </is>
      </c>
      <c r="AQ337" t="inlineStr">
        <is>
          <t>Yes</t>
        </is>
      </c>
      <c r="AR337">
        <f>HYPERLINK("http://catalog.hathitrust.org/Record/002591684","HathiTrust Record")</f>
        <v/>
      </c>
      <c r="AS337">
        <f>HYPERLINK("https://creighton-primo.hosted.exlibrisgroup.com/primo-explore/search?tab=default_tab&amp;search_scope=EVERYTHING&amp;vid=01CRU&amp;lang=en_US&amp;offset=0&amp;query=any,contains,991002030329702656","Catalog Record")</f>
        <v/>
      </c>
      <c r="AT337">
        <f>HYPERLINK("http://www.worldcat.org/oclc/28631316","WorldCat Record")</f>
        <v/>
      </c>
      <c r="AU337" t="inlineStr">
        <is>
          <t>365087754:eng</t>
        </is>
      </c>
      <c r="AV337" t="inlineStr">
        <is>
          <t>28631316</t>
        </is>
      </c>
      <c r="AW337" t="inlineStr">
        <is>
          <t>991002030329702656</t>
        </is>
      </c>
      <c r="AX337" t="inlineStr">
        <is>
          <t>991002030329702656</t>
        </is>
      </c>
      <c r="AY337" t="inlineStr">
        <is>
          <t>2264421520002656</t>
        </is>
      </c>
      <c r="AZ337" t="inlineStr">
        <is>
          <t>BOOK</t>
        </is>
      </c>
      <c r="BC337" t="inlineStr">
        <is>
          <t>32285001402428</t>
        </is>
      </c>
      <c r="BD337" t="inlineStr">
        <is>
          <t>893226374</t>
        </is>
      </c>
    </row>
    <row r="338">
      <c r="A338" t="inlineStr">
        <is>
          <t>No</t>
        </is>
      </c>
      <c r="B338" t="inlineStr">
        <is>
          <t>ND255 .M9</t>
        </is>
      </c>
      <c r="C338" t="inlineStr">
        <is>
          <t>0                      ND 0255000M  9</t>
        </is>
      </c>
      <c r="D338" t="inlineStr">
        <is>
          <t>Mexican painting in our time.</t>
        </is>
      </c>
      <c r="F338" t="inlineStr">
        <is>
          <t>No</t>
        </is>
      </c>
      <c r="G338" t="inlineStr">
        <is>
          <t>1</t>
        </is>
      </c>
      <c r="H338" t="inlineStr">
        <is>
          <t>No</t>
        </is>
      </c>
      <c r="I338" t="inlineStr">
        <is>
          <t>No</t>
        </is>
      </c>
      <c r="J338" t="inlineStr">
        <is>
          <t>0</t>
        </is>
      </c>
      <c r="K338" t="inlineStr">
        <is>
          <t>Myers, Bernard S., 1908-1993.</t>
        </is>
      </c>
      <c r="L338" t="inlineStr">
        <is>
          <t>New York : Oxford University Press, 1956.</t>
        </is>
      </c>
      <c r="M338" t="inlineStr">
        <is>
          <t>1956</t>
        </is>
      </c>
      <c r="O338" t="inlineStr">
        <is>
          <t>eng</t>
        </is>
      </c>
      <c r="P338" t="inlineStr">
        <is>
          <t>nyu</t>
        </is>
      </c>
      <c r="R338" t="inlineStr">
        <is>
          <t xml:space="preserve">ND </t>
        </is>
      </c>
      <c r="S338" t="n">
        <v>14</v>
      </c>
      <c r="T338" t="n">
        <v>14</v>
      </c>
      <c r="U338" t="inlineStr">
        <is>
          <t>2002-04-20</t>
        </is>
      </c>
      <c r="V338" t="inlineStr">
        <is>
          <t>2002-04-20</t>
        </is>
      </c>
      <c r="W338" t="inlineStr">
        <is>
          <t>1993-04-27</t>
        </is>
      </c>
      <c r="X338" t="inlineStr">
        <is>
          <t>1993-04-27</t>
        </is>
      </c>
      <c r="Y338" t="n">
        <v>684</v>
      </c>
      <c r="Z338" t="n">
        <v>609</v>
      </c>
      <c r="AA338" t="n">
        <v>616</v>
      </c>
      <c r="AB338" t="n">
        <v>4</v>
      </c>
      <c r="AC338" t="n">
        <v>4</v>
      </c>
      <c r="AD338" t="n">
        <v>19</v>
      </c>
      <c r="AE338" t="n">
        <v>19</v>
      </c>
      <c r="AF338" t="n">
        <v>5</v>
      </c>
      <c r="AG338" t="n">
        <v>5</v>
      </c>
      <c r="AH338" t="n">
        <v>5</v>
      </c>
      <c r="AI338" t="n">
        <v>5</v>
      </c>
      <c r="AJ338" t="n">
        <v>10</v>
      </c>
      <c r="AK338" t="n">
        <v>10</v>
      </c>
      <c r="AL338" t="n">
        <v>2</v>
      </c>
      <c r="AM338" t="n">
        <v>2</v>
      </c>
      <c r="AN338" t="n">
        <v>0</v>
      </c>
      <c r="AO338" t="n">
        <v>0</v>
      </c>
      <c r="AP338" t="inlineStr">
        <is>
          <t>No</t>
        </is>
      </c>
      <c r="AQ338" t="inlineStr">
        <is>
          <t>No</t>
        </is>
      </c>
      <c r="AR338">
        <f>HYPERLINK("http://catalog.hathitrust.org/Record/000371412","HathiTrust Record")</f>
        <v/>
      </c>
      <c r="AS338">
        <f>HYPERLINK("https://creighton-primo.hosted.exlibrisgroup.com/primo-explore/search?tab=default_tab&amp;search_scope=EVERYTHING&amp;vid=01CRU&amp;lang=en_US&amp;offset=0&amp;query=any,contains,991002903349702656","Catalog Record")</f>
        <v/>
      </c>
      <c r="AT338">
        <f>HYPERLINK("http://www.worldcat.org/oclc/518301","WorldCat Record")</f>
        <v/>
      </c>
      <c r="AU338" t="inlineStr">
        <is>
          <t>1508099:eng</t>
        </is>
      </c>
      <c r="AV338" t="inlineStr">
        <is>
          <t>518301</t>
        </is>
      </c>
      <c r="AW338" t="inlineStr">
        <is>
          <t>991002903349702656</t>
        </is>
      </c>
      <c r="AX338" t="inlineStr">
        <is>
          <t>991002903349702656</t>
        </is>
      </c>
      <c r="AY338" t="inlineStr">
        <is>
          <t>2255821560002656</t>
        </is>
      </c>
      <c r="AZ338" t="inlineStr">
        <is>
          <t>BOOK</t>
        </is>
      </c>
      <c r="BC338" t="inlineStr">
        <is>
          <t>32285001627677</t>
        </is>
      </c>
      <c r="BD338" t="inlineStr">
        <is>
          <t>893317414</t>
        </is>
      </c>
    </row>
    <row r="339">
      <c r="A339" t="inlineStr">
        <is>
          <t>No</t>
        </is>
      </c>
      <c r="B339" t="inlineStr">
        <is>
          <t>ND2575 .R53 2000</t>
        </is>
      </c>
      <c r="C339" t="inlineStr">
        <is>
          <t>0                      ND 2575000R  53          2000</t>
        </is>
      </c>
      <c r="D339" t="inlineStr">
        <is>
          <t>A catalog of identifiable figure painters of ancient Pompeii, Herculaneum, and Stabiae / L. Richardson, Jr.</t>
        </is>
      </c>
      <c r="F339" t="inlineStr">
        <is>
          <t>No</t>
        </is>
      </c>
      <c r="G339" t="inlineStr">
        <is>
          <t>1</t>
        </is>
      </c>
      <c r="H339" t="inlineStr">
        <is>
          <t>No</t>
        </is>
      </c>
      <c r="I339" t="inlineStr">
        <is>
          <t>No</t>
        </is>
      </c>
      <c r="J339" t="inlineStr">
        <is>
          <t>0</t>
        </is>
      </c>
      <c r="K339" t="inlineStr">
        <is>
          <t>Richardson, Lawrence.</t>
        </is>
      </c>
      <c r="L339" t="inlineStr">
        <is>
          <t>Baltimore, Md. : Johns Hopkins University Press, c2000.</t>
        </is>
      </c>
      <c r="M339" t="inlineStr">
        <is>
          <t>2000</t>
        </is>
      </c>
      <c r="O339" t="inlineStr">
        <is>
          <t>eng</t>
        </is>
      </c>
      <c r="P339" t="inlineStr">
        <is>
          <t>mdu</t>
        </is>
      </c>
      <c r="R339" t="inlineStr">
        <is>
          <t xml:space="preserve">ND </t>
        </is>
      </c>
      <c r="S339" t="n">
        <v>3</v>
      </c>
      <c r="T339" t="n">
        <v>3</v>
      </c>
      <c r="U339" t="inlineStr">
        <is>
          <t>2009-10-28</t>
        </is>
      </c>
      <c r="V339" t="inlineStr">
        <is>
          <t>2009-10-28</t>
        </is>
      </c>
      <c r="W339" t="inlineStr">
        <is>
          <t>2002-09-16</t>
        </is>
      </c>
      <c r="X339" t="inlineStr">
        <is>
          <t>2002-09-16</t>
        </is>
      </c>
      <c r="Y339" t="n">
        <v>317</v>
      </c>
      <c r="Z339" t="n">
        <v>244</v>
      </c>
      <c r="AA339" t="n">
        <v>246</v>
      </c>
      <c r="AB339" t="n">
        <v>3</v>
      </c>
      <c r="AC339" t="n">
        <v>3</v>
      </c>
      <c r="AD339" t="n">
        <v>14</v>
      </c>
      <c r="AE339" t="n">
        <v>14</v>
      </c>
      <c r="AF339" t="n">
        <v>3</v>
      </c>
      <c r="AG339" t="n">
        <v>3</v>
      </c>
      <c r="AH339" t="n">
        <v>5</v>
      </c>
      <c r="AI339" t="n">
        <v>5</v>
      </c>
      <c r="AJ339" t="n">
        <v>8</v>
      </c>
      <c r="AK339" t="n">
        <v>8</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HYPERLINK("https://creighton-primo.hosted.exlibrisgroup.com/primo-explore/search?tab=default_tab&amp;search_scope=EVERYTHING&amp;vid=01CRU&amp;lang=en_US&amp;offset=0&amp;query=any,contains,991003890719702656","Catalog Record")</f>
        <v/>
      </c>
      <c r="AT339">
        <f>HYPERLINK("http://www.worldcat.org/oclc/41380615","WorldCat Record")</f>
        <v/>
      </c>
      <c r="AU339" t="inlineStr">
        <is>
          <t>27302911:eng</t>
        </is>
      </c>
      <c r="AV339" t="inlineStr">
        <is>
          <t>41380615</t>
        </is>
      </c>
      <c r="AW339" t="inlineStr">
        <is>
          <t>991003890719702656</t>
        </is>
      </c>
      <c r="AX339" t="inlineStr">
        <is>
          <t>991003890719702656</t>
        </is>
      </c>
      <c r="AY339" t="inlineStr">
        <is>
          <t>2256886460002656</t>
        </is>
      </c>
      <c r="AZ339" t="inlineStr">
        <is>
          <t>BOOK</t>
        </is>
      </c>
      <c r="BB339" t="inlineStr">
        <is>
          <t>9780801862359</t>
        </is>
      </c>
      <c r="BC339" t="inlineStr">
        <is>
          <t>32285004658943</t>
        </is>
      </c>
      <c r="BD339" t="inlineStr">
        <is>
          <t>893888065</t>
        </is>
      </c>
    </row>
    <row r="340">
      <c r="A340" t="inlineStr">
        <is>
          <t>No</t>
        </is>
      </c>
      <c r="B340" t="inlineStr">
        <is>
          <t>ND259.K33 A2 1995</t>
        </is>
      </c>
      <c r="C340" t="inlineStr">
        <is>
          <t>0                      ND 0259000K  33                 A  2           1995</t>
        </is>
      </c>
      <c r="D340" t="inlineStr">
        <is>
          <t>The diary of Frida Kahlo : an intimate self-portrait / introduction by Carlos Fuentes ; essay and commentaries by Sarah M. Lowe.</t>
        </is>
      </c>
      <c r="F340" t="inlineStr">
        <is>
          <t>No</t>
        </is>
      </c>
      <c r="G340" t="inlineStr">
        <is>
          <t>1</t>
        </is>
      </c>
      <c r="H340" t="inlineStr">
        <is>
          <t>No</t>
        </is>
      </c>
      <c r="I340" t="inlineStr">
        <is>
          <t>No</t>
        </is>
      </c>
      <c r="J340" t="inlineStr">
        <is>
          <t>0</t>
        </is>
      </c>
      <c r="K340" t="inlineStr">
        <is>
          <t>Kahlo, Frida.</t>
        </is>
      </c>
      <c r="L340" t="inlineStr">
        <is>
          <t>New York : H.N. Abrams ; Mexico : La Vaca Independiente S.A. de C.V., c1995.</t>
        </is>
      </c>
      <c r="M340" t="inlineStr">
        <is>
          <t>1995</t>
        </is>
      </c>
      <c r="O340" t="inlineStr">
        <is>
          <t>eng</t>
        </is>
      </c>
      <c r="P340" t="inlineStr">
        <is>
          <t>nyu</t>
        </is>
      </c>
      <c r="R340" t="inlineStr">
        <is>
          <t xml:space="preserve">ND </t>
        </is>
      </c>
      <c r="S340" t="n">
        <v>27</v>
      </c>
      <c r="T340" t="n">
        <v>27</v>
      </c>
      <c r="U340" t="inlineStr">
        <is>
          <t>2009-05-27</t>
        </is>
      </c>
      <c r="V340" t="inlineStr">
        <is>
          <t>2009-05-27</t>
        </is>
      </c>
      <c r="W340" t="inlineStr">
        <is>
          <t>1997-09-25</t>
        </is>
      </c>
      <c r="X340" t="inlineStr">
        <is>
          <t>1997-09-25</t>
        </is>
      </c>
      <c r="Y340" t="n">
        <v>1249</v>
      </c>
      <c r="Z340" t="n">
        <v>1128</v>
      </c>
      <c r="AA340" t="n">
        <v>1472</v>
      </c>
      <c r="AB340" t="n">
        <v>4</v>
      </c>
      <c r="AC340" t="n">
        <v>6</v>
      </c>
      <c r="AD340" t="n">
        <v>25</v>
      </c>
      <c r="AE340" t="n">
        <v>31</v>
      </c>
      <c r="AF340" t="n">
        <v>12</v>
      </c>
      <c r="AG340" t="n">
        <v>15</v>
      </c>
      <c r="AH340" t="n">
        <v>6</v>
      </c>
      <c r="AI340" t="n">
        <v>7</v>
      </c>
      <c r="AJ340" t="n">
        <v>14</v>
      </c>
      <c r="AK340" t="n">
        <v>15</v>
      </c>
      <c r="AL340" t="n">
        <v>1</v>
      </c>
      <c r="AM340" t="n">
        <v>3</v>
      </c>
      <c r="AN340" t="n">
        <v>0</v>
      </c>
      <c r="AO340" t="n">
        <v>0</v>
      </c>
      <c r="AP340" t="inlineStr">
        <is>
          <t>No</t>
        </is>
      </c>
      <c r="AQ340" t="inlineStr">
        <is>
          <t>Yes</t>
        </is>
      </c>
      <c r="AR340">
        <f>HYPERLINK("http://catalog.hathitrust.org/Record/003030050","HathiTrust Record")</f>
        <v/>
      </c>
      <c r="AS340">
        <f>HYPERLINK("https://creighton-primo.hosted.exlibrisgroup.com/primo-explore/search?tab=default_tab&amp;search_scope=EVERYTHING&amp;vid=01CRU&amp;lang=en_US&amp;offset=0&amp;query=any,contains,991002438699702656","Catalog Record")</f>
        <v/>
      </c>
      <c r="AT340">
        <f>HYPERLINK("http://www.worldcat.org/oclc/31782602","WorldCat Record")</f>
        <v/>
      </c>
      <c r="AU340" t="inlineStr">
        <is>
          <t>4241277181:eng</t>
        </is>
      </c>
      <c r="AV340" t="inlineStr">
        <is>
          <t>31782602</t>
        </is>
      </c>
      <c r="AW340" t="inlineStr">
        <is>
          <t>991002438699702656</t>
        </is>
      </c>
      <c r="AX340" t="inlineStr">
        <is>
          <t>991002438699702656</t>
        </is>
      </c>
      <c r="AY340" t="inlineStr">
        <is>
          <t>2261117910002656</t>
        </is>
      </c>
      <c r="AZ340" t="inlineStr">
        <is>
          <t>BOOK</t>
        </is>
      </c>
      <c r="BB340" t="inlineStr">
        <is>
          <t>9780810932210</t>
        </is>
      </c>
      <c r="BC340" t="inlineStr">
        <is>
          <t>32285003250775</t>
        </is>
      </c>
      <c r="BD340" t="inlineStr">
        <is>
          <t>893697778</t>
        </is>
      </c>
    </row>
    <row r="341">
      <c r="A341" t="inlineStr">
        <is>
          <t>No</t>
        </is>
      </c>
      <c r="B341" t="inlineStr">
        <is>
          <t>ND259.K33 H47 1983</t>
        </is>
      </c>
      <c r="C341" t="inlineStr">
        <is>
          <t>0                      ND 0259000K  33                 H  47          1983</t>
        </is>
      </c>
      <c r="D341" t="inlineStr">
        <is>
          <t>Frida, a biography of Frida Kahlo / Hayden Herrera.</t>
        </is>
      </c>
      <c r="F341" t="inlineStr">
        <is>
          <t>No</t>
        </is>
      </c>
      <c r="G341" t="inlineStr">
        <is>
          <t>1</t>
        </is>
      </c>
      <c r="H341" t="inlineStr">
        <is>
          <t>No</t>
        </is>
      </c>
      <c r="I341" t="inlineStr">
        <is>
          <t>No</t>
        </is>
      </c>
      <c r="J341" t="inlineStr">
        <is>
          <t>0</t>
        </is>
      </c>
      <c r="K341" t="inlineStr">
        <is>
          <t>Herrera, Hayden.</t>
        </is>
      </c>
      <c r="L341" t="inlineStr">
        <is>
          <t>New York : Harper &amp; Row, c1983.</t>
        </is>
      </c>
      <c r="M341" t="inlineStr">
        <is>
          <t>1983</t>
        </is>
      </c>
      <c r="N341" t="inlineStr">
        <is>
          <t>1st ed.</t>
        </is>
      </c>
      <c r="O341" t="inlineStr">
        <is>
          <t>eng</t>
        </is>
      </c>
      <c r="P341" t="inlineStr">
        <is>
          <t>nyu</t>
        </is>
      </c>
      <c r="R341" t="inlineStr">
        <is>
          <t xml:space="preserve">ND </t>
        </is>
      </c>
      <c r="S341" t="n">
        <v>60</v>
      </c>
      <c r="T341" t="n">
        <v>60</v>
      </c>
      <c r="U341" t="inlineStr">
        <is>
          <t>2009-11-12</t>
        </is>
      </c>
      <c r="V341" t="inlineStr">
        <is>
          <t>2009-11-12</t>
        </is>
      </c>
      <c r="W341" t="inlineStr">
        <is>
          <t>1992-12-01</t>
        </is>
      </c>
      <c r="X341" t="inlineStr">
        <is>
          <t>1992-12-01</t>
        </is>
      </c>
      <c r="Y341" t="n">
        <v>1330</v>
      </c>
      <c r="Z341" t="n">
        <v>1180</v>
      </c>
      <c r="AA341" t="n">
        <v>1365</v>
      </c>
      <c r="AB341" t="n">
        <v>6</v>
      </c>
      <c r="AC341" t="n">
        <v>6</v>
      </c>
      <c r="AD341" t="n">
        <v>29</v>
      </c>
      <c r="AE341" t="n">
        <v>32</v>
      </c>
      <c r="AF341" t="n">
        <v>14</v>
      </c>
      <c r="AG341" t="n">
        <v>15</v>
      </c>
      <c r="AH341" t="n">
        <v>4</v>
      </c>
      <c r="AI341" t="n">
        <v>6</v>
      </c>
      <c r="AJ341" t="n">
        <v>16</v>
      </c>
      <c r="AK341" t="n">
        <v>18</v>
      </c>
      <c r="AL341" t="n">
        <v>3</v>
      </c>
      <c r="AM341" t="n">
        <v>3</v>
      </c>
      <c r="AN341" t="n">
        <v>0</v>
      </c>
      <c r="AO341" t="n">
        <v>0</v>
      </c>
      <c r="AP341" t="inlineStr">
        <is>
          <t>No</t>
        </is>
      </c>
      <c r="AQ341" t="inlineStr">
        <is>
          <t>Yes</t>
        </is>
      </c>
      <c r="AR341">
        <f>HYPERLINK("http://catalog.hathitrust.org/Record/000278252","HathiTrust Record")</f>
        <v/>
      </c>
      <c r="AS341">
        <f>HYPERLINK("https://creighton-primo.hosted.exlibrisgroup.com/primo-explore/search?tab=default_tab&amp;search_scope=EVERYTHING&amp;vid=01CRU&amp;lang=en_US&amp;offset=0&amp;query=any,contains,991005225399702656","Catalog Record")</f>
        <v/>
      </c>
      <c r="AT341">
        <f>HYPERLINK("http://www.worldcat.org/oclc/8281462","WorldCat Record")</f>
        <v/>
      </c>
      <c r="AU341" t="inlineStr">
        <is>
          <t>4820336640:eng</t>
        </is>
      </c>
      <c r="AV341" t="inlineStr">
        <is>
          <t>8281462</t>
        </is>
      </c>
      <c r="AW341" t="inlineStr">
        <is>
          <t>991005225399702656</t>
        </is>
      </c>
      <c r="AX341" t="inlineStr">
        <is>
          <t>991005225399702656</t>
        </is>
      </c>
      <c r="AY341" t="inlineStr">
        <is>
          <t>2266770290002656</t>
        </is>
      </c>
      <c r="AZ341" t="inlineStr">
        <is>
          <t>BOOK</t>
        </is>
      </c>
      <c r="BB341" t="inlineStr">
        <is>
          <t>9780060118433</t>
        </is>
      </c>
      <c r="BC341" t="inlineStr">
        <is>
          <t>32285001411098</t>
        </is>
      </c>
      <c r="BD341" t="inlineStr">
        <is>
          <t>893896094</t>
        </is>
      </c>
    </row>
    <row r="342">
      <c r="A342" t="inlineStr">
        <is>
          <t>No</t>
        </is>
      </c>
      <c r="B342" t="inlineStr">
        <is>
          <t>ND259.O7 A2</t>
        </is>
      </c>
      <c r="C342" t="inlineStr">
        <is>
          <t>0                      ND 0259000O  7                  A  2</t>
        </is>
      </c>
      <c r="D342" t="inlineStr">
        <is>
          <t>An autobiography / translated by Robert C. Stephenson. Introd. by John Palmer Leeper.</t>
        </is>
      </c>
      <c r="F342" t="inlineStr">
        <is>
          <t>No</t>
        </is>
      </c>
      <c r="G342" t="inlineStr">
        <is>
          <t>1</t>
        </is>
      </c>
      <c r="H342" t="inlineStr">
        <is>
          <t>No</t>
        </is>
      </c>
      <c r="I342" t="inlineStr">
        <is>
          <t>No</t>
        </is>
      </c>
      <c r="J342" t="inlineStr">
        <is>
          <t>0</t>
        </is>
      </c>
      <c r="K342" t="inlineStr">
        <is>
          <t>Orozco, José Clemente, 1883-1949.</t>
        </is>
      </c>
      <c r="L342" t="inlineStr">
        <is>
          <t>Austin : University of Texas Press, [1962]</t>
        </is>
      </c>
      <c r="M342" t="inlineStr">
        <is>
          <t>1962</t>
        </is>
      </c>
      <c r="O342" t="inlineStr">
        <is>
          <t>eng</t>
        </is>
      </c>
      <c r="P342" t="inlineStr">
        <is>
          <t>txu</t>
        </is>
      </c>
      <c r="Q342" t="inlineStr">
        <is>
          <t>The Texas Pan-American series</t>
        </is>
      </c>
      <c r="R342" t="inlineStr">
        <is>
          <t xml:space="preserve">ND </t>
        </is>
      </c>
      <c r="S342" t="n">
        <v>19</v>
      </c>
      <c r="T342" t="n">
        <v>19</v>
      </c>
      <c r="U342" t="inlineStr">
        <is>
          <t>2003-09-13</t>
        </is>
      </c>
      <c r="V342" t="inlineStr">
        <is>
          <t>2003-09-13</t>
        </is>
      </c>
      <c r="W342" t="inlineStr">
        <is>
          <t>1993-10-25</t>
        </is>
      </c>
      <c r="X342" t="inlineStr">
        <is>
          <t>1993-10-25</t>
        </is>
      </c>
      <c r="Y342" t="n">
        <v>700</v>
      </c>
      <c r="Z342" t="n">
        <v>659</v>
      </c>
      <c r="AA342" t="n">
        <v>713</v>
      </c>
      <c r="AB342" t="n">
        <v>2</v>
      </c>
      <c r="AC342" t="n">
        <v>2</v>
      </c>
      <c r="AD342" t="n">
        <v>26</v>
      </c>
      <c r="AE342" t="n">
        <v>27</v>
      </c>
      <c r="AF342" t="n">
        <v>10</v>
      </c>
      <c r="AG342" t="n">
        <v>10</v>
      </c>
      <c r="AH342" t="n">
        <v>7</v>
      </c>
      <c r="AI342" t="n">
        <v>8</v>
      </c>
      <c r="AJ342" t="n">
        <v>14</v>
      </c>
      <c r="AK342" t="n">
        <v>14</v>
      </c>
      <c r="AL342" t="n">
        <v>1</v>
      </c>
      <c r="AM342" t="n">
        <v>1</v>
      </c>
      <c r="AN342" t="n">
        <v>0</v>
      </c>
      <c r="AO342" t="n">
        <v>0</v>
      </c>
      <c r="AP342" t="inlineStr">
        <is>
          <t>No</t>
        </is>
      </c>
      <c r="AQ342" t="inlineStr">
        <is>
          <t>Yes</t>
        </is>
      </c>
      <c r="AR342">
        <f>HYPERLINK("http://catalog.hathitrust.org/Record/004504198","HathiTrust Record")</f>
        <v/>
      </c>
      <c r="AS342">
        <f>HYPERLINK("https://creighton-primo.hosted.exlibrisgroup.com/primo-explore/search?tab=default_tab&amp;search_scope=EVERYTHING&amp;vid=01CRU&amp;lang=en_US&amp;offset=0&amp;query=any,contains,991002974379702656","Catalog Record")</f>
        <v/>
      </c>
      <c r="AT342">
        <f>HYPERLINK("http://www.worldcat.org/oclc/551028","WorldCat Record")</f>
        <v/>
      </c>
      <c r="AU342" t="inlineStr">
        <is>
          <t>3856051193:eng</t>
        </is>
      </c>
      <c r="AV342" t="inlineStr">
        <is>
          <t>551028</t>
        </is>
      </c>
      <c r="AW342" t="inlineStr">
        <is>
          <t>991002974379702656</t>
        </is>
      </c>
      <c r="AX342" t="inlineStr">
        <is>
          <t>991002974379702656</t>
        </is>
      </c>
      <c r="AY342" t="inlineStr">
        <is>
          <t>2257820170002656</t>
        </is>
      </c>
      <c r="AZ342" t="inlineStr">
        <is>
          <t>BOOK</t>
        </is>
      </c>
      <c r="BC342" t="inlineStr">
        <is>
          <t>32285001794790</t>
        </is>
      </c>
      <c r="BD342" t="inlineStr">
        <is>
          <t>893904189</t>
        </is>
      </c>
    </row>
    <row r="343">
      <c r="A343" t="inlineStr">
        <is>
          <t>No</t>
        </is>
      </c>
      <c r="B343" t="inlineStr">
        <is>
          <t>ND259.O7 H43 1971</t>
        </is>
      </c>
      <c r="C343" t="inlineStr">
        <is>
          <t>0                      ND 0259000O  7                  H  43          1971</t>
        </is>
      </c>
      <c r="D343" t="inlineStr">
        <is>
          <t>Man of fire, J. C. Orozco : an interpretative memoir.</t>
        </is>
      </c>
      <c r="F343" t="inlineStr">
        <is>
          <t>No</t>
        </is>
      </c>
      <c r="G343" t="inlineStr">
        <is>
          <t>1</t>
        </is>
      </c>
      <c r="H343" t="inlineStr">
        <is>
          <t>No</t>
        </is>
      </c>
      <c r="I343" t="inlineStr">
        <is>
          <t>No</t>
        </is>
      </c>
      <c r="J343" t="inlineStr">
        <is>
          <t>0</t>
        </is>
      </c>
      <c r="K343" t="inlineStr">
        <is>
          <t>Helm, MacKinley, 1896-1963.</t>
        </is>
      </c>
      <c r="L343" t="inlineStr">
        <is>
          <t>Westport, Conn. : Greenwood Press, [1971, c1953]</t>
        </is>
      </c>
      <c r="M343" t="inlineStr">
        <is>
          <t>1971</t>
        </is>
      </c>
      <c r="O343" t="inlineStr">
        <is>
          <t>eng</t>
        </is>
      </c>
      <c r="P343" t="inlineStr">
        <is>
          <t>ctu</t>
        </is>
      </c>
      <c r="R343" t="inlineStr">
        <is>
          <t xml:space="preserve">ND </t>
        </is>
      </c>
      <c r="S343" t="n">
        <v>24</v>
      </c>
      <c r="T343" t="n">
        <v>24</v>
      </c>
      <c r="U343" t="inlineStr">
        <is>
          <t>2003-09-13</t>
        </is>
      </c>
      <c r="V343" t="inlineStr">
        <is>
          <t>2003-09-13</t>
        </is>
      </c>
      <c r="W343" t="inlineStr">
        <is>
          <t>1993-10-25</t>
        </is>
      </c>
      <c r="X343" t="inlineStr">
        <is>
          <t>1993-10-25</t>
        </is>
      </c>
      <c r="Y343" t="n">
        <v>203</v>
      </c>
      <c r="Z343" t="n">
        <v>179</v>
      </c>
      <c r="AA343" t="n">
        <v>630</v>
      </c>
      <c r="AB343" t="n">
        <v>1</v>
      </c>
      <c r="AC343" t="n">
        <v>6</v>
      </c>
      <c r="AD343" t="n">
        <v>3</v>
      </c>
      <c r="AE343" t="n">
        <v>23</v>
      </c>
      <c r="AF343" t="n">
        <v>0</v>
      </c>
      <c r="AG343" t="n">
        <v>6</v>
      </c>
      <c r="AH343" t="n">
        <v>2</v>
      </c>
      <c r="AI343" t="n">
        <v>6</v>
      </c>
      <c r="AJ343" t="n">
        <v>2</v>
      </c>
      <c r="AK343" t="n">
        <v>13</v>
      </c>
      <c r="AL343" t="n">
        <v>0</v>
      </c>
      <c r="AM343" t="n">
        <v>4</v>
      </c>
      <c r="AN343" t="n">
        <v>0</v>
      </c>
      <c r="AO343" t="n">
        <v>0</v>
      </c>
      <c r="AP343" t="inlineStr">
        <is>
          <t>No</t>
        </is>
      </c>
      <c r="AQ343" t="inlineStr">
        <is>
          <t>Yes</t>
        </is>
      </c>
      <c r="AR343">
        <f>HYPERLINK("http://catalog.hathitrust.org/Record/004504199","HathiTrust Record")</f>
        <v/>
      </c>
      <c r="AS343">
        <f>HYPERLINK("https://creighton-primo.hosted.exlibrisgroup.com/primo-explore/search?tab=default_tab&amp;search_scope=EVERYTHING&amp;vid=01CRU&amp;lang=en_US&amp;offset=0&amp;query=any,contains,991001230849702656","Catalog Record")</f>
        <v/>
      </c>
      <c r="AT343">
        <f>HYPERLINK("http://www.worldcat.org/oclc/203335","WorldCat Record")</f>
        <v/>
      </c>
      <c r="AU343" t="inlineStr">
        <is>
          <t>196634681:eng</t>
        </is>
      </c>
      <c r="AV343" t="inlineStr">
        <is>
          <t>203335</t>
        </is>
      </c>
      <c r="AW343" t="inlineStr">
        <is>
          <t>991001230849702656</t>
        </is>
      </c>
      <c r="AX343" t="inlineStr">
        <is>
          <t>991001230849702656</t>
        </is>
      </c>
      <c r="AY343" t="inlineStr">
        <is>
          <t>2256131190002656</t>
        </is>
      </c>
      <c r="AZ343" t="inlineStr">
        <is>
          <t>BOOK</t>
        </is>
      </c>
      <c r="BB343" t="inlineStr">
        <is>
          <t>9780837133614</t>
        </is>
      </c>
      <c r="BC343" t="inlineStr">
        <is>
          <t>32285001794808</t>
        </is>
      </c>
      <c r="BD343" t="inlineStr">
        <is>
          <t>893885153</t>
        </is>
      </c>
    </row>
    <row r="344">
      <c r="A344" t="inlineStr">
        <is>
          <t>No</t>
        </is>
      </c>
      <c r="B344" t="inlineStr">
        <is>
          <t>ND259.R5 A3</t>
        </is>
      </c>
      <c r="C344" t="inlineStr">
        <is>
          <t>0                      ND 0259000R  5                  A  3</t>
        </is>
      </c>
      <c r="D344" t="inlineStr">
        <is>
          <t>My art, my life : an autobiography / [by] Diego Rivera, with Gladys March.</t>
        </is>
      </c>
      <c r="F344" t="inlineStr">
        <is>
          <t>No</t>
        </is>
      </c>
      <c r="G344" t="inlineStr">
        <is>
          <t>1</t>
        </is>
      </c>
      <c r="H344" t="inlineStr">
        <is>
          <t>No</t>
        </is>
      </c>
      <c r="I344" t="inlineStr">
        <is>
          <t>No</t>
        </is>
      </c>
      <c r="J344" t="inlineStr">
        <is>
          <t>0</t>
        </is>
      </c>
      <c r="K344" t="inlineStr">
        <is>
          <t>Rivera, Diego, 1886-1957.</t>
        </is>
      </c>
      <c r="L344" t="inlineStr">
        <is>
          <t>New York : Citadel Press, 1960.</t>
        </is>
      </c>
      <c r="M344" t="inlineStr">
        <is>
          <t>1960</t>
        </is>
      </c>
      <c r="N344" t="inlineStr">
        <is>
          <t>[1st ed.]</t>
        </is>
      </c>
      <c r="O344" t="inlineStr">
        <is>
          <t>eng</t>
        </is>
      </c>
      <c r="P344" t="inlineStr">
        <is>
          <t>___</t>
        </is>
      </c>
      <c r="R344" t="inlineStr">
        <is>
          <t xml:space="preserve">ND </t>
        </is>
      </c>
      <c r="S344" t="n">
        <v>30</v>
      </c>
      <c r="T344" t="n">
        <v>30</v>
      </c>
      <c r="U344" t="inlineStr">
        <is>
          <t>2009-02-02</t>
        </is>
      </c>
      <c r="V344" t="inlineStr">
        <is>
          <t>2009-02-02</t>
        </is>
      </c>
      <c r="W344" t="inlineStr">
        <is>
          <t>1992-12-16</t>
        </is>
      </c>
      <c r="X344" t="inlineStr">
        <is>
          <t>1992-12-16</t>
        </is>
      </c>
      <c r="Y344" t="n">
        <v>442</v>
      </c>
      <c r="Z344" t="n">
        <v>413</v>
      </c>
      <c r="AA344" t="n">
        <v>763</v>
      </c>
      <c r="AB344" t="n">
        <v>1</v>
      </c>
      <c r="AC344" t="n">
        <v>4</v>
      </c>
      <c r="AD344" t="n">
        <v>12</v>
      </c>
      <c r="AE344" t="n">
        <v>19</v>
      </c>
      <c r="AF344" t="n">
        <v>4</v>
      </c>
      <c r="AG344" t="n">
        <v>8</v>
      </c>
      <c r="AH344" t="n">
        <v>2</v>
      </c>
      <c r="AI344" t="n">
        <v>3</v>
      </c>
      <c r="AJ344" t="n">
        <v>10</v>
      </c>
      <c r="AK344" t="n">
        <v>13</v>
      </c>
      <c r="AL344" t="n">
        <v>0</v>
      </c>
      <c r="AM344" t="n">
        <v>2</v>
      </c>
      <c r="AN344" t="n">
        <v>0</v>
      </c>
      <c r="AO344" t="n">
        <v>0</v>
      </c>
      <c r="AP344" t="inlineStr">
        <is>
          <t>No</t>
        </is>
      </c>
      <c r="AQ344" t="inlineStr">
        <is>
          <t>Yes</t>
        </is>
      </c>
      <c r="AR344">
        <f>HYPERLINK("http://catalog.hathitrust.org/Record/000374301","HathiTrust Record")</f>
        <v/>
      </c>
      <c r="AS344">
        <f>HYPERLINK("https://creighton-primo.hosted.exlibrisgroup.com/primo-explore/search?tab=default_tab&amp;search_scope=EVERYTHING&amp;vid=01CRU&amp;lang=en_US&amp;offset=0&amp;query=any,contains,991003569069702656","Catalog Record")</f>
        <v/>
      </c>
      <c r="AT344">
        <f>HYPERLINK("http://www.worldcat.org/oclc/1143983","WorldCat Record")</f>
        <v/>
      </c>
      <c r="AU344" t="inlineStr">
        <is>
          <t>54029652:eng</t>
        </is>
      </c>
      <c r="AV344" t="inlineStr">
        <is>
          <t>1143983</t>
        </is>
      </c>
      <c r="AW344" t="inlineStr">
        <is>
          <t>991003569069702656</t>
        </is>
      </c>
      <c r="AX344" t="inlineStr">
        <is>
          <t>991003569069702656</t>
        </is>
      </c>
      <c r="AY344" t="inlineStr">
        <is>
          <t>2263067180002656</t>
        </is>
      </c>
      <c r="AZ344" t="inlineStr">
        <is>
          <t>BOOK</t>
        </is>
      </c>
      <c r="BC344" t="inlineStr">
        <is>
          <t>32285001443513</t>
        </is>
      </c>
      <c r="BD344" t="inlineStr">
        <is>
          <t>893324202</t>
        </is>
      </c>
    </row>
    <row r="345">
      <c r="A345" t="inlineStr">
        <is>
          <t>No</t>
        </is>
      </c>
      <c r="B345" t="inlineStr">
        <is>
          <t>ND259.R5 H28 1999</t>
        </is>
      </c>
      <c r="C345" t="inlineStr">
        <is>
          <t>0                      ND 0259000R  5                  H  28          1999</t>
        </is>
      </c>
      <c r="D345" t="inlineStr">
        <is>
          <t>Diego Rivera / Pete Hamill.</t>
        </is>
      </c>
      <c r="F345" t="inlineStr">
        <is>
          <t>No</t>
        </is>
      </c>
      <c r="G345" t="inlineStr">
        <is>
          <t>1</t>
        </is>
      </c>
      <c r="H345" t="inlineStr">
        <is>
          <t>No</t>
        </is>
      </c>
      <c r="I345" t="inlineStr">
        <is>
          <t>No</t>
        </is>
      </c>
      <c r="J345" t="inlineStr">
        <is>
          <t>0</t>
        </is>
      </c>
      <c r="K345" t="inlineStr">
        <is>
          <t>Hamill, Pete, 1935-2020.</t>
        </is>
      </c>
      <c r="L345" t="inlineStr">
        <is>
          <t>New York : Harry N. Abrams, 1999.</t>
        </is>
      </c>
      <c r="M345" t="inlineStr">
        <is>
          <t>1999</t>
        </is>
      </c>
      <c r="O345" t="inlineStr">
        <is>
          <t>eng</t>
        </is>
      </c>
      <c r="P345" t="inlineStr">
        <is>
          <t>nyu</t>
        </is>
      </c>
      <c r="R345" t="inlineStr">
        <is>
          <t xml:space="preserve">ND </t>
        </is>
      </c>
      <c r="S345" t="n">
        <v>19</v>
      </c>
      <c r="T345" t="n">
        <v>19</v>
      </c>
      <c r="U345" t="inlineStr">
        <is>
          <t>2009-02-02</t>
        </is>
      </c>
      <c r="V345" t="inlineStr">
        <is>
          <t>2009-02-02</t>
        </is>
      </c>
      <c r="W345" t="inlineStr">
        <is>
          <t>2000-01-25</t>
        </is>
      </c>
      <c r="X345" t="inlineStr">
        <is>
          <t>2000-01-25</t>
        </is>
      </c>
      <c r="Y345" t="n">
        <v>1293</v>
      </c>
      <c r="Z345" t="n">
        <v>1149</v>
      </c>
      <c r="AA345" t="n">
        <v>1251</v>
      </c>
      <c r="AB345" t="n">
        <v>7</v>
      </c>
      <c r="AC345" t="n">
        <v>7</v>
      </c>
      <c r="AD345" t="n">
        <v>30</v>
      </c>
      <c r="AE345" t="n">
        <v>31</v>
      </c>
      <c r="AF345" t="n">
        <v>13</v>
      </c>
      <c r="AG345" t="n">
        <v>13</v>
      </c>
      <c r="AH345" t="n">
        <v>4</v>
      </c>
      <c r="AI345" t="n">
        <v>5</v>
      </c>
      <c r="AJ345" t="n">
        <v>13</v>
      </c>
      <c r="AK345" t="n">
        <v>13</v>
      </c>
      <c r="AL345" t="n">
        <v>6</v>
      </c>
      <c r="AM345" t="n">
        <v>6</v>
      </c>
      <c r="AN345" t="n">
        <v>0</v>
      </c>
      <c r="AO345" t="n">
        <v>0</v>
      </c>
      <c r="AP345" t="inlineStr">
        <is>
          <t>No</t>
        </is>
      </c>
      <c r="AQ345" t="inlineStr">
        <is>
          <t>Yes</t>
        </is>
      </c>
      <c r="AR345">
        <f>HYPERLINK("http://catalog.hathitrust.org/Record/004054220","HathiTrust Record")</f>
        <v/>
      </c>
      <c r="AS345">
        <f>HYPERLINK("https://creighton-primo.hosted.exlibrisgroup.com/primo-explore/search?tab=default_tab&amp;search_scope=EVERYTHING&amp;vid=01CRU&amp;lang=en_US&amp;offset=0&amp;query=any,contains,991003021769702656","Catalog Record")</f>
        <v/>
      </c>
      <c r="AT345">
        <f>HYPERLINK("http://www.worldcat.org/oclc/41185104","WorldCat Record")</f>
        <v/>
      </c>
      <c r="AU345" t="inlineStr">
        <is>
          <t>4921130430:eng</t>
        </is>
      </c>
      <c r="AV345" t="inlineStr">
        <is>
          <t>41185104</t>
        </is>
      </c>
      <c r="AW345" t="inlineStr">
        <is>
          <t>991003021769702656</t>
        </is>
      </c>
      <c r="AX345" t="inlineStr">
        <is>
          <t>991003021769702656</t>
        </is>
      </c>
      <c r="AY345" t="inlineStr">
        <is>
          <t>2266451740002656</t>
        </is>
      </c>
      <c r="AZ345" t="inlineStr">
        <is>
          <t>BOOK</t>
        </is>
      </c>
      <c r="BB345" t="inlineStr">
        <is>
          <t>9780810932340</t>
        </is>
      </c>
      <c r="BC345" t="inlineStr">
        <is>
          <t>32285003643995</t>
        </is>
      </c>
      <c r="BD345" t="inlineStr">
        <is>
          <t>893251929</t>
        </is>
      </c>
    </row>
    <row r="346">
      <c r="A346" t="inlineStr">
        <is>
          <t>No</t>
        </is>
      </c>
      <c r="B346" t="inlineStr">
        <is>
          <t>ND259.R5 W56</t>
        </is>
      </c>
      <c r="C346" t="inlineStr">
        <is>
          <t>0                      ND 0259000R  5                  W  56</t>
        </is>
      </c>
      <c r="D346" t="inlineStr">
        <is>
          <t>The fabulous life of Diego Rivera.</t>
        </is>
      </c>
      <c r="F346" t="inlineStr">
        <is>
          <t>No</t>
        </is>
      </c>
      <c r="G346" t="inlineStr">
        <is>
          <t>1</t>
        </is>
      </c>
      <c r="H346" t="inlineStr">
        <is>
          <t>No</t>
        </is>
      </c>
      <c r="I346" t="inlineStr">
        <is>
          <t>No</t>
        </is>
      </c>
      <c r="J346" t="inlineStr">
        <is>
          <t>0</t>
        </is>
      </c>
      <c r="K346" t="inlineStr">
        <is>
          <t>Wolfe, Bertram D. (Bertram David), 1896-1977.</t>
        </is>
      </c>
      <c r="L346" t="inlineStr">
        <is>
          <t>New York : Stein and Day, [1963]</t>
        </is>
      </c>
      <c r="M346" t="inlineStr">
        <is>
          <t>1963</t>
        </is>
      </c>
      <c r="O346" t="inlineStr">
        <is>
          <t>eng</t>
        </is>
      </c>
      <c r="P346" t="inlineStr">
        <is>
          <t>nyu</t>
        </is>
      </c>
      <c r="R346" t="inlineStr">
        <is>
          <t xml:space="preserve">ND </t>
        </is>
      </c>
      <c r="S346" t="n">
        <v>29</v>
      </c>
      <c r="T346" t="n">
        <v>29</v>
      </c>
      <c r="U346" t="inlineStr">
        <is>
          <t>2008-11-12</t>
        </is>
      </c>
      <c r="V346" t="inlineStr">
        <is>
          <t>2008-11-12</t>
        </is>
      </c>
      <c r="W346" t="inlineStr">
        <is>
          <t>1992-12-02</t>
        </is>
      </c>
      <c r="X346" t="inlineStr">
        <is>
          <t>1992-12-02</t>
        </is>
      </c>
      <c r="Y346" t="n">
        <v>1092</v>
      </c>
      <c r="Z346" t="n">
        <v>1044</v>
      </c>
      <c r="AA346" t="n">
        <v>1261</v>
      </c>
      <c r="AB346" t="n">
        <v>7</v>
      </c>
      <c r="AC346" t="n">
        <v>9</v>
      </c>
      <c r="AD346" t="n">
        <v>29</v>
      </c>
      <c r="AE346" t="n">
        <v>37</v>
      </c>
      <c r="AF346" t="n">
        <v>9</v>
      </c>
      <c r="AG346" t="n">
        <v>15</v>
      </c>
      <c r="AH346" t="n">
        <v>7</v>
      </c>
      <c r="AI346" t="n">
        <v>10</v>
      </c>
      <c r="AJ346" t="n">
        <v>15</v>
      </c>
      <c r="AK346" t="n">
        <v>16</v>
      </c>
      <c r="AL346" t="n">
        <v>5</v>
      </c>
      <c r="AM346" t="n">
        <v>5</v>
      </c>
      <c r="AN346" t="n">
        <v>0</v>
      </c>
      <c r="AO346" t="n">
        <v>0</v>
      </c>
      <c r="AP346" t="inlineStr">
        <is>
          <t>Yes</t>
        </is>
      </c>
      <c r="AQ346" t="inlineStr">
        <is>
          <t>No</t>
        </is>
      </c>
      <c r="AR346">
        <f>HYPERLINK("http://catalog.hathitrust.org/Record/000654167","HathiTrust Record")</f>
        <v/>
      </c>
      <c r="AS346">
        <f>HYPERLINK("https://creighton-primo.hosted.exlibrisgroup.com/primo-explore/search?tab=default_tab&amp;search_scope=EVERYTHING&amp;vid=01CRU&amp;lang=en_US&amp;offset=0&amp;query=any,contains,991003177139702656","Catalog Record")</f>
        <v/>
      </c>
      <c r="AT346">
        <f>HYPERLINK("http://www.worldcat.org/oclc/710974","WorldCat Record")</f>
        <v/>
      </c>
      <c r="AU346" t="inlineStr">
        <is>
          <t>1207239:eng</t>
        </is>
      </c>
      <c r="AV346" t="inlineStr">
        <is>
          <t>710974</t>
        </is>
      </c>
      <c r="AW346" t="inlineStr">
        <is>
          <t>991003177139702656</t>
        </is>
      </c>
      <c r="AX346" t="inlineStr">
        <is>
          <t>991003177139702656</t>
        </is>
      </c>
      <c r="AY346" t="inlineStr">
        <is>
          <t>2262452650002656</t>
        </is>
      </c>
      <c r="AZ346" t="inlineStr">
        <is>
          <t>BOOK</t>
        </is>
      </c>
      <c r="BC346" t="inlineStr">
        <is>
          <t>32285001411676</t>
        </is>
      </c>
      <c r="BD346" t="inlineStr">
        <is>
          <t>893692453</t>
        </is>
      </c>
    </row>
    <row r="347">
      <c r="A347" t="inlineStr">
        <is>
          <t>No</t>
        </is>
      </c>
      <c r="B347" t="inlineStr">
        <is>
          <t>ND259.T3 G4</t>
        </is>
      </c>
      <c r="C347" t="inlineStr">
        <is>
          <t>0                      ND 0259000T  3                  G  4</t>
        </is>
      </c>
      <c r="D347" t="inlineStr">
        <is>
          <t>Rufino Tamayo.</t>
        </is>
      </c>
      <c r="F347" t="inlineStr">
        <is>
          <t>No</t>
        </is>
      </c>
      <c r="G347" t="inlineStr">
        <is>
          <t>1</t>
        </is>
      </c>
      <c r="H347" t="inlineStr">
        <is>
          <t>No</t>
        </is>
      </c>
      <c r="I347" t="inlineStr">
        <is>
          <t>No</t>
        </is>
      </c>
      <c r="J347" t="inlineStr">
        <is>
          <t>0</t>
        </is>
      </c>
      <c r="K347" t="inlineStr">
        <is>
          <t>Genauer, Emily, 1910-2002.</t>
        </is>
      </c>
      <c r="L347" t="inlineStr">
        <is>
          <t>New York : Abrams, [1974]</t>
        </is>
      </c>
      <c r="M347" t="inlineStr">
        <is>
          <t>1974</t>
        </is>
      </c>
      <c r="O347" t="inlineStr">
        <is>
          <t>eng</t>
        </is>
      </c>
      <c r="P347" t="inlineStr">
        <is>
          <t>nyu</t>
        </is>
      </c>
      <c r="R347" t="inlineStr">
        <is>
          <t xml:space="preserve">ND </t>
        </is>
      </c>
      <c r="S347" t="n">
        <v>4</v>
      </c>
      <c r="T347" t="n">
        <v>4</v>
      </c>
      <c r="U347" t="inlineStr">
        <is>
          <t>1995-10-10</t>
        </is>
      </c>
      <c r="V347" t="inlineStr">
        <is>
          <t>1995-10-10</t>
        </is>
      </c>
      <c r="W347" t="inlineStr">
        <is>
          <t>1993-10-25</t>
        </is>
      </c>
      <c r="X347" t="inlineStr">
        <is>
          <t>1993-10-25</t>
        </is>
      </c>
      <c r="Y347" t="n">
        <v>521</v>
      </c>
      <c r="Z347" t="n">
        <v>473</v>
      </c>
      <c r="AA347" t="n">
        <v>479</v>
      </c>
      <c r="AB347" t="n">
        <v>2</v>
      </c>
      <c r="AC347" t="n">
        <v>2</v>
      </c>
      <c r="AD347" t="n">
        <v>12</v>
      </c>
      <c r="AE347" t="n">
        <v>12</v>
      </c>
      <c r="AF347" t="n">
        <v>4</v>
      </c>
      <c r="AG347" t="n">
        <v>4</v>
      </c>
      <c r="AH347" t="n">
        <v>3</v>
      </c>
      <c r="AI347" t="n">
        <v>3</v>
      </c>
      <c r="AJ347" t="n">
        <v>7</v>
      </c>
      <c r="AK347" t="n">
        <v>7</v>
      </c>
      <c r="AL347" t="n">
        <v>1</v>
      </c>
      <c r="AM347" t="n">
        <v>1</v>
      </c>
      <c r="AN347" t="n">
        <v>0</v>
      </c>
      <c r="AO347" t="n">
        <v>0</v>
      </c>
      <c r="AP347" t="inlineStr">
        <is>
          <t>No</t>
        </is>
      </c>
      <c r="AQ347" t="inlineStr">
        <is>
          <t>Yes</t>
        </is>
      </c>
      <c r="AR347">
        <f>HYPERLINK("http://catalog.hathitrust.org/Record/000654188","HathiTrust Record")</f>
        <v/>
      </c>
      <c r="AS347">
        <f>HYPERLINK("https://creighton-primo.hosted.exlibrisgroup.com/primo-explore/search?tab=default_tab&amp;search_scope=EVERYTHING&amp;vid=01CRU&amp;lang=en_US&amp;offset=0&amp;query=any,contains,991003293579702656","Catalog Record")</f>
        <v/>
      </c>
      <c r="AT347">
        <f>HYPERLINK("http://www.worldcat.org/oclc/815132","WorldCat Record")</f>
        <v/>
      </c>
      <c r="AU347" t="inlineStr">
        <is>
          <t>9846783433:eng</t>
        </is>
      </c>
      <c r="AV347" t="inlineStr">
        <is>
          <t>815132</t>
        </is>
      </c>
      <c r="AW347" t="inlineStr">
        <is>
          <t>991003293579702656</t>
        </is>
      </c>
      <c r="AX347" t="inlineStr">
        <is>
          <t>991003293579702656</t>
        </is>
      </c>
      <c r="AY347" t="inlineStr">
        <is>
          <t>2272600100002656</t>
        </is>
      </c>
      <c r="AZ347" t="inlineStr">
        <is>
          <t>BOOK</t>
        </is>
      </c>
      <c r="BB347" t="inlineStr">
        <is>
          <t>9780810905009</t>
        </is>
      </c>
      <c r="BC347" t="inlineStr">
        <is>
          <t>32285001794832</t>
        </is>
      </c>
      <c r="BD347" t="inlineStr">
        <is>
          <t>893592385</t>
        </is>
      </c>
    </row>
    <row r="348">
      <c r="A348" t="inlineStr">
        <is>
          <t>No</t>
        </is>
      </c>
      <c r="B348" t="inlineStr">
        <is>
          <t>ND259.T3 P66</t>
        </is>
      </c>
      <c r="C348" t="inlineStr">
        <is>
          <t>0                      ND 0259000T  3                  P  66</t>
        </is>
      </c>
      <c r="D348" t="inlineStr">
        <is>
          <t>Tamayo / Introd. por Juan García Ponce. [Traducción al inglés de Emma Gutiérrez Suárez.]</t>
        </is>
      </c>
      <c r="F348" t="inlineStr">
        <is>
          <t>No</t>
        </is>
      </c>
      <c r="G348" t="inlineStr">
        <is>
          <t>1</t>
        </is>
      </c>
      <c r="H348" t="inlineStr">
        <is>
          <t>No</t>
        </is>
      </c>
      <c r="I348" t="inlineStr">
        <is>
          <t>No</t>
        </is>
      </c>
      <c r="J348" t="inlineStr">
        <is>
          <t>0</t>
        </is>
      </c>
      <c r="K348" t="inlineStr">
        <is>
          <t>Tamayo, Rufino, 1899-1991.</t>
        </is>
      </c>
      <c r="L348" t="inlineStr">
        <is>
          <t>México : Galería de Arte Misrachi, [1967]</t>
        </is>
      </c>
      <c r="M348" t="inlineStr">
        <is>
          <t>1967</t>
        </is>
      </c>
      <c r="O348" t="inlineStr">
        <is>
          <t>spa</t>
        </is>
      </c>
      <c r="P348" t="inlineStr">
        <is>
          <t xml:space="preserve">mx </t>
        </is>
      </c>
      <c r="R348" t="inlineStr">
        <is>
          <t xml:space="preserve">ND </t>
        </is>
      </c>
      <c r="S348" t="n">
        <v>2</v>
      </c>
      <c r="T348" t="n">
        <v>2</v>
      </c>
      <c r="U348" t="inlineStr">
        <is>
          <t>2002-11-24</t>
        </is>
      </c>
      <c r="V348" t="inlineStr">
        <is>
          <t>2002-11-24</t>
        </is>
      </c>
      <c r="W348" t="inlineStr">
        <is>
          <t>1994-03-22</t>
        </is>
      </c>
      <c r="X348" t="inlineStr">
        <is>
          <t>1994-03-22</t>
        </is>
      </c>
      <c r="Y348" t="n">
        <v>183</v>
      </c>
      <c r="Z348" t="n">
        <v>171</v>
      </c>
      <c r="AA348" t="n">
        <v>171</v>
      </c>
      <c r="AB348" t="n">
        <v>4</v>
      </c>
      <c r="AC348" t="n">
        <v>4</v>
      </c>
      <c r="AD348" t="n">
        <v>7</v>
      </c>
      <c r="AE348" t="n">
        <v>7</v>
      </c>
      <c r="AF348" t="n">
        <v>2</v>
      </c>
      <c r="AG348" t="n">
        <v>2</v>
      </c>
      <c r="AH348" t="n">
        <v>1</v>
      </c>
      <c r="AI348" t="n">
        <v>1</v>
      </c>
      <c r="AJ348" t="n">
        <v>2</v>
      </c>
      <c r="AK348" t="n">
        <v>2</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HYPERLINK("https://creighton-primo.hosted.exlibrisgroup.com/primo-explore/search?tab=default_tab&amp;search_scope=EVERYTHING&amp;vid=01CRU&amp;lang=en_US&amp;offset=0&amp;query=any,contains,991003771589702656","Catalog Record")</f>
        <v/>
      </c>
      <c r="AT348">
        <f>HYPERLINK("http://www.worldcat.org/oclc/1472333","WorldCat Record")</f>
        <v/>
      </c>
      <c r="AU348" t="inlineStr">
        <is>
          <t>5218189707:spa</t>
        </is>
      </c>
      <c r="AV348" t="inlineStr">
        <is>
          <t>1472333</t>
        </is>
      </c>
      <c r="AW348" t="inlineStr">
        <is>
          <t>991003771589702656</t>
        </is>
      </c>
      <c r="AX348" t="inlineStr">
        <is>
          <t>991003771589702656</t>
        </is>
      </c>
      <c r="AY348" t="inlineStr">
        <is>
          <t>2256889320002656</t>
        </is>
      </c>
      <c r="AZ348" t="inlineStr">
        <is>
          <t>BOOK</t>
        </is>
      </c>
      <c r="BC348" t="inlineStr">
        <is>
          <t>32285001870822</t>
        </is>
      </c>
      <c r="BD348" t="inlineStr">
        <is>
          <t>893246720</t>
        </is>
      </c>
    </row>
    <row r="349">
      <c r="A349" t="inlineStr">
        <is>
          <t>No</t>
        </is>
      </c>
      <c r="B349" t="inlineStr">
        <is>
          <t>ND2644 .E43</t>
        </is>
      </c>
      <c r="C349" t="inlineStr">
        <is>
          <t>0                      ND 2644000E  43</t>
        </is>
      </c>
      <c r="D349" t="inlineStr">
        <is>
          <t>Painted walls of Mexico from prehistoric times until today / photos. by Manuel Alvarez Bravo. Foreword by Jean Charlot.</t>
        </is>
      </c>
      <c r="F349" t="inlineStr">
        <is>
          <t>No</t>
        </is>
      </c>
      <c r="G349" t="inlineStr">
        <is>
          <t>1</t>
        </is>
      </c>
      <c r="H349" t="inlineStr">
        <is>
          <t>No</t>
        </is>
      </c>
      <c r="I349" t="inlineStr">
        <is>
          <t>No</t>
        </is>
      </c>
      <c r="J349" t="inlineStr">
        <is>
          <t>0</t>
        </is>
      </c>
      <c r="K349" t="inlineStr">
        <is>
          <t>Edwards, Emily, 1888-1980</t>
        </is>
      </c>
      <c r="L349" t="inlineStr">
        <is>
          <t>Austin : University of Texas Press, [1966]</t>
        </is>
      </c>
      <c r="M349" t="inlineStr">
        <is>
          <t>1966</t>
        </is>
      </c>
      <c r="O349" t="inlineStr">
        <is>
          <t>eng</t>
        </is>
      </c>
      <c r="P349" t="inlineStr">
        <is>
          <t>txu</t>
        </is>
      </c>
      <c r="Q349" t="inlineStr">
        <is>
          <t>The Elma Dill Russell Spencer Foundation series no. 3</t>
        </is>
      </c>
      <c r="R349" t="inlineStr">
        <is>
          <t xml:space="preserve">ND </t>
        </is>
      </c>
      <c r="S349" t="n">
        <v>8</v>
      </c>
      <c r="T349" t="n">
        <v>8</v>
      </c>
      <c r="U349" t="inlineStr">
        <is>
          <t>2002-04-09</t>
        </is>
      </c>
      <c r="V349" t="inlineStr">
        <is>
          <t>2002-04-09</t>
        </is>
      </c>
      <c r="W349" t="inlineStr">
        <is>
          <t>1993-04-27</t>
        </is>
      </c>
      <c r="X349" t="inlineStr">
        <is>
          <t>1993-04-27</t>
        </is>
      </c>
      <c r="Y349" t="n">
        <v>986</v>
      </c>
      <c r="Z349" t="n">
        <v>909</v>
      </c>
      <c r="AA349" t="n">
        <v>925</v>
      </c>
      <c r="AB349" t="n">
        <v>5</v>
      </c>
      <c r="AC349" t="n">
        <v>5</v>
      </c>
      <c r="AD349" t="n">
        <v>26</v>
      </c>
      <c r="AE349" t="n">
        <v>27</v>
      </c>
      <c r="AF349" t="n">
        <v>8</v>
      </c>
      <c r="AG349" t="n">
        <v>9</v>
      </c>
      <c r="AH349" t="n">
        <v>6</v>
      </c>
      <c r="AI349" t="n">
        <v>6</v>
      </c>
      <c r="AJ349" t="n">
        <v>14</v>
      </c>
      <c r="AK349" t="n">
        <v>14</v>
      </c>
      <c r="AL349" t="n">
        <v>4</v>
      </c>
      <c r="AM349" t="n">
        <v>4</v>
      </c>
      <c r="AN349" t="n">
        <v>0</v>
      </c>
      <c r="AO349" t="n">
        <v>0</v>
      </c>
      <c r="AP349" t="inlineStr">
        <is>
          <t>No</t>
        </is>
      </c>
      <c r="AQ349" t="inlineStr">
        <is>
          <t>Yes</t>
        </is>
      </c>
      <c r="AR349">
        <f>HYPERLINK("http://catalog.hathitrust.org/Record/000377271","HathiTrust Record")</f>
        <v/>
      </c>
      <c r="AS349">
        <f>HYPERLINK("https://creighton-primo.hosted.exlibrisgroup.com/primo-explore/search?tab=default_tab&amp;search_scope=EVERYTHING&amp;vid=01CRU&amp;lang=en_US&amp;offset=0&amp;query=any,contains,991000974229702656","Catalog Record")</f>
        <v/>
      </c>
      <c r="AT349">
        <f>HYPERLINK("http://www.worldcat.org/oclc/170540","WorldCat Record")</f>
        <v/>
      </c>
      <c r="AU349" t="inlineStr">
        <is>
          <t>836675170:eng</t>
        </is>
      </c>
      <c r="AV349" t="inlineStr">
        <is>
          <t>170540</t>
        </is>
      </c>
      <c r="AW349" t="inlineStr">
        <is>
          <t>991000974229702656</t>
        </is>
      </c>
      <c r="AX349" t="inlineStr">
        <is>
          <t>991000974229702656</t>
        </is>
      </c>
      <c r="AY349" t="inlineStr">
        <is>
          <t>2269225540002656</t>
        </is>
      </c>
      <c r="AZ349" t="inlineStr">
        <is>
          <t>BOOK</t>
        </is>
      </c>
      <c r="BC349" t="inlineStr">
        <is>
          <t>32285001627651</t>
        </is>
      </c>
      <c r="BD349" t="inlineStr">
        <is>
          <t>893321538</t>
        </is>
      </c>
    </row>
    <row r="350">
      <c r="A350" t="inlineStr">
        <is>
          <t>No</t>
        </is>
      </c>
      <c r="B350" t="inlineStr">
        <is>
          <t>ND2755 .L38 1994</t>
        </is>
      </c>
      <c r="C350" t="inlineStr">
        <is>
          <t>0                      ND 2755000L  38          1994</t>
        </is>
      </c>
      <c r="D350" t="inlineStr">
        <is>
          <t>The place of narrative : mural decoration in Italian churches, 431-1600 / Marilyn Aronberg Lavin.</t>
        </is>
      </c>
      <c r="F350" t="inlineStr">
        <is>
          <t>No</t>
        </is>
      </c>
      <c r="G350" t="inlineStr">
        <is>
          <t>1</t>
        </is>
      </c>
      <c r="H350" t="inlineStr">
        <is>
          <t>No</t>
        </is>
      </c>
      <c r="I350" t="inlineStr">
        <is>
          <t>No</t>
        </is>
      </c>
      <c r="J350" t="inlineStr">
        <is>
          <t>0</t>
        </is>
      </c>
      <c r="K350" t="inlineStr">
        <is>
          <t>Lavin, Marilyn Aronberg.</t>
        </is>
      </c>
      <c r="L350" t="inlineStr">
        <is>
          <t>Chicago : University of Chicago Press, c1994.</t>
        </is>
      </c>
      <c r="M350" t="inlineStr">
        <is>
          <t>1994</t>
        </is>
      </c>
      <c r="N350" t="inlineStr">
        <is>
          <t>Paperback ed.</t>
        </is>
      </c>
      <c r="O350" t="inlineStr">
        <is>
          <t>eng</t>
        </is>
      </c>
      <c r="P350" t="inlineStr">
        <is>
          <t>ilu</t>
        </is>
      </c>
      <c r="R350" t="inlineStr">
        <is>
          <t xml:space="preserve">ND </t>
        </is>
      </c>
      <c r="S350" t="n">
        <v>1</v>
      </c>
      <c r="T350" t="n">
        <v>1</v>
      </c>
      <c r="U350" t="inlineStr">
        <is>
          <t>2006-05-01</t>
        </is>
      </c>
      <c r="V350" t="inlineStr">
        <is>
          <t>2006-05-01</t>
        </is>
      </c>
      <c r="W350" t="inlineStr">
        <is>
          <t>1999-03-31</t>
        </is>
      </c>
      <c r="X350" t="inlineStr">
        <is>
          <t>1999-03-31</t>
        </is>
      </c>
      <c r="Y350" t="n">
        <v>54</v>
      </c>
      <c r="Z350" t="n">
        <v>42</v>
      </c>
      <c r="AA350" t="n">
        <v>545</v>
      </c>
      <c r="AB350" t="n">
        <v>1</v>
      </c>
      <c r="AC350" t="n">
        <v>3</v>
      </c>
      <c r="AD350" t="n">
        <v>2</v>
      </c>
      <c r="AE350" t="n">
        <v>37</v>
      </c>
      <c r="AF350" t="n">
        <v>2</v>
      </c>
      <c r="AG350" t="n">
        <v>18</v>
      </c>
      <c r="AH350" t="n">
        <v>0</v>
      </c>
      <c r="AI350" t="n">
        <v>8</v>
      </c>
      <c r="AJ350" t="n">
        <v>0</v>
      </c>
      <c r="AK350" t="n">
        <v>19</v>
      </c>
      <c r="AL350" t="n">
        <v>0</v>
      </c>
      <c r="AM350" t="n">
        <v>2</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HYPERLINK("https://creighton-primo.hosted.exlibrisgroup.com/primo-explore/search?tab=default_tab&amp;search_scope=EVERYTHING&amp;vid=01CRU&amp;lang=en_US&amp;offset=0&amp;query=any,contains,991002477109702656","Catalog Record")</f>
        <v/>
      </c>
      <c r="AT350">
        <f>HYPERLINK("http://www.worldcat.org/oclc/32245581","WorldCat Record")</f>
        <v/>
      </c>
      <c r="AU350" t="inlineStr">
        <is>
          <t>795548350:eng</t>
        </is>
      </c>
      <c r="AV350" t="inlineStr">
        <is>
          <t>32245581</t>
        </is>
      </c>
      <c r="AW350" t="inlineStr">
        <is>
          <t>991002477109702656</t>
        </is>
      </c>
      <c r="AX350" t="inlineStr">
        <is>
          <t>991002477109702656</t>
        </is>
      </c>
      <c r="AY350" t="inlineStr">
        <is>
          <t>2255044570002656</t>
        </is>
      </c>
      <c r="AZ350" t="inlineStr">
        <is>
          <t>BOOK</t>
        </is>
      </c>
      <c r="BB350" t="inlineStr">
        <is>
          <t>9780226469607</t>
        </is>
      </c>
      <c r="BC350" t="inlineStr">
        <is>
          <t>32285003548210</t>
        </is>
      </c>
      <c r="BD350" t="inlineStr">
        <is>
          <t>893779865</t>
        </is>
      </c>
    </row>
    <row r="351">
      <c r="A351" t="inlineStr">
        <is>
          <t>No</t>
        </is>
      </c>
      <c r="B351" t="inlineStr">
        <is>
          <t>ND2756.T9 H55 1987</t>
        </is>
      </c>
      <c r="C351" t="inlineStr">
        <is>
          <t>0                      ND 2756000T  9                  H  55          1987</t>
        </is>
      </c>
      <c r="D351" t="inlineStr">
        <is>
          <t>The light of early Italian painting / Paul Hills.</t>
        </is>
      </c>
      <c r="F351" t="inlineStr">
        <is>
          <t>No</t>
        </is>
      </c>
      <c r="G351" t="inlineStr">
        <is>
          <t>1</t>
        </is>
      </c>
      <c r="H351" t="inlineStr">
        <is>
          <t>No</t>
        </is>
      </c>
      <c r="I351" t="inlineStr">
        <is>
          <t>No</t>
        </is>
      </c>
      <c r="J351" t="inlineStr">
        <is>
          <t>0</t>
        </is>
      </c>
      <c r="K351" t="inlineStr">
        <is>
          <t>Hills, Paul.</t>
        </is>
      </c>
      <c r="L351" t="inlineStr">
        <is>
          <t>New Haven : Yale University Press, 1987.</t>
        </is>
      </c>
      <c r="M351" t="inlineStr">
        <is>
          <t>1987</t>
        </is>
      </c>
      <c r="O351" t="inlineStr">
        <is>
          <t>eng</t>
        </is>
      </c>
      <c r="P351" t="inlineStr">
        <is>
          <t>ctu</t>
        </is>
      </c>
      <c r="R351" t="inlineStr">
        <is>
          <t xml:space="preserve">ND </t>
        </is>
      </c>
      <c r="S351" t="n">
        <v>3</v>
      </c>
      <c r="T351" t="n">
        <v>3</v>
      </c>
      <c r="U351" t="inlineStr">
        <is>
          <t>1993-10-12</t>
        </is>
      </c>
      <c r="V351" t="inlineStr">
        <is>
          <t>1993-10-12</t>
        </is>
      </c>
      <c r="W351" t="inlineStr">
        <is>
          <t>1993-03-01</t>
        </is>
      </c>
      <c r="X351" t="inlineStr">
        <is>
          <t>1993-03-01</t>
        </is>
      </c>
      <c r="Y351" t="n">
        <v>841</v>
      </c>
      <c r="Z351" t="n">
        <v>668</v>
      </c>
      <c r="AA351" t="n">
        <v>670</v>
      </c>
      <c r="AB351" t="n">
        <v>6</v>
      </c>
      <c r="AC351" t="n">
        <v>6</v>
      </c>
      <c r="AD351" t="n">
        <v>28</v>
      </c>
      <c r="AE351" t="n">
        <v>28</v>
      </c>
      <c r="AF351" t="n">
        <v>11</v>
      </c>
      <c r="AG351" t="n">
        <v>11</v>
      </c>
      <c r="AH351" t="n">
        <v>6</v>
      </c>
      <c r="AI351" t="n">
        <v>6</v>
      </c>
      <c r="AJ351" t="n">
        <v>13</v>
      </c>
      <c r="AK351" t="n">
        <v>13</v>
      </c>
      <c r="AL351" t="n">
        <v>4</v>
      </c>
      <c r="AM351" t="n">
        <v>4</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HYPERLINK("https://creighton-primo.hosted.exlibrisgroup.com/primo-explore/search?tab=default_tab&amp;search_scope=EVERYTHING&amp;vid=01CRU&amp;lang=en_US&amp;offset=0&amp;query=any,contains,991000917239702656","Catalog Record")</f>
        <v/>
      </c>
      <c r="AT351">
        <f>HYPERLINK("http://www.worldcat.org/oclc/14187359","WorldCat Record")</f>
        <v/>
      </c>
      <c r="AU351" t="inlineStr">
        <is>
          <t>7753961:eng</t>
        </is>
      </c>
      <c r="AV351" t="inlineStr">
        <is>
          <t>14187359</t>
        </is>
      </c>
      <c r="AW351" t="inlineStr">
        <is>
          <t>991000917239702656</t>
        </is>
      </c>
      <c r="AX351" t="inlineStr">
        <is>
          <t>991000917239702656</t>
        </is>
      </c>
      <c r="AY351" t="inlineStr">
        <is>
          <t>2260364020002656</t>
        </is>
      </c>
      <c r="AZ351" t="inlineStr">
        <is>
          <t>BOOK</t>
        </is>
      </c>
      <c r="BB351" t="inlineStr">
        <is>
          <t>9780300036176</t>
        </is>
      </c>
      <c r="BC351" t="inlineStr">
        <is>
          <t>32285001529360</t>
        </is>
      </c>
      <c r="BD351" t="inlineStr">
        <is>
          <t>893426165</t>
        </is>
      </c>
    </row>
    <row r="352">
      <c r="A352" t="inlineStr">
        <is>
          <t>No</t>
        </is>
      </c>
      <c r="B352" t="inlineStr">
        <is>
          <t>ND2757.A8 S88 1985</t>
        </is>
      </c>
      <c r="C352" t="inlineStr">
        <is>
          <t>0                      ND 2757000A  8                  S  88          1985</t>
        </is>
      </c>
      <c r="D352" t="inlineStr">
        <is>
          <t>Assisi and the rise of vernacular art / James H. Stubblebine.</t>
        </is>
      </c>
      <c r="F352" t="inlineStr">
        <is>
          <t>No</t>
        </is>
      </c>
      <c r="G352" t="inlineStr">
        <is>
          <t>1</t>
        </is>
      </c>
      <c r="H352" t="inlineStr">
        <is>
          <t>No</t>
        </is>
      </c>
      <c r="I352" t="inlineStr">
        <is>
          <t>No</t>
        </is>
      </c>
      <c r="J352" t="inlineStr">
        <is>
          <t>0</t>
        </is>
      </c>
      <c r="K352" t="inlineStr">
        <is>
          <t>Stubblebine, James H.</t>
        </is>
      </c>
      <c r="L352" t="inlineStr">
        <is>
          <t>New York : Harper &amp; Row, c1985.</t>
        </is>
      </c>
      <c r="M352" t="inlineStr">
        <is>
          <t>1985</t>
        </is>
      </c>
      <c r="N352" t="inlineStr">
        <is>
          <t>1st ed.</t>
        </is>
      </c>
      <c r="O352" t="inlineStr">
        <is>
          <t>eng</t>
        </is>
      </c>
      <c r="P352" t="inlineStr">
        <is>
          <t>nyu</t>
        </is>
      </c>
      <c r="Q352" t="inlineStr">
        <is>
          <t>Icon editions</t>
        </is>
      </c>
      <c r="R352" t="inlineStr">
        <is>
          <t xml:space="preserve">ND </t>
        </is>
      </c>
      <c r="S352" t="n">
        <v>2</v>
      </c>
      <c r="T352" t="n">
        <v>2</v>
      </c>
      <c r="U352" t="inlineStr">
        <is>
          <t>2006-05-01</t>
        </is>
      </c>
      <c r="V352" t="inlineStr">
        <is>
          <t>2006-05-01</t>
        </is>
      </c>
      <c r="W352" t="inlineStr">
        <is>
          <t>2001-07-11</t>
        </is>
      </c>
      <c r="X352" t="inlineStr">
        <is>
          <t>2001-07-11</t>
        </is>
      </c>
      <c r="Y352" t="n">
        <v>595</v>
      </c>
      <c r="Z352" t="n">
        <v>475</v>
      </c>
      <c r="AA352" t="n">
        <v>482</v>
      </c>
      <c r="AB352" t="n">
        <v>4</v>
      </c>
      <c r="AC352" t="n">
        <v>4</v>
      </c>
      <c r="AD352" t="n">
        <v>25</v>
      </c>
      <c r="AE352" t="n">
        <v>26</v>
      </c>
      <c r="AF352" t="n">
        <v>10</v>
      </c>
      <c r="AG352" t="n">
        <v>11</v>
      </c>
      <c r="AH352" t="n">
        <v>8</v>
      </c>
      <c r="AI352" t="n">
        <v>8</v>
      </c>
      <c r="AJ352" t="n">
        <v>12</v>
      </c>
      <c r="AK352" t="n">
        <v>13</v>
      </c>
      <c r="AL352" t="n">
        <v>2</v>
      </c>
      <c r="AM352" t="n">
        <v>2</v>
      </c>
      <c r="AN352" t="n">
        <v>0</v>
      </c>
      <c r="AO352" t="n">
        <v>0</v>
      </c>
      <c r="AP352" t="inlineStr">
        <is>
          <t>No</t>
        </is>
      </c>
      <c r="AQ352" t="inlineStr">
        <is>
          <t>Yes</t>
        </is>
      </c>
      <c r="AR352">
        <f>HYPERLINK("http://catalog.hathitrust.org/Record/000668042","HathiTrust Record")</f>
        <v/>
      </c>
      <c r="AS352">
        <f>HYPERLINK("https://creighton-primo.hosted.exlibrisgroup.com/primo-explore/search?tab=default_tab&amp;search_scope=EVERYTHING&amp;vid=01CRU&amp;lang=en_US&amp;offset=0&amp;query=any,contains,991003565469702656","Catalog Record")</f>
        <v/>
      </c>
      <c r="AT352">
        <f>HYPERLINK("http://www.worldcat.org/oclc/11728306","WorldCat Record")</f>
        <v/>
      </c>
      <c r="AU352" t="inlineStr">
        <is>
          <t>4535885:eng</t>
        </is>
      </c>
      <c r="AV352" t="inlineStr">
        <is>
          <t>11728306</t>
        </is>
      </c>
      <c r="AW352" t="inlineStr">
        <is>
          <t>991003565469702656</t>
        </is>
      </c>
      <c r="AX352" t="inlineStr">
        <is>
          <t>991003565469702656</t>
        </is>
      </c>
      <c r="AY352" t="inlineStr">
        <is>
          <t>2262329870002656</t>
        </is>
      </c>
      <c r="AZ352" t="inlineStr">
        <is>
          <t>BOOK</t>
        </is>
      </c>
      <c r="BB352" t="inlineStr">
        <is>
          <t>9780064301527</t>
        </is>
      </c>
      <c r="BC352" t="inlineStr">
        <is>
          <t>32285004331517</t>
        </is>
      </c>
      <c r="BD352" t="inlineStr">
        <is>
          <t>893505706</t>
        </is>
      </c>
    </row>
    <row r="353">
      <c r="A353" t="inlineStr">
        <is>
          <t>No</t>
        </is>
      </c>
      <c r="B353" t="inlineStr">
        <is>
          <t>ND2757.S26 C36 1997</t>
        </is>
      </c>
      <c r="C353" t="inlineStr">
        <is>
          <t>0                      ND 2757000S  26                 C  36          1997</t>
        </is>
      </c>
      <c r="D353" t="inlineStr">
        <is>
          <t>The game of courting and the art of the commune of San Gimignano, 1290-1320 / C. Jean Campbell.</t>
        </is>
      </c>
      <c r="F353" t="inlineStr">
        <is>
          <t>No</t>
        </is>
      </c>
      <c r="G353" t="inlineStr">
        <is>
          <t>1</t>
        </is>
      </c>
      <c r="H353" t="inlineStr">
        <is>
          <t>No</t>
        </is>
      </c>
      <c r="I353" t="inlineStr">
        <is>
          <t>No</t>
        </is>
      </c>
      <c r="J353" t="inlineStr">
        <is>
          <t>0</t>
        </is>
      </c>
      <c r="K353" t="inlineStr">
        <is>
          <t>Campbell, C. Jean, 1960-</t>
        </is>
      </c>
      <c r="L353" t="inlineStr">
        <is>
          <t>Princeton, N.J. : Princeton University Press, c1997.</t>
        </is>
      </c>
      <c r="M353" t="inlineStr">
        <is>
          <t>1997</t>
        </is>
      </c>
      <c r="O353" t="inlineStr">
        <is>
          <t>eng</t>
        </is>
      </c>
      <c r="P353" t="inlineStr">
        <is>
          <t>nju</t>
        </is>
      </c>
      <c r="R353" t="inlineStr">
        <is>
          <t xml:space="preserve">ND </t>
        </is>
      </c>
      <c r="S353" t="n">
        <v>3</v>
      </c>
      <c r="T353" t="n">
        <v>3</v>
      </c>
      <c r="U353" t="inlineStr">
        <is>
          <t>2007-11-30</t>
        </is>
      </c>
      <c r="V353" t="inlineStr">
        <is>
          <t>2007-11-30</t>
        </is>
      </c>
      <c r="W353" t="inlineStr">
        <is>
          <t>1998-10-22</t>
        </is>
      </c>
      <c r="X353" t="inlineStr">
        <is>
          <t>1998-10-22</t>
        </is>
      </c>
      <c r="Y353" t="n">
        <v>355</v>
      </c>
      <c r="Z353" t="n">
        <v>268</v>
      </c>
      <c r="AA353" t="n">
        <v>268</v>
      </c>
      <c r="AB353" t="n">
        <v>3</v>
      </c>
      <c r="AC353" t="n">
        <v>3</v>
      </c>
      <c r="AD353" t="n">
        <v>16</v>
      </c>
      <c r="AE353" t="n">
        <v>16</v>
      </c>
      <c r="AF353" t="n">
        <v>3</v>
      </c>
      <c r="AG353" t="n">
        <v>3</v>
      </c>
      <c r="AH353" t="n">
        <v>4</v>
      </c>
      <c r="AI353" t="n">
        <v>4</v>
      </c>
      <c r="AJ353" t="n">
        <v>10</v>
      </c>
      <c r="AK353" t="n">
        <v>10</v>
      </c>
      <c r="AL353" t="n">
        <v>2</v>
      </c>
      <c r="AM353" t="n">
        <v>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HYPERLINK("https://creighton-primo.hosted.exlibrisgroup.com/primo-explore/search?tab=default_tab&amp;search_scope=EVERYTHING&amp;vid=01CRU&amp;lang=en_US&amp;offset=0&amp;query=any,contains,991002811979702656","Catalog Record")</f>
        <v/>
      </c>
      <c r="AT353">
        <f>HYPERLINK("http://www.worldcat.org/oclc/36942521","WorldCat Record")</f>
        <v/>
      </c>
      <c r="AU353" t="inlineStr">
        <is>
          <t>575920:eng</t>
        </is>
      </c>
      <c r="AV353" t="inlineStr">
        <is>
          <t>36942521</t>
        </is>
      </c>
      <c r="AW353" t="inlineStr">
        <is>
          <t>991002811979702656</t>
        </is>
      </c>
      <c r="AX353" t="inlineStr">
        <is>
          <t>991002811979702656</t>
        </is>
      </c>
      <c r="AY353" t="inlineStr">
        <is>
          <t>2270304120002656</t>
        </is>
      </c>
      <c r="AZ353" t="inlineStr">
        <is>
          <t>BOOK</t>
        </is>
      </c>
      <c r="BB353" t="inlineStr">
        <is>
          <t>9780691012100</t>
        </is>
      </c>
      <c r="BC353" t="inlineStr">
        <is>
          <t>32285003476727</t>
        </is>
      </c>
      <c r="BD353" t="inlineStr">
        <is>
          <t>893329571</t>
        </is>
      </c>
    </row>
    <row r="354">
      <c r="A354" t="inlineStr">
        <is>
          <t>No</t>
        </is>
      </c>
      <c r="B354" t="inlineStr">
        <is>
          <t>ND2757.V35 J3 1990</t>
        </is>
      </c>
      <c r="C354" t="inlineStr">
        <is>
          <t>0                      ND 2757000V  35                 J  3           1990</t>
        </is>
      </c>
      <c r="D354" t="inlineStr">
        <is>
          <t>Sayonara, Michelangelo : the Sistine Chapel restored and repackaged / Waldemar Januszczak.</t>
        </is>
      </c>
      <c r="F354" t="inlineStr">
        <is>
          <t>No</t>
        </is>
      </c>
      <c r="G354" t="inlineStr">
        <is>
          <t>1</t>
        </is>
      </c>
      <c r="H354" t="inlineStr">
        <is>
          <t>No</t>
        </is>
      </c>
      <c r="I354" t="inlineStr">
        <is>
          <t>No</t>
        </is>
      </c>
      <c r="J354" t="inlineStr">
        <is>
          <t>0</t>
        </is>
      </c>
      <c r="K354" t="inlineStr">
        <is>
          <t>Januszczak, Waldemar.</t>
        </is>
      </c>
      <c r="L354" t="inlineStr">
        <is>
          <t>Reading, Mass. : Addison-Wesley, c1990.</t>
        </is>
      </c>
      <c r="M354" t="inlineStr">
        <is>
          <t>1990</t>
        </is>
      </c>
      <c r="O354" t="inlineStr">
        <is>
          <t>eng</t>
        </is>
      </c>
      <c r="P354" t="inlineStr">
        <is>
          <t>mau</t>
        </is>
      </c>
      <c r="R354" t="inlineStr">
        <is>
          <t xml:space="preserve">ND </t>
        </is>
      </c>
      <c r="S354" t="n">
        <v>6</v>
      </c>
      <c r="T354" t="n">
        <v>6</v>
      </c>
      <c r="U354" t="inlineStr">
        <is>
          <t>1994-04-13</t>
        </is>
      </c>
      <c r="V354" t="inlineStr">
        <is>
          <t>1994-04-13</t>
        </is>
      </c>
      <c r="W354" t="inlineStr">
        <is>
          <t>1991-04-04</t>
        </is>
      </c>
      <c r="X354" t="inlineStr">
        <is>
          <t>1991-04-04</t>
        </is>
      </c>
      <c r="Y354" t="n">
        <v>570</v>
      </c>
      <c r="Z354" t="n">
        <v>507</v>
      </c>
      <c r="AA354" t="n">
        <v>525</v>
      </c>
      <c r="AB354" t="n">
        <v>3</v>
      </c>
      <c r="AC354" t="n">
        <v>3</v>
      </c>
      <c r="AD354" t="n">
        <v>17</v>
      </c>
      <c r="AE354" t="n">
        <v>18</v>
      </c>
      <c r="AF354" t="n">
        <v>7</v>
      </c>
      <c r="AG354" t="n">
        <v>7</v>
      </c>
      <c r="AH354" t="n">
        <v>4</v>
      </c>
      <c r="AI354" t="n">
        <v>4</v>
      </c>
      <c r="AJ354" t="n">
        <v>10</v>
      </c>
      <c r="AK354" t="n">
        <v>11</v>
      </c>
      <c r="AL354" t="n">
        <v>2</v>
      </c>
      <c r="AM354" t="n">
        <v>2</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HYPERLINK("https://creighton-primo.hosted.exlibrisgroup.com/primo-explore/search?tab=default_tab&amp;search_scope=EVERYTHING&amp;vid=01CRU&amp;lang=en_US&amp;offset=0&amp;query=any,contains,991001676349702656","Catalog Record")</f>
        <v/>
      </c>
      <c r="AT354">
        <f>HYPERLINK("http://www.worldcat.org/oclc/21331615","WorldCat Record")</f>
        <v/>
      </c>
      <c r="AU354" t="inlineStr">
        <is>
          <t>836723875:eng</t>
        </is>
      </c>
      <c r="AV354" t="inlineStr">
        <is>
          <t>21331615</t>
        </is>
      </c>
      <c r="AW354" t="inlineStr">
        <is>
          <t>991001676349702656</t>
        </is>
      </c>
      <c r="AX354" t="inlineStr">
        <is>
          <t>991001676349702656</t>
        </is>
      </c>
      <c r="AY354" t="inlineStr">
        <is>
          <t>2261709960002656</t>
        </is>
      </c>
      <c r="AZ354" t="inlineStr">
        <is>
          <t>BOOK</t>
        </is>
      </c>
      <c r="BB354" t="inlineStr">
        <is>
          <t>9780201523959</t>
        </is>
      </c>
      <c r="BC354" t="inlineStr">
        <is>
          <t>32285000565449</t>
        </is>
      </c>
      <c r="BD354" t="inlineStr">
        <is>
          <t>893244295</t>
        </is>
      </c>
    </row>
    <row r="355">
      <c r="A355" t="inlineStr">
        <is>
          <t>No</t>
        </is>
      </c>
      <c r="B355" t="inlineStr">
        <is>
          <t>ND282 .B3813 1984</t>
        </is>
      </c>
      <c r="C355" t="inlineStr">
        <is>
          <t>0                      ND 0282000B  3813        1984</t>
        </is>
      </c>
      <c r="D355" t="inlineStr">
        <is>
          <t>The Gospel in art by the peasants of Solentiname / edited by Philip and Sally Scharper.</t>
        </is>
      </c>
      <c r="F355" t="inlineStr">
        <is>
          <t>No</t>
        </is>
      </c>
      <c r="G355" t="inlineStr">
        <is>
          <t>1</t>
        </is>
      </c>
      <c r="H355" t="inlineStr">
        <is>
          <t>No</t>
        </is>
      </c>
      <c r="I355" t="inlineStr">
        <is>
          <t>No</t>
        </is>
      </c>
      <c r="J355" t="inlineStr">
        <is>
          <t>0</t>
        </is>
      </c>
      <c r="K355" t="inlineStr">
        <is>
          <t>Bauern von Solentiname malen das Evangelium. English.</t>
        </is>
      </c>
      <c r="L355" t="inlineStr">
        <is>
          <t>Maryknoll, N.Y. : Orbis Books ; Dublin : Gill and Macmillan, c1984.</t>
        </is>
      </c>
      <c r="M355" t="inlineStr">
        <is>
          <t>1984</t>
        </is>
      </c>
      <c r="O355" t="inlineStr">
        <is>
          <t>eng</t>
        </is>
      </c>
      <c r="P355" t="inlineStr">
        <is>
          <t>nyu</t>
        </is>
      </c>
      <c r="R355" t="inlineStr">
        <is>
          <t xml:space="preserve">ND </t>
        </is>
      </c>
      <c r="S355" t="n">
        <v>19</v>
      </c>
      <c r="T355" t="n">
        <v>19</v>
      </c>
      <c r="U355" t="inlineStr">
        <is>
          <t>2004-11-17</t>
        </is>
      </c>
      <c r="V355" t="inlineStr">
        <is>
          <t>2004-11-17</t>
        </is>
      </c>
      <c r="W355" t="inlineStr">
        <is>
          <t>1992-01-07</t>
        </is>
      </c>
      <c r="X355" t="inlineStr">
        <is>
          <t>1992-01-07</t>
        </is>
      </c>
      <c r="Y355" t="n">
        <v>330</v>
      </c>
      <c r="Z355" t="n">
        <v>277</v>
      </c>
      <c r="AA355" t="n">
        <v>278</v>
      </c>
      <c r="AB355" t="n">
        <v>2</v>
      </c>
      <c r="AC355" t="n">
        <v>2</v>
      </c>
      <c r="AD355" t="n">
        <v>14</v>
      </c>
      <c r="AE355" t="n">
        <v>14</v>
      </c>
      <c r="AF355" t="n">
        <v>3</v>
      </c>
      <c r="AG355" t="n">
        <v>3</v>
      </c>
      <c r="AH355" t="n">
        <v>3</v>
      </c>
      <c r="AI355" t="n">
        <v>3</v>
      </c>
      <c r="AJ355" t="n">
        <v>10</v>
      </c>
      <c r="AK355" t="n">
        <v>10</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HYPERLINK("https://creighton-primo.hosted.exlibrisgroup.com/primo-explore/search?tab=default_tab&amp;search_scope=EVERYTHING&amp;vid=01CRU&amp;lang=en_US&amp;offset=0&amp;query=any,contains,991001215649702656","Catalog Record")</f>
        <v/>
      </c>
      <c r="AT355">
        <f>HYPERLINK("http://www.worldcat.org/oclc/17413771","WorldCat Record")</f>
        <v/>
      </c>
      <c r="AU355" t="inlineStr">
        <is>
          <t>471052364:eng</t>
        </is>
      </c>
      <c r="AV355" t="inlineStr">
        <is>
          <t>17413771</t>
        </is>
      </c>
      <c r="AW355" t="inlineStr">
        <is>
          <t>991001215649702656</t>
        </is>
      </c>
      <c r="AX355" t="inlineStr">
        <is>
          <t>991001215649702656</t>
        </is>
      </c>
      <c r="AY355" t="inlineStr">
        <is>
          <t>2265024110002656</t>
        </is>
      </c>
      <c r="AZ355" t="inlineStr">
        <is>
          <t>BOOK</t>
        </is>
      </c>
      <c r="BB355" t="inlineStr">
        <is>
          <t>9780717113330</t>
        </is>
      </c>
      <c r="BC355" t="inlineStr">
        <is>
          <t>32285000863497</t>
        </is>
      </c>
      <c r="BD355" t="inlineStr">
        <is>
          <t>893340249</t>
        </is>
      </c>
    </row>
    <row r="356">
      <c r="A356" t="inlineStr">
        <is>
          <t>No</t>
        </is>
      </c>
      <c r="B356" t="inlineStr">
        <is>
          <t>ND2827 .S48</t>
        </is>
      </c>
      <c r="C356" t="inlineStr">
        <is>
          <t>0                      ND 2827000S  48</t>
        </is>
      </c>
      <c r="D356" t="inlineStr">
        <is>
          <t>Ajanta; Ajanta painting of the sacred and the secular.</t>
        </is>
      </c>
      <c r="F356" t="inlineStr">
        <is>
          <t>No</t>
        </is>
      </c>
      <c r="G356" t="inlineStr">
        <is>
          <t>1</t>
        </is>
      </c>
      <c r="H356" t="inlineStr">
        <is>
          <t>No</t>
        </is>
      </c>
      <c r="I356" t="inlineStr">
        <is>
          <t>No</t>
        </is>
      </c>
      <c r="J356" t="inlineStr">
        <is>
          <t>0</t>
        </is>
      </c>
      <c r="K356" t="inlineStr">
        <is>
          <t>Singh, Madanjeet.</t>
        </is>
      </c>
      <c r="L356" t="inlineStr">
        <is>
          <t>New York, Macmillan [1965]</t>
        </is>
      </c>
      <c r="M356" t="inlineStr">
        <is>
          <t>1965</t>
        </is>
      </c>
      <c r="O356" t="inlineStr">
        <is>
          <t>eng</t>
        </is>
      </c>
      <c r="P356" t="inlineStr">
        <is>
          <t>nyu</t>
        </is>
      </c>
      <c r="R356" t="inlineStr">
        <is>
          <t xml:space="preserve">ND </t>
        </is>
      </c>
      <c r="S356" t="n">
        <v>1</v>
      </c>
      <c r="T356" t="n">
        <v>1</v>
      </c>
      <c r="U356" t="inlineStr">
        <is>
          <t>2009-10-30</t>
        </is>
      </c>
      <c r="V356" t="inlineStr">
        <is>
          <t>2009-10-30</t>
        </is>
      </c>
      <c r="W356" t="inlineStr">
        <is>
          <t>1997-08-06</t>
        </is>
      </c>
      <c r="X356" t="inlineStr">
        <is>
          <t>1997-08-06</t>
        </is>
      </c>
      <c r="Y356" t="n">
        <v>499</v>
      </c>
      <c r="Z356" t="n">
        <v>451</v>
      </c>
      <c r="AA356" t="n">
        <v>558</v>
      </c>
      <c r="AB356" t="n">
        <v>5</v>
      </c>
      <c r="AC356" t="n">
        <v>5</v>
      </c>
      <c r="AD356" t="n">
        <v>15</v>
      </c>
      <c r="AE356" t="n">
        <v>19</v>
      </c>
      <c r="AF356" t="n">
        <v>3</v>
      </c>
      <c r="AG356" t="n">
        <v>4</v>
      </c>
      <c r="AH356" t="n">
        <v>1</v>
      </c>
      <c r="AI356" t="n">
        <v>3</v>
      </c>
      <c r="AJ356" t="n">
        <v>11</v>
      </c>
      <c r="AK356" t="n">
        <v>12</v>
      </c>
      <c r="AL356" t="n">
        <v>2</v>
      </c>
      <c r="AM356" t="n">
        <v>2</v>
      </c>
      <c r="AN356" t="n">
        <v>0</v>
      </c>
      <c r="AO356" t="n">
        <v>0</v>
      </c>
      <c r="AP356" t="inlineStr">
        <is>
          <t>No</t>
        </is>
      </c>
      <c r="AQ356" t="inlineStr">
        <is>
          <t>Yes</t>
        </is>
      </c>
      <c r="AR356">
        <f>HYPERLINK("http://catalog.hathitrust.org/Record/000002679","HathiTrust Record")</f>
        <v/>
      </c>
      <c r="AS356">
        <f>HYPERLINK("https://creighton-primo.hosted.exlibrisgroup.com/primo-explore/search?tab=default_tab&amp;search_scope=EVERYTHING&amp;vid=01CRU&amp;lang=en_US&amp;offset=0&amp;query=any,contains,991001088469702656","Catalog Record")</f>
        <v/>
      </c>
      <c r="AT356">
        <f>HYPERLINK("http://www.worldcat.org/oclc/181085","WorldCat Record")</f>
        <v/>
      </c>
      <c r="AU356" t="inlineStr">
        <is>
          <t>1323167:eng</t>
        </is>
      </c>
      <c r="AV356" t="inlineStr">
        <is>
          <t>181085</t>
        </is>
      </c>
      <c r="AW356" t="inlineStr">
        <is>
          <t>991001088469702656</t>
        </is>
      </c>
      <c r="AX356" t="inlineStr">
        <is>
          <t>991001088469702656</t>
        </is>
      </c>
      <c r="AY356" t="inlineStr">
        <is>
          <t>2272672800002656</t>
        </is>
      </c>
      <c r="AZ356" t="inlineStr">
        <is>
          <t>BOOK</t>
        </is>
      </c>
      <c r="BC356" t="inlineStr">
        <is>
          <t>32285003045969</t>
        </is>
      </c>
      <c r="BD356" t="inlineStr">
        <is>
          <t>893778546</t>
        </is>
      </c>
    </row>
    <row r="357">
      <c r="A357" t="inlineStr">
        <is>
          <t>No</t>
        </is>
      </c>
      <c r="B357" t="inlineStr">
        <is>
          <t>ND2849.D86 F73 2004</t>
        </is>
      </c>
      <c r="C357" t="inlineStr">
        <is>
          <t>0                      ND 2849000D  86                 F  73          2004</t>
        </is>
      </c>
      <c r="D357" t="inlineStr">
        <is>
          <t>Performing the visual : the practice of Buddhist wall painting in China and Central Asia, 618-960 / Sarah E. Fraser.</t>
        </is>
      </c>
      <c r="F357" t="inlineStr">
        <is>
          <t>No</t>
        </is>
      </c>
      <c r="G357" t="inlineStr">
        <is>
          <t>1</t>
        </is>
      </c>
      <c r="H357" t="inlineStr">
        <is>
          <t>No</t>
        </is>
      </c>
      <c r="I357" t="inlineStr">
        <is>
          <t>No</t>
        </is>
      </c>
      <c r="J357" t="inlineStr">
        <is>
          <t>0</t>
        </is>
      </c>
      <c r="K357" t="inlineStr">
        <is>
          <t>Fraser, Sarah Elizabeth.</t>
        </is>
      </c>
      <c r="L357" t="inlineStr">
        <is>
          <t>Stanford, Calif. : Stanford University Press, 2004.</t>
        </is>
      </c>
      <c r="M357" t="inlineStr">
        <is>
          <t>2004</t>
        </is>
      </c>
      <c r="O357" t="inlineStr">
        <is>
          <t>eng</t>
        </is>
      </c>
      <c r="P357" t="inlineStr">
        <is>
          <t>cau</t>
        </is>
      </c>
      <c r="R357" t="inlineStr">
        <is>
          <t xml:space="preserve">ND </t>
        </is>
      </c>
      <c r="S357" t="n">
        <v>2</v>
      </c>
      <c r="T357" t="n">
        <v>2</v>
      </c>
      <c r="U357" t="inlineStr">
        <is>
          <t>2005-03-31</t>
        </is>
      </c>
      <c r="V357" t="inlineStr">
        <is>
          <t>2005-03-31</t>
        </is>
      </c>
      <c r="W357" t="inlineStr">
        <is>
          <t>2004-11-15</t>
        </is>
      </c>
      <c r="X357" t="inlineStr">
        <is>
          <t>2004-11-15</t>
        </is>
      </c>
      <c r="Y357" t="n">
        <v>514</v>
      </c>
      <c r="Z357" t="n">
        <v>441</v>
      </c>
      <c r="AA357" t="n">
        <v>442</v>
      </c>
      <c r="AB357" t="n">
        <v>4</v>
      </c>
      <c r="AC357" t="n">
        <v>4</v>
      </c>
      <c r="AD357" t="n">
        <v>22</v>
      </c>
      <c r="AE357" t="n">
        <v>22</v>
      </c>
      <c r="AF357" t="n">
        <v>12</v>
      </c>
      <c r="AG357" t="n">
        <v>12</v>
      </c>
      <c r="AH357" t="n">
        <v>4</v>
      </c>
      <c r="AI357" t="n">
        <v>4</v>
      </c>
      <c r="AJ357" t="n">
        <v>10</v>
      </c>
      <c r="AK357" t="n">
        <v>10</v>
      </c>
      <c r="AL357" t="n">
        <v>3</v>
      </c>
      <c r="AM357" t="n">
        <v>3</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HYPERLINK("https://creighton-primo.hosted.exlibrisgroup.com/primo-explore/search?tab=default_tab&amp;search_scope=EVERYTHING&amp;vid=01CRU&amp;lang=en_US&amp;offset=0&amp;query=any,contains,991004387019702656","Catalog Record")</f>
        <v/>
      </c>
      <c r="AT357">
        <f>HYPERLINK("http://www.worldcat.org/oclc/52214635","WorldCat Record")</f>
        <v/>
      </c>
      <c r="AU357" t="inlineStr">
        <is>
          <t>839003002:eng</t>
        </is>
      </c>
      <c r="AV357" t="inlineStr">
        <is>
          <t>52214635</t>
        </is>
      </c>
      <c r="AW357" t="inlineStr">
        <is>
          <t>991004387019702656</t>
        </is>
      </c>
      <c r="AX357" t="inlineStr">
        <is>
          <t>991004387019702656</t>
        </is>
      </c>
      <c r="AY357" t="inlineStr">
        <is>
          <t>2269570540002656</t>
        </is>
      </c>
      <c r="AZ357" t="inlineStr">
        <is>
          <t>BOOK</t>
        </is>
      </c>
      <c r="BB357" t="inlineStr">
        <is>
          <t>9780804745338</t>
        </is>
      </c>
      <c r="BC357" t="inlineStr">
        <is>
          <t>32285005010086</t>
        </is>
      </c>
      <c r="BD357" t="inlineStr">
        <is>
          <t>893876039</t>
        </is>
      </c>
    </row>
    <row r="358">
      <c r="A358" t="inlineStr">
        <is>
          <t>No</t>
        </is>
      </c>
      <c r="B358" t="inlineStr">
        <is>
          <t>ND2880 .C6613 2000</t>
        </is>
      </c>
      <c r="C358" t="inlineStr">
        <is>
          <t>0                      ND 2880000C  6613        2000</t>
        </is>
      </c>
      <c r="D358" t="inlineStr">
        <is>
          <t>The painted panorama / Bernard Comment ; [translated from the French by Anne-Marie Glasheen].</t>
        </is>
      </c>
      <c r="F358" t="inlineStr">
        <is>
          <t>No</t>
        </is>
      </c>
      <c r="G358" t="inlineStr">
        <is>
          <t>1</t>
        </is>
      </c>
      <c r="H358" t="inlineStr">
        <is>
          <t>No</t>
        </is>
      </c>
      <c r="I358" t="inlineStr">
        <is>
          <t>No</t>
        </is>
      </c>
      <c r="J358" t="inlineStr">
        <is>
          <t>0</t>
        </is>
      </c>
      <c r="K358" t="inlineStr">
        <is>
          <t>Comment, Bernard, 1960-</t>
        </is>
      </c>
      <c r="L358" t="inlineStr">
        <is>
          <t>New York : H.N. Abrams, 2000.</t>
        </is>
      </c>
      <c r="M358" t="inlineStr">
        <is>
          <t>2000</t>
        </is>
      </c>
      <c r="N358" t="inlineStr">
        <is>
          <t>Rev. expanded ed.</t>
        </is>
      </c>
      <c r="O358" t="inlineStr">
        <is>
          <t>eng</t>
        </is>
      </c>
      <c r="P358" t="inlineStr">
        <is>
          <t>nyu</t>
        </is>
      </c>
      <c r="R358" t="inlineStr">
        <is>
          <t xml:space="preserve">ND </t>
        </is>
      </c>
      <c r="S358" t="n">
        <v>1</v>
      </c>
      <c r="T358" t="n">
        <v>1</v>
      </c>
      <c r="U358" t="inlineStr">
        <is>
          <t>2004-07-12</t>
        </is>
      </c>
      <c r="V358" t="inlineStr">
        <is>
          <t>2004-07-12</t>
        </is>
      </c>
      <c r="W358" t="inlineStr">
        <is>
          <t>2004-07-12</t>
        </is>
      </c>
      <c r="X358" t="inlineStr">
        <is>
          <t>2004-07-12</t>
        </is>
      </c>
      <c r="Y358" t="n">
        <v>459</v>
      </c>
      <c r="Z358" t="n">
        <v>410</v>
      </c>
      <c r="AA358" t="n">
        <v>418</v>
      </c>
      <c r="AB358" t="n">
        <v>2</v>
      </c>
      <c r="AC358" t="n">
        <v>2</v>
      </c>
      <c r="AD358" t="n">
        <v>11</v>
      </c>
      <c r="AE358" t="n">
        <v>11</v>
      </c>
      <c r="AF358" t="n">
        <v>3</v>
      </c>
      <c r="AG358" t="n">
        <v>3</v>
      </c>
      <c r="AH358" t="n">
        <v>3</v>
      </c>
      <c r="AI358" t="n">
        <v>3</v>
      </c>
      <c r="AJ358" t="n">
        <v>7</v>
      </c>
      <c r="AK358" t="n">
        <v>7</v>
      </c>
      <c r="AL358" t="n">
        <v>1</v>
      </c>
      <c r="AM358" t="n">
        <v>1</v>
      </c>
      <c r="AN358" t="n">
        <v>0</v>
      </c>
      <c r="AO358" t="n">
        <v>0</v>
      </c>
      <c r="AP358" t="inlineStr">
        <is>
          <t>No</t>
        </is>
      </c>
      <c r="AQ358" t="inlineStr">
        <is>
          <t>Yes</t>
        </is>
      </c>
      <c r="AR358">
        <f>HYPERLINK("http://catalog.hathitrust.org/Record/004114925","HathiTrust Record")</f>
        <v/>
      </c>
      <c r="AS358">
        <f>HYPERLINK("https://creighton-primo.hosted.exlibrisgroup.com/primo-explore/search?tab=default_tab&amp;search_scope=EVERYTHING&amp;vid=01CRU&amp;lang=en_US&amp;offset=0&amp;query=any,contains,991004318629702656","Catalog Record")</f>
        <v/>
      </c>
      <c r="AT358">
        <f>HYPERLINK("http://www.worldcat.org/oclc/43868010","WorldCat Record")</f>
        <v/>
      </c>
      <c r="AU358" t="inlineStr">
        <is>
          <t>10596309549:eng</t>
        </is>
      </c>
      <c r="AV358" t="inlineStr">
        <is>
          <t>43868010</t>
        </is>
      </c>
      <c r="AW358" t="inlineStr">
        <is>
          <t>991004318629702656</t>
        </is>
      </c>
      <c r="AX358" t="inlineStr">
        <is>
          <t>991004318629702656</t>
        </is>
      </c>
      <c r="AY358" t="inlineStr">
        <is>
          <t>2267528850002656</t>
        </is>
      </c>
      <c r="AZ358" t="inlineStr">
        <is>
          <t>BOOK</t>
        </is>
      </c>
      <c r="BB358" t="inlineStr">
        <is>
          <t>9780810943650</t>
        </is>
      </c>
      <c r="BC358" t="inlineStr">
        <is>
          <t>32285004923123</t>
        </is>
      </c>
      <c r="BD358" t="inlineStr">
        <is>
          <t>893423654</t>
        </is>
      </c>
    </row>
    <row r="359">
      <c r="A359" t="inlineStr">
        <is>
          <t>No</t>
        </is>
      </c>
      <c r="B359" t="inlineStr">
        <is>
          <t>ND2885 .C6413</t>
        </is>
      </c>
      <c r="C359" t="inlineStr">
        <is>
          <t>0                      ND 2885000C  6413</t>
        </is>
      </c>
      <c r="D359" t="inlineStr">
        <is>
          <t>Picasso theatre.</t>
        </is>
      </c>
      <c r="F359" t="inlineStr">
        <is>
          <t>No</t>
        </is>
      </c>
      <c r="G359" t="inlineStr">
        <is>
          <t>1</t>
        </is>
      </c>
      <c r="H359" t="inlineStr">
        <is>
          <t>No</t>
        </is>
      </c>
      <c r="I359" t="inlineStr">
        <is>
          <t>No</t>
        </is>
      </c>
      <c r="J359" t="inlineStr">
        <is>
          <t>0</t>
        </is>
      </c>
      <c r="K359" t="inlineStr">
        <is>
          <t>Cooper, Douglas, 1911-1984.</t>
        </is>
      </c>
      <c r="L359" t="inlineStr">
        <is>
          <t>New York : H. N. Abrams, [1968]</t>
        </is>
      </c>
      <c r="M359" t="inlineStr">
        <is>
          <t>1968</t>
        </is>
      </c>
      <c r="O359" t="inlineStr">
        <is>
          <t>eng</t>
        </is>
      </c>
      <c r="P359" t="inlineStr">
        <is>
          <t>nyu</t>
        </is>
      </c>
      <c r="R359" t="inlineStr">
        <is>
          <t xml:space="preserve">ND </t>
        </is>
      </c>
      <c r="S359" t="n">
        <v>7</v>
      </c>
      <c r="T359" t="n">
        <v>7</v>
      </c>
      <c r="U359" t="inlineStr">
        <is>
          <t>2002-04-20</t>
        </is>
      </c>
      <c r="V359" t="inlineStr">
        <is>
          <t>2002-04-20</t>
        </is>
      </c>
      <c r="W359" t="inlineStr">
        <is>
          <t>1993-05-12</t>
        </is>
      </c>
      <c r="X359" t="inlineStr">
        <is>
          <t>1993-05-12</t>
        </is>
      </c>
      <c r="Y359" t="n">
        <v>617</v>
      </c>
      <c r="Z359" t="n">
        <v>577</v>
      </c>
      <c r="AA359" t="n">
        <v>733</v>
      </c>
      <c r="AB359" t="n">
        <v>5</v>
      </c>
      <c r="AC359" t="n">
        <v>6</v>
      </c>
      <c r="AD359" t="n">
        <v>26</v>
      </c>
      <c r="AE359" t="n">
        <v>31</v>
      </c>
      <c r="AF359" t="n">
        <v>13</v>
      </c>
      <c r="AG359" t="n">
        <v>15</v>
      </c>
      <c r="AH359" t="n">
        <v>3</v>
      </c>
      <c r="AI359" t="n">
        <v>6</v>
      </c>
      <c r="AJ359" t="n">
        <v>11</v>
      </c>
      <c r="AK359" t="n">
        <v>13</v>
      </c>
      <c r="AL359" t="n">
        <v>3</v>
      </c>
      <c r="AM359" t="n">
        <v>3</v>
      </c>
      <c r="AN359" t="n">
        <v>0</v>
      </c>
      <c r="AO359" t="n">
        <v>0</v>
      </c>
      <c r="AP359" t="inlineStr">
        <is>
          <t>No</t>
        </is>
      </c>
      <c r="AQ359" t="inlineStr">
        <is>
          <t>Yes</t>
        </is>
      </c>
      <c r="AR359">
        <f>HYPERLINK("http://catalog.hathitrust.org/Record/000377795","HathiTrust Record")</f>
        <v/>
      </c>
      <c r="AS359">
        <f>HYPERLINK("https://creighton-primo.hosted.exlibrisgroup.com/primo-explore/search?tab=default_tab&amp;search_scope=EVERYTHING&amp;vid=01CRU&amp;lang=en_US&amp;offset=0&amp;query=any,contains,991002781109702656","Catalog Record")</f>
        <v/>
      </c>
      <c r="AT359">
        <f>HYPERLINK("http://www.worldcat.org/oclc/440272","WorldCat Record")</f>
        <v/>
      </c>
      <c r="AU359" t="inlineStr">
        <is>
          <t>1388833:eng</t>
        </is>
      </c>
      <c r="AV359" t="inlineStr">
        <is>
          <t>440272</t>
        </is>
      </c>
      <c r="AW359" t="inlineStr">
        <is>
          <t>991002781109702656</t>
        </is>
      </c>
      <c r="AX359" t="inlineStr">
        <is>
          <t>991002781109702656</t>
        </is>
      </c>
      <c r="AY359" t="inlineStr">
        <is>
          <t>2256997020002656</t>
        </is>
      </c>
      <c r="AZ359" t="inlineStr">
        <is>
          <t>BOOK</t>
        </is>
      </c>
      <c r="BC359" t="inlineStr">
        <is>
          <t>32285001582393</t>
        </is>
      </c>
      <c r="BD359" t="inlineStr">
        <is>
          <t>893440515</t>
        </is>
      </c>
    </row>
    <row r="360">
      <c r="A360" t="inlineStr">
        <is>
          <t>No</t>
        </is>
      </c>
      <c r="B360" t="inlineStr">
        <is>
          <t>ND2885 .P6 1980</t>
        </is>
      </c>
      <c r="C360" t="inlineStr">
        <is>
          <t>0                      ND 2885000P  6           1980</t>
        </is>
      </c>
      <c r="D360" t="inlineStr">
        <is>
          <t>The continental method of scene painting / by Vladimir Polunin ; edited by Cyril W. Beaumont.</t>
        </is>
      </c>
      <c r="F360" t="inlineStr">
        <is>
          <t>No</t>
        </is>
      </c>
      <c r="G360" t="inlineStr">
        <is>
          <t>1</t>
        </is>
      </c>
      <c r="H360" t="inlineStr">
        <is>
          <t>No</t>
        </is>
      </c>
      <c r="I360" t="inlineStr">
        <is>
          <t>No</t>
        </is>
      </c>
      <c r="J360" t="inlineStr">
        <is>
          <t>0</t>
        </is>
      </c>
      <c r="K360" t="inlineStr">
        <is>
          <t>Polunin, Vladimir.</t>
        </is>
      </c>
      <c r="L360" t="inlineStr">
        <is>
          <t>London : Dance Books, 1980.</t>
        </is>
      </c>
      <c r="M360" t="inlineStr">
        <is>
          <t>1980</t>
        </is>
      </c>
      <c r="O360" t="inlineStr">
        <is>
          <t>eng</t>
        </is>
      </c>
      <c r="P360" t="inlineStr">
        <is>
          <t>enk</t>
        </is>
      </c>
      <c r="R360" t="inlineStr">
        <is>
          <t xml:space="preserve">ND </t>
        </is>
      </c>
      <c r="S360" t="n">
        <v>1</v>
      </c>
      <c r="T360" t="n">
        <v>1</v>
      </c>
      <c r="U360" t="inlineStr">
        <is>
          <t>2004-02-12</t>
        </is>
      </c>
      <c r="V360" t="inlineStr">
        <is>
          <t>2004-02-12</t>
        </is>
      </c>
      <c r="W360" t="inlineStr">
        <is>
          <t>2004-02-12</t>
        </is>
      </c>
      <c r="X360" t="inlineStr">
        <is>
          <t>2004-02-12</t>
        </is>
      </c>
      <c r="Y360" t="n">
        <v>88</v>
      </c>
      <c r="Z360" t="n">
        <v>79</v>
      </c>
      <c r="AA360" t="n">
        <v>261</v>
      </c>
      <c r="AB360" t="n">
        <v>1</v>
      </c>
      <c r="AC360" t="n">
        <v>3</v>
      </c>
      <c r="AD360" t="n">
        <v>1</v>
      </c>
      <c r="AE360" t="n">
        <v>8</v>
      </c>
      <c r="AF360" t="n">
        <v>1</v>
      </c>
      <c r="AG360" t="n">
        <v>5</v>
      </c>
      <c r="AH360" t="n">
        <v>0</v>
      </c>
      <c r="AI360" t="n">
        <v>1</v>
      </c>
      <c r="AJ360" t="n">
        <v>0</v>
      </c>
      <c r="AK360" t="n">
        <v>2</v>
      </c>
      <c r="AL360" t="n">
        <v>0</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HYPERLINK("https://creighton-primo.hosted.exlibrisgroup.com/primo-explore/search?tab=default_tab&amp;search_scope=EVERYTHING&amp;vid=01CRU&amp;lang=en_US&amp;offset=0&amp;query=any,contains,991004235289702656","Catalog Record")</f>
        <v/>
      </c>
      <c r="AT360">
        <f>HYPERLINK("http://www.worldcat.org/oclc/7918275","WorldCat Record")</f>
        <v/>
      </c>
      <c r="AU360" t="inlineStr">
        <is>
          <t>555539:eng</t>
        </is>
      </c>
      <c r="AV360" t="inlineStr">
        <is>
          <t>7918275</t>
        </is>
      </c>
      <c r="AW360" t="inlineStr">
        <is>
          <t>991004235289702656</t>
        </is>
      </c>
      <c r="AX360" t="inlineStr">
        <is>
          <t>991004235289702656</t>
        </is>
      </c>
      <c r="AY360" t="inlineStr">
        <is>
          <t>2266034300002656</t>
        </is>
      </c>
      <c r="AZ360" t="inlineStr">
        <is>
          <t>BOOK</t>
        </is>
      </c>
      <c r="BB360" t="inlineStr">
        <is>
          <t>9780903102575</t>
        </is>
      </c>
      <c r="BC360" t="inlineStr">
        <is>
          <t>32285004638234</t>
        </is>
      </c>
      <c r="BD360" t="inlineStr">
        <is>
          <t>893869465</t>
        </is>
      </c>
    </row>
    <row r="361">
      <c r="A361" t="inlineStr">
        <is>
          <t>No</t>
        </is>
      </c>
      <c r="B361" t="inlineStr">
        <is>
          <t>ND2898.B7 A5</t>
        </is>
      </c>
      <c r="C361" t="inlineStr">
        <is>
          <t>0                      ND 2898000B  7                  A  5</t>
        </is>
      </c>
      <c r="D361" t="inlineStr">
        <is>
          <t>Medieval miniatures from the Department of Manuscripts : (formerly the "Library of Burgundy") the Royal Library of Belgium / commentaries by L.M.J. Delaissé. Foreword by H. Liebaers; introd. by F. Masai.</t>
        </is>
      </c>
      <c r="F361" t="inlineStr">
        <is>
          <t>No</t>
        </is>
      </c>
      <c r="G361" t="inlineStr">
        <is>
          <t>1</t>
        </is>
      </c>
      <c r="H361" t="inlineStr">
        <is>
          <t>No</t>
        </is>
      </c>
      <c r="I361" t="inlineStr">
        <is>
          <t>No</t>
        </is>
      </c>
      <c r="J361" t="inlineStr">
        <is>
          <t>0</t>
        </is>
      </c>
      <c r="K361" t="inlineStr">
        <is>
          <t>Bibliothèque royale de Belgique. Section des manuscrits.</t>
        </is>
      </c>
      <c r="L361" t="inlineStr">
        <is>
          <t>New York : H.N. Abrams, [1965]</t>
        </is>
      </c>
      <c r="M361" t="inlineStr">
        <is>
          <t>1965</t>
        </is>
      </c>
      <c r="O361" t="inlineStr">
        <is>
          <t>eng</t>
        </is>
      </c>
      <c r="P361" t="inlineStr">
        <is>
          <t>nyu</t>
        </is>
      </c>
      <c r="R361" t="inlineStr">
        <is>
          <t xml:space="preserve">ND </t>
        </is>
      </c>
      <c r="S361" t="n">
        <v>7</v>
      </c>
      <c r="T361" t="n">
        <v>7</v>
      </c>
      <c r="U361" t="inlineStr">
        <is>
          <t>1999-04-11</t>
        </is>
      </c>
      <c r="V361" t="inlineStr">
        <is>
          <t>1999-04-11</t>
        </is>
      </c>
      <c r="W361" t="inlineStr">
        <is>
          <t>1993-02-03</t>
        </is>
      </c>
      <c r="X361" t="inlineStr">
        <is>
          <t>1993-02-03</t>
        </is>
      </c>
      <c r="Y361" t="n">
        <v>312</v>
      </c>
      <c r="Z361" t="n">
        <v>287</v>
      </c>
      <c r="AA361" t="n">
        <v>311</v>
      </c>
      <c r="AB361" t="n">
        <v>2</v>
      </c>
      <c r="AC361" t="n">
        <v>2</v>
      </c>
      <c r="AD361" t="n">
        <v>8</v>
      </c>
      <c r="AE361" t="n">
        <v>9</v>
      </c>
      <c r="AF361" t="n">
        <v>2</v>
      </c>
      <c r="AG361" t="n">
        <v>2</v>
      </c>
      <c r="AH361" t="n">
        <v>2</v>
      </c>
      <c r="AI361" t="n">
        <v>2</v>
      </c>
      <c r="AJ361" t="n">
        <v>4</v>
      </c>
      <c r="AK361" t="n">
        <v>5</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HYPERLINK("https://creighton-primo.hosted.exlibrisgroup.com/primo-explore/search?tab=default_tab&amp;search_scope=EVERYTHING&amp;vid=01CRU&amp;lang=en_US&amp;offset=0&amp;query=any,contains,991001094289702656","Catalog Record")</f>
        <v/>
      </c>
      <c r="AT361">
        <f>HYPERLINK("http://www.worldcat.org/oclc/182418","WorldCat Record")</f>
        <v/>
      </c>
      <c r="AU361" t="inlineStr">
        <is>
          <t>11533698:eng</t>
        </is>
      </c>
      <c r="AV361" t="inlineStr">
        <is>
          <t>182418</t>
        </is>
      </c>
      <c r="AW361" t="inlineStr">
        <is>
          <t>991001094289702656</t>
        </is>
      </c>
      <c r="AX361" t="inlineStr">
        <is>
          <t>991001094289702656</t>
        </is>
      </c>
      <c r="AY361" t="inlineStr">
        <is>
          <t>2271332560002656</t>
        </is>
      </c>
      <c r="AZ361" t="inlineStr">
        <is>
          <t>BOOK</t>
        </is>
      </c>
      <c r="BC361" t="inlineStr">
        <is>
          <t>32285001481869</t>
        </is>
      </c>
      <c r="BD361" t="inlineStr">
        <is>
          <t>893243855</t>
        </is>
      </c>
    </row>
    <row r="362">
      <c r="A362" t="inlineStr">
        <is>
          <t>No</t>
        </is>
      </c>
      <c r="B362" t="inlineStr">
        <is>
          <t>ND2900 .R63</t>
        </is>
      </c>
      <c r="C362" t="inlineStr">
        <is>
          <t>0                      ND 2900000R  63</t>
        </is>
      </c>
      <c r="D362" t="inlineStr">
        <is>
          <t>The art of the illuminated manuscript / [by] David M. Robb.</t>
        </is>
      </c>
      <c r="F362" t="inlineStr">
        <is>
          <t>No</t>
        </is>
      </c>
      <c r="G362" t="inlineStr">
        <is>
          <t>1</t>
        </is>
      </c>
      <c r="H362" t="inlineStr">
        <is>
          <t>No</t>
        </is>
      </c>
      <c r="I362" t="inlineStr">
        <is>
          <t>No</t>
        </is>
      </c>
      <c r="J362" t="inlineStr">
        <is>
          <t>0</t>
        </is>
      </c>
      <c r="K362" t="inlineStr">
        <is>
          <t>Robb, David M. (David Metheny), 1903-1990.</t>
        </is>
      </c>
      <c r="L362" t="inlineStr">
        <is>
          <t>[Philadelphia] : Philadelphia Art Alliance, [1973]</t>
        </is>
      </c>
      <c r="M362" t="inlineStr">
        <is>
          <t>1973</t>
        </is>
      </c>
      <c r="O362" t="inlineStr">
        <is>
          <t>eng</t>
        </is>
      </c>
      <c r="P362" t="inlineStr">
        <is>
          <t>pau</t>
        </is>
      </c>
      <c r="R362" t="inlineStr">
        <is>
          <t xml:space="preserve">ND </t>
        </is>
      </c>
      <c r="S362" t="n">
        <v>8</v>
      </c>
      <c r="T362" t="n">
        <v>8</v>
      </c>
      <c r="U362" t="inlineStr">
        <is>
          <t>2010-08-11</t>
        </is>
      </c>
      <c r="V362" t="inlineStr">
        <is>
          <t>2010-08-11</t>
        </is>
      </c>
      <c r="W362" t="inlineStr">
        <is>
          <t>1992-02-12</t>
        </is>
      </c>
      <c r="X362" t="inlineStr">
        <is>
          <t>1992-02-12</t>
        </is>
      </c>
      <c r="Y362" t="n">
        <v>395</v>
      </c>
      <c r="Z362" t="n">
        <v>355</v>
      </c>
      <c r="AA362" t="n">
        <v>695</v>
      </c>
      <c r="AB362" t="n">
        <v>2</v>
      </c>
      <c r="AC362" t="n">
        <v>3</v>
      </c>
      <c r="AD362" t="n">
        <v>15</v>
      </c>
      <c r="AE362" t="n">
        <v>28</v>
      </c>
      <c r="AF362" t="n">
        <v>4</v>
      </c>
      <c r="AG362" t="n">
        <v>9</v>
      </c>
      <c r="AH362" t="n">
        <v>5</v>
      </c>
      <c r="AI362" t="n">
        <v>8</v>
      </c>
      <c r="AJ362" t="n">
        <v>7</v>
      </c>
      <c r="AK362" t="n">
        <v>15</v>
      </c>
      <c r="AL362" t="n">
        <v>1</v>
      </c>
      <c r="AM362" t="n">
        <v>2</v>
      </c>
      <c r="AN362" t="n">
        <v>0</v>
      </c>
      <c r="AO362" t="n">
        <v>0</v>
      </c>
      <c r="AP362" t="inlineStr">
        <is>
          <t>No</t>
        </is>
      </c>
      <c r="AQ362" t="inlineStr">
        <is>
          <t>Yes</t>
        </is>
      </c>
      <c r="AR362">
        <f>HYPERLINK("http://catalog.hathitrust.org/Record/008232187","HathiTrust Record")</f>
        <v/>
      </c>
      <c r="AS362">
        <f>HYPERLINK("https://creighton-primo.hosted.exlibrisgroup.com/primo-explore/search?tab=default_tab&amp;search_scope=EVERYTHING&amp;vid=01CRU&amp;lang=en_US&amp;offset=0&amp;query=any,contains,991002667829702656","Catalog Record")</f>
        <v/>
      </c>
      <c r="AT362">
        <f>HYPERLINK("http://www.worldcat.org/oclc/394118","WorldCat Record")</f>
        <v/>
      </c>
      <c r="AU362" t="inlineStr">
        <is>
          <t>312743942:eng</t>
        </is>
      </c>
      <c r="AV362" t="inlineStr">
        <is>
          <t>394118</t>
        </is>
      </c>
      <c r="AW362" t="inlineStr">
        <is>
          <t>991002667829702656</t>
        </is>
      </c>
      <c r="AX362" t="inlineStr">
        <is>
          <t>991002667829702656</t>
        </is>
      </c>
      <c r="AY362" t="inlineStr">
        <is>
          <t>2260095880002656</t>
        </is>
      </c>
      <c r="AZ362" t="inlineStr">
        <is>
          <t>BOOK</t>
        </is>
      </c>
      <c r="BB362" t="inlineStr">
        <is>
          <t>9780879820015</t>
        </is>
      </c>
      <c r="BC362" t="inlineStr">
        <is>
          <t>32285000970243</t>
        </is>
      </c>
      <c r="BD362" t="inlineStr">
        <is>
          <t>893329383</t>
        </is>
      </c>
    </row>
    <row r="363">
      <c r="A363" t="inlineStr">
        <is>
          <t>No</t>
        </is>
      </c>
      <c r="B363" t="inlineStr">
        <is>
          <t>ND2920 .C28 1983</t>
        </is>
      </c>
      <c r="C363" t="inlineStr">
        <is>
          <t>0                      ND 2920000C  28          1983</t>
        </is>
      </c>
      <c r="D363" t="inlineStr">
        <is>
          <t>Illuminated books of the Middle Ages / Robert G. Calkins.</t>
        </is>
      </c>
      <c r="F363" t="inlineStr">
        <is>
          <t>No</t>
        </is>
      </c>
      <c r="G363" t="inlineStr">
        <is>
          <t>1</t>
        </is>
      </c>
      <c r="H363" t="inlineStr">
        <is>
          <t>No</t>
        </is>
      </c>
      <c r="I363" t="inlineStr">
        <is>
          <t>No</t>
        </is>
      </c>
      <c r="J363" t="inlineStr">
        <is>
          <t>0</t>
        </is>
      </c>
      <c r="K363" t="inlineStr">
        <is>
          <t>Calkins, Robert G.</t>
        </is>
      </c>
      <c r="L363" t="inlineStr">
        <is>
          <t>Ithaca, N.Y. : Cornell University Press, 1983.</t>
        </is>
      </c>
      <c r="M363" t="inlineStr">
        <is>
          <t>1983</t>
        </is>
      </c>
      <c r="O363" t="inlineStr">
        <is>
          <t>eng</t>
        </is>
      </c>
      <c r="P363" t="inlineStr">
        <is>
          <t>nyu</t>
        </is>
      </c>
      <c r="R363" t="inlineStr">
        <is>
          <t xml:space="preserve">ND </t>
        </is>
      </c>
      <c r="S363" t="n">
        <v>9</v>
      </c>
      <c r="T363" t="n">
        <v>9</v>
      </c>
      <c r="U363" t="inlineStr">
        <is>
          <t>2010-08-11</t>
        </is>
      </c>
      <c r="V363" t="inlineStr">
        <is>
          <t>2010-08-11</t>
        </is>
      </c>
      <c r="W363" t="inlineStr">
        <is>
          <t>1992-02-11</t>
        </is>
      </c>
      <c r="X363" t="inlineStr">
        <is>
          <t>1992-02-11</t>
        </is>
      </c>
      <c r="Y363" t="n">
        <v>889</v>
      </c>
      <c r="Z363" t="n">
        <v>794</v>
      </c>
      <c r="AA363" t="n">
        <v>809</v>
      </c>
      <c r="AB363" t="n">
        <v>7</v>
      </c>
      <c r="AC363" t="n">
        <v>7</v>
      </c>
      <c r="AD363" t="n">
        <v>37</v>
      </c>
      <c r="AE363" t="n">
        <v>40</v>
      </c>
      <c r="AF363" t="n">
        <v>17</v>
      </c>
      <c r="AG363" t="n">
        <v>20</v>
      </c>
      <c r="AH363" t="n">
        <v>8</v>
      </c>
      <c r="AI363" t="n">
        <v>8</v>
      </c>
      <c r="AJ363" t="n">
        <v>17</v>
      </c>
      <c r="AK363" t="n">
        <v>18</v>
      </c>
      <c r="AL363" t="n">
        <v>5</v>
      </c>
      <c r="AM363" t="n">
        <v>5</v>
      </c>
      <c r="AN363" t="n">
        <v>0</v>
      </c>
      <c r="AO363" t="n">
        <v>0</v>
      </c>
      <c r="AP363" t="inlineStr">
        <is>
          <t>No</t>
        </is>
      </c>
      <c r="AQ363" t="inlineStr">
        <is>
          <t>Yes</t>
        </is>
      </c>
      <c r="AR363">
        <f>HYPERLINK("http://catalog.hathitrust.org/Record/000317035","HathiTrust Record")</f>
        <v/>
      </c>
      <c r="AS363">
        <f>HYPERLINK("https://creighton-primo.hosted.exlibrisgroup.com/primo-explore/search?tab=default_tab&amp;search_scope=EVERYTHING&amp;vid=01CRU&amp;lang=en_US&amp;offset=0&amp;query=any,contains,991000187559702656","Catalog Record")</f>
        <v/>
      </c>
      <c r="AT363">
        <f>HYPERLINK("http://www.worldcat.org/oclc/9394443","WorldCat Record")</f>
        <v/>
      </c>
      <c r="AU363" t="inlineStr">
        <is>
          <t>3406958:eng</t>
        </is>
      </c>
      <c r="AV363" t="inlineStr">
        <is>
          <t>9394443</t>
        </is>
      </c>
      <c r="AW363" t="inlineStr">
        <is>
          <t>991000187559702656</t>
        </is>
      </c>
      <c r="AX363" t="inlineStr">
        <is>
          <t>991000187559702656</t>
        </is>
      </c>
      <c r="AY363" t="inlineStr">
        <is>
          <t>2262920750002656</t>
        </is>
      </c>
      <c r="AZ363" t="inlineStr">
        <is>
          <t>BOOK</t>
        </is>
      </c>
      <c r="BB363" t="inlineStr">
        <is>
          <t>9780801415067</t>
        </is>
      </c>
      <c r="BC363" t="inlineStr">
        <is>
          <t>32285000946524</t>
        </is>
      </c>
      <c r="BD363" t="inlineStr">
        <is>
          <t>893701916</t>
        </is>
      </c>
    </row>
    <row r="364">
      <c r="A364" t="inlineStr">
        <is>
          <t>No</t>
        </is>
      </c>
      <c r="B364" t="inlineStr">
        <is>
          <t>ND2920 .H86 1989</t>
        </is>
      </c>
      <c r="C364" t="inlineStr">
        <is>
          <t>0                      ND 2920000H  86          1989</t>
        </is>
      </c>
      <c r="D364" t="inlineStr">
        <is>
          <t>Illuminations / written and illustrated by Jonathan Hunt.</t>
        </is>
      </c>
      <c r="F364" t="inlineStr">
        <is>
          <t>No</t>
        </is>
      </c>
      <c r="G364" t="inlineStr">
        <is>
          <t>1</t>
        </is>
      </c>
      <c r="H364" t="inlineStr">
        <is>
          <t>No</t>
        </is>
      </c>
      <c r="I364" t="inlineStr">
        <is>
          <t>No</t>
        </is>
      </c>
      <c r="J364" t="inlineStr">
        <is>
          <t>0</t>
        </is>
      </c>
      <c r="K364" t="inlineStr">
        <is>
          <t>Hunt, Jonathan.</t>
        </is>
      </c>
      <c r="L364" t="inlineStr">
        <is>
          <t>New York : Bradbury Press, c1989.</t>
        </is>
      </c>
      <c r="M364" t="inlineStr">
        <is>
          <t>1989</t>
        </is>
      </c>
      <c r="N364" t="inlineStr">
        <is>
          <t>1st ed.</t>
        </is>
      </c>
      <c r="O364" t="inlineStr">
        <is>
          <t>eng</t>
        </is>
      </c>
      <c r="P364" t="inlineStr">
        <is>
          <t>nyu</t>
        </is>
      </c>
      <c r="R364" t="inlineStr">
        <is>
          <t xml:space="preserve">ND </t>
        </is>
      </c>
      <c r="S364" t="n">
        <v>2</v>
      </c>
      <c r="T364" t="n">
        <v>2</v>
      </c>
      <c r="U364" t="inlineStr">
        <is>
          <t>1993-02-03</t>
        </is>
      </c>
      <c r="V364" t="inlineStr">
        <is>
          <t>1993-02-03</t>
        </is>
      </c>
      <c r="W364" t="inlineStr">
        <is>
          <t>1990-02-14</t>
        </is>
      </c>
      <c r="X364" t="inlineStr">
        <is>
          <t>1990-02-14</t>
        </is>
      </c>
      <c r="Y364" t="n">
        <v>655</v>
      </c>
      <c r="Z364" t="n">
        <v>620</v>
      </c>
      <c r="AA364" t="n">
        <v>676</v>
      </c>
      <c r="AB364" t="n">
        <v>5</v>
      </c>
      <c r="AC364" t="n">
        <v>5</v>
      </c>
      <c r="AD364" t="n">
        <v>6</v>
      </c>
      <c r="AE364" t="n">
        <v>6</v>
      </c>
      <c r="AF364" t="n">
        <v>2</v>
      </c>
      <c r="AG364" t="n">
        <v>2</v>
      </c>
      <c r="AH364" t="n">
        <v>1</v>
      </c>
      <c r="AI364" t="n">
        <v>1</v>
      </c>
      <c r="AJ364" t="n">
        <v>1</v>
      </c>
      <c r="AK364" t="n">
        <v>1</v>
      </c>
      <c r="AL364" t="n">
        <v>2</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HYPERLINK("https://creighton-primo.hosted.exlibrisgroup.com/primo-explore/search?tab=default_tab&amp;search_scope=EVERYTHING&amp;vid=01CRU&amp;lang=en_US&amp;offset=0&amp;query=any,contains,991004450329702656","Catalog Record")</f>
        <v/>
      </c>
      <c r="AT364">
        <f>HYPERLINK("http://www.worldcat.org/oclc/18815558","WorldCat Record")</f>
        <v/>
      </c>
      <c r="AU364" t="inlineStr">
        <is>
          <t>18447367:eng</t>
        </is>
      </c>
      <c r="AV364" t="inlineStr">
        <is>
          <t>18815558</t>
        </is>
      </c>
      <c r="AW364" t="inlineStr">
        <is>
          <t>991004450329702656</t>
        </is>
      </c>
      <c r="AX364" t="inlineStr">
        <is>
          <t>991004450329702656</t>
        </is>
      </c>
      <c r="AY364" t="inlineStr">
        <is>
          <t>2265586970002656</t>
        </is>
      </c>
      <c r="AZ364" t="inlineStr">
        <is>
          <t>BOOK</t>
        </is>
      </c>
      <c r="BB364" t="inlineStr">
        <is>
          <t>9780027457704</t>
        </is>
      </c>
      <c r="BC364" t="inlineStr">
        <is>
          <t>32285000037662</t>
        </is>
      </c>
      <c r="BD364" t="inlineStr">
        <is>
          <t>893679466</t>
        </is>
      </c>
    </row>
    <row r="365">
      <c r="A365" t="inlineStr">
        <is>
          <t>No</t>
        </is>
      </c>
      <c r="B365" t="inlineStr">
        <is>
          <t>ND2930 .W42</t>
        </is>
      </c>
      <c r="C365" t="inlineStr">
        <is>
          <t>0                      ND 2930000W  42</t>
        </is>
      </c>
      <c r="D365" t="inlineStr">
        <is>
          <t>Late antique and early Christian book illumination / Kurt Weitzmann.</t>
        </is>
      </c>
      <c r="F365" t="inlineStr">
        <is>
          <t>No</t>
        </is>
      </c>
      <c r="G365" t="inlineStr">
        <is>
          <t>1</t>
        </is>
      </c>
      <c r="H365" t="inlineStr">
        <is>
          <t>No</t>
        </is>
      </c>
      <c r="I365" t="inlineStr">
        <is>
          <t>No</t>
        </is>
      </c>
      <c r="J365" t="inlineStr">
        <is>
          <t>0</t>
        </is>
      </c>
      <c r="K365" t="inlineStr">
        <is>
          <t>Weitzmann, Kurt, 1904-1993.</t>
        </is>
      </c>
      <c r="L365" t="inlineStr">
        <is>
          <t>New York : G. Braziller, 1977.</t>
        </is>
      </c>
      <c r="M365" t="inlineStr">
        <is>
          <t>1977</t>
        </is>
      </c>
      <c r="O365" t="inlineStr">
        <is>
          <t>eng</t>
        </is>
      </c>
      <c r="P365" t="inlineStr">
        <is>
          <t>nyu</t>
        </is>
      </c>
      <c r="R365" t="inlineStr">
        <is>
          <t xml:space="preserve">ND </t>
        </is>
      </c>
      <c r="S365" t="n">
        <v>5</v>
      </c>
      <c r="T365" t="n">
        <v>5</v>
      </c>
      <c r="U365" t="inlineStr">
        <is>
          <t>2009-03-27</t>
        </is>
      </c>
      <c r="V365" t="inlineStr">
        <is>
          <t>2009-03-27</t>
        </is>
      </c>
      <c r="W365" t="inlineStr">
        <is>
          <t>1993-05-28</t>
        </is>
      </c>
      <c r="X365" t="inlineStr">
        <is>
          <t>1993-05-28</t>
        </is>
      </c>
      <c r="Y365" t="n">
        <v>1007</v>
      </c>
      <c r="Z365" t="n">
        <v>893</v>
      </c>
      <c r="AA365" t="n">
        <v>931</v>
      </c>
      <c r="AB365" t="n">
        <v>5</v>
      </c>
      <c r="AC365" t="n">
        <v>5</v>
      </c>
      <c r="AD365" t="n">
        <v>35</v>
      </c>
      <c r="AE365" t="n">
        <v>38</v>
      </c>
      <c r="AF365" t="n">
        <v>14</v>
      </c>
      <c r="AG365" t="n">
        <v>16</v>
      </c>
      <c r="AH365" t="n">
        <v>8</v>
      </c>
      <c r="AI365" t="n">
        <v>8</v>
      </c>
      <c r="AJ365" t="n">
        <v>19</v>
      </c>
      <c r="AK365" t="n">
        <v>21</v>
      </c>
      <c r="AL365" t="n">
        <v>3</v>
      </c>
      <c r="AM365" t="n">
        <v>3</v>
      </c>
      <c r="AN365" t="n">
        <v>0</v>
      </c>
      <c r="AO365" t="n">
        <v>0</v>
      </c>
      <c r="AP365" t="inlineStr">
        <is>
          <t>No</t>
        </is>
      </c>
      <c r="AQ365" t="inlineStr">
        <is>
          <t>Yes</t>
        </is>
      </c>
      <c r="AR365">
        <f>HYPERLINK("http://catalog.hathitrust.org/Record/000706256","HathiTrust Record")</f>
        <v/>
      </c>
      <c r="AS365">
        <f>HYPERLINK("https://creighton-primo.hosted.exlibrisgroup.com/primo-explore/search?tab=default_tab&amp;search_scope=EVERYTHING&amp;vid=01CRU&amp;lang=en_US&amp;offset=0&amp;query=any,contains,991004065739702656","Catalog Record")</f>
        <v/>
      </c>
      <c r="AT365">
        <f>HYPERLINK("http://www.worldcat.org/oclc/2283946","WorldCat Record")</f>
        <v/>
      </c>
      <c r="AU365" t="inlineStr">
        <is>
          <t>114118377:eng</t>
        </is>
      </c>
      <c r="AV365" t="inlineStr">
        <is>
          <t>2283946</t>
        </is>
      </c>
      <c r="AW365" t="inlineStr">
        <is>
          <t>991004065739702656</t>
        </is>
      </c>
      <c r="AX365" t="inlineStr">
        <is>
          <t>991004065739702656</t>
        </is>
      </c>
      <c r="AY365" t="inlineStr">
        <is>
          <t>2266976510002656</t>
        </is>
      </c>
      <c r="AZ365" t="inlineStr">
        <is>
          <t>BOOK</t>
        </is>
      </c>
      <c r="BB365" t="inlineStr">
        <is>
          <t>9780807608302</t>
        </is>
      </c>
      <c r="BC365" t="inlineStr">
        <is>
          <t>32285001694347</t>
        </is>
      </c>
      <c r="BD365" t="inlineStr">
        <is>
          <t>893349575</t>
        </is>
      </c>
    </row>
    <row r="366">
      <c r="A366" t="inlineStr">
        <is>
          <t>No</t>
        </is>
      </c>
      <c r="B366" t="inlineStr">
        <is>
          <t>ND2940 .N67</t>
        </is>
      </c>
      <c r="C366" t="inlineStr">
        <is>
          <t>0                      ND 2940000N  67</t>
        </is>
      </c>
      <c r="D366" t="inlineStr">
        <is>
          <t>Celtic and Anglo-Saxon painting : book illumination in the British Isles, 600-800 / Carl Nordenfalk.</t>
        </is>
      </c>
      <c r="F366" t="inlineStr">
        <is>
          <t>No</t>
        </is>
      </c>
      <c r="G366" t="inlineStr">
        <is>
          <t>1</t>
        </is>
      </c>
      <c r="H366" t="inlineStr">
        <is>
          <t>No</t>
        </is>
      </c>
      <c r="I366" t="inlineStr">
        <is>
          <t>No</t>
        </is>
      </c>
      <c r="J366" t="inlineStr">
        <is>
          <t>0</t>
        </is>
      </c>
      <c r="K366" t="inlineStr">
        <is>
          <t>Nordenfalk, Carl Adam Johan, 1907-1992.</t>
        </is>
      </c>
      <c r="L366" t="inlineStr">
        <is>
          <t>New York : G. Braziller, 1977.</t>
        </is>
      </c>
      <c r="M366" t="inlineStr">
        <is>
          <t>1977</t>
        </is>
      </c>
      <c r="O366" t="inlineStr">
        <is>
          <t>eng</t>
        </is>
      </c>
      <c r="P366" t="inlineStr">
        <is>
          <t>nyu</t>
        </is>
      </c>
      <c r="R366" t="inlineStr">
        <is>
          <t xml:space="preserve">ND </t>
        </is>
      </c>
      <c r="S366" t="n">
        <v>6</v>
      </c>
      <c r="T366" t="n">
        <v>6</v>
      </c>
      <c r="U366" t="inlineStr">
        <is>
          <t>1997-12-10</t>
        </is>
      </c>
      <c r="V366" t="inlineStr">
        <is>
          <t>1997-12-10</t>
        </is>
      </c>
      <c r="W366" t="inlineStr">
        <is>
          <t>1992-02-11</t>
        </is>
      </c>
      <c r="X366" t="inlineStr">
        <is>
          <t>1992-02-11</t>
        </is>
      </c>
      <c r="Y366" t="n">
        <v>1090</v>
      </c>
      <c r="Z366" t="n">
        <v>987</v>
      </c>
      <c r="AA366" t="n">
        <v>1060</v>
      </c>
      <c r="AB366" t="n">
        <v>7</v>
      </c>
      <c r="AC366" t="n">
        <v>7</v>
      </c>
      <c r="AD366" t="n">
        <v>36</v>
      </c>
      <c r="AE366" t="n">
        <v>39</v>
      </c>
      <c r="AF366" t="n">
        <v>14</v>
      </c>
      <c r="AG366" t="n">
        <v>16</v>
      </c>
      <c r="AH366" t="n">
        <v>9</v>
      </c>
      <c r="AI366" t="n">
        <v>10</v>
      </c>
      <c r="AJ366" t="n">
        <v>19</v>
      </c>
      <c r="AK366" t="n">
        <v>22</v>
      </c>
      <c r="AL366" t="n">
        <v>4</v>
      </c>
      <c r="AM366" t="n">
        <v>4</v>
      </c>
      <c r="AN366" t="n">
        <v>0</v>
      </c>
      <c r="AO366" t="n">
        <v>0</v>
      </c>
      <c r="AP366" t="inlineStr">
        <is>
          <t>No</t>
        </is>
      </c>
      <c r="AQ366" t="inlineStr">
        <is>
          <t>Yes</t>
        </is>
      </c>
      <c r="AR366">
        <f>HYPERLINK("http://catalog.hathitrust.org/Record/000714015","HathiTrust Record")</f>
        <v/>
      </c>
      <c r="AS366">
        <f>HYPERLINK("https://creighton-primo.hosted.exlibrisgroup.com/primo-explore/search?tab=default_tab&amp;search_scope=EVERYTHING&amp;vid=01CRU&amp;lang=en_US&amp;offset=0&amp;query=any,contains,991004060279702656","Catalog Record")</f>
        <v/>
      </c>
      <c r="AT366">
        <f>HYPERLINK("http://www.worldcat.org/oclc/2238232","WorldCat Record")</f>
        <v/>
      </c>
      <c r="AU366" t="inlineStr">
        <is>
          <t>319492613:eng</t>
        </is>
      </c>
      <c r="AV366" t="inlineStr">
        <is>
          <t>2238232</t>
        </is>
      </c>
      <c r="AW366" t="inlineStr">
        <is>
          <t>991004060279702656</t>
        </is>
      </c>
      <c r="AX366" t="inlineStr">
        <is>
          <t>991004060279702656</t>
        </is>
      </c>
      <c r="AY366" t="inlineStr">
        <is>
          <t>2257470940002656</t>
        </is>
      </c>
      <c r="AZ366" t="inlineStr">
        <is>
          <t>BOOK</t>
        </is>
      </c>
      <c r="BB366" t="inlineStr">
        <is>
          <t>9780807608258</t>
        </is>
      </c>
      <c r="BC366" t="inlineStr">
        <is>
          <t>32285000946532</t>
        </is>
      </c>
      <c r="BD366" t="inlineStr">
        <is>
          <t>893500058</t>
        </is>
      </c>
    </row>
    <row r="367">
      <c r="A367" t="inlineStr">
        <is>
          <t>No</t>
        </is>
      </c>
      <c r="B367" t="inlineStr">
        <is>
          <t>ND3146.R45 C35 1996</t>
        </is>
      </c>
      <c r="C367" t="inlineStr">
        <is>
          <t>0                      ND 3146000R  45                 C  35          1996</t>
        </is>
      </c>
      <c r="D367" t="inlineStr">
        <is>
          <t>Master of death : the lifeless art of Pierre Remiet, illuminator / Michael Camille.</t>
        </is>
      </c>
      <c r="F367" t="inlineStr">
        <is>
          <t>No</t>
        </is>
      </c>
      <c r="G367" t="inlineStr">
        <is>
          <t>1</t>
        </is>
      </c>
      <c r="H367" t="inlineStr">
        <is>
          <t>No</t>
        </is>
      </c>
      <c r="I367" t="inlineStr">
        <is>
          <t>No</t>
        </is>
      </c>
      <c r="J367" t="inlineStr">
        <is>
          <t>0</t>
        </is>
      </c>
      <c r="K367" t="inlineStr">
        <is>
          <t>Camille, Michael.</t>
        </is>
      </c>
      <c r="L367" t="inlineStr">
        <is>
          <t>New Haven, Conn. : Yale University Press, 1996.</t>
        </is>
      </c>
      <c r="M367" t="inlineStr">
        <is>
          <t>1996</t>
        </is>
      </c>
      <c r="O367" t="inlineStr">
        <is>
          <t>eng</t>
        </is>
      </c>
      <c r="P367" t="inlineStr">
        <is>
          <t>ctu</t>
        </is>
      </c>
      <c r="R367" t="inlineStr">
        <is>
          <t xml:space="preserve">ND </t>
        </is>
      </c>
      <c r="S367" t="n">
        <v>1</v>
      </c>
      <c r="T367" t="n">
        <v>1</v>
      </c>
      <c r="U367" t="inlineStr">
        <is>
          <t>2005-02-08</t>
        </is>
      </c>
      <c r="V367" t="inlineStr">
        <is>
          <t>2005-02-08</t>
        </is>
      </c>
      <c r="W367" t="inlineStr">
        <is>
          <t>1996-12-04</t>
        </is>
      </c>
      <c r="X367" t="inlineStr">
        <is>
          <t>1996-12-04</t>
        </is>
      </c>
      <c r="Y367" t="n">
        <v>539</v>
      </c>
      <c r="Z367" t="n">
        <v>404</v>
      </c>
      <c r="AA367" t="n">
        <v>404</v>
      </c>
      <c r="AB367" t="n">
        <v>3</v>
      </c>
      <c r="AC367" t="n">
        <v>3</v>
      </c>
      <c r="AD367" t="n">
        <v>23</v>
      </c>
      <c r="AE367" t="n">
        <v>23</v>
      </c>
      <c r="AF367" t="n">
        <v>7</v>
      </c>
      <c r="AG367" t="n">
        <v>7</v>
      </c>
      <c r="AH367" t="n">
        <v>5</v>
      </c>
      <c r="AI367" t="n">
        <v>5</v>
      </c>
      <c r="AJ367" t="n">
        <v>14</v>
      </c>
      <c r="AK367" t="n">
        <v>14</v>
      </c>
      <c r="AL367" t="n">
        <v>2</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HYPERLINK("https://creighton-primo.hosted.exlibrisgroup.com/primo-explore/search?tab=default_tab&amp;search_scope=EVERYTHING&amp;vid=01CRU&amp;lang=en_US&amp;offset=0&amp;query=any,contains,991002498519702656","Catalog Record")</f>
        <v/>
      </c>
      <c r="AT367">
        <f>HYPERLINK("http://www.worldcat.org/oclc/32508934","WorldCat Record")</f>
        <v/>
      </c>
      <c r="AU367" t="inlineStr">
        <is>
          <t>308524962:eng</t>
        </is>
      </c>
      <c r="AV367" t="inlineStr">
        <is>
          <t>32508934</t>
        </is>
      </c>
      <c r="AW367" t="inlineStr">
        <is>
          <t>991002498519702656</t>
        </is>
      </c>
      <c r="AX367" t="inlineStr">
        <is>
          <t>991002498519702656</t>
        </is>
      </c>
      <c r="AY367" t="inlineStr">
        <is>
          <t>2261739450002656</t>
        </is>
      </c>
      <c r="AZ367" t="inlineStr">
        <is>
          <t>BOOK</t>
        </is>
      </c>
      <c r="BB367" t="inlineStr">
        <is>
          <t>9780300064575</t>
        </is>
      </c>
      <c r="BC367" t="inlineStr">
        <is>
          <t>32285002388105</t>
        </is>
      </c>
      <c r="BD367" t="inlineStr">
        <is>
          <t>893716527</t>
        </is>
      </c>
    </row>
    <row r="368">
      <c r="A368" t="inlineStr">
        <is>
          <t>No</t>
        </is>
      </c>
      <c r="B368" t="inlineStr">
        <is>
          <t>ND3149.P5 B72</t>
        </is>
      </c>
      <c r="C368" t="inlineStr">
        <is>
          <t>0                      ND 3149000P  5                  B  72</t>
        </is>
      </c>
      <c r="D368" t="inlineStr">
        <is>
          <t>Manuscript painting in Paris during the reign of Saint Louis : a study of styles / by Robert Branner.</t>
        </is>
      </c>
      <c r="F368" t="inlineStr">
        <is>
          <t>No</t>
        </is>
      </c>
      <c r="G368" t="inlineStr">
        <is>
          <t>1</t>
        </is>
      </c>
      <c r="H368" t="inlineStr">
        <is>
          <t>No</t>
        </is>
      </c>
      <c r="I368" t="inlineStr">
        <is>
          <t>No</t>
        </is>
      </c>
      <c r="J368" t="inlineStr">
        <is>
          <t>0</t>
        </is>
      </c>
      <c r="K368" t="inlineStr">
        <is>
          <t>Branner, Robert.</t>
        </is>
      </c>
      <c r="L368" t="inlineStr">
        <is>
          <t>Berkeley : University of California Press, c1977.</t>
        </is>
      </c>
      <c r="M368" t="inlineStr">
        <is>
          <t>1977</t>
        </is>
      </c>
      <c r="O368" t="inlineStr">
        <is>
          <t>eng</t>
        </is>
      </c>
      <c r="P368" t="inlineStr">
        <is>
          <t>cau</t>
        </is>
      </c>
      <c r="Q368" t="inlineStr">
        <is>
          <t>California studies in the history of art ; 18</t>
        </is>
      </c>
      <c r="R368" t="inlineStr">
        <is>
          <t xml:space="preserve">ND </t>
        </is>
      </c>
      <c r="S368" t="n">
        <v>1</v>
      </c>
      <c r="T368" t="n">
        <v>1</v>
      </c>
      <c r="U368" t="inlineStr">
        <is>
          <t>2002-02-13</t>
        </is>
      </c>
      <c r="V368" t="inlineStr">
        <is>
          <t>2002-02-13</t>
        </is>
      </c>
      <c r="W368" t="inlineStr">
        <is>
          <t>1997-08-06</t>
        </is>
      </c>
      <c r="X368" t="inlineStr">
        <is>
          <t>1997-08-06</t>
        </is>
      </c>
      <c r="Y368" t="n">
        <v>529</v>
      </c>
      <c r="Z368" t="n">
        <v>418</v>
      </c>
      <c r="AA368" t="n">
        <v>425</v>
      </c>
      <c r="AB368" t="n">
        <v>2</v>
      </c>
      <c r="AC368" t="n">
        <v>2</v>
      </c>
      <c r="AD368" t="n">
        <v>17</v>
      </c>
      <c r="AE368" t="n">
        <v>17</v>
      </c>
      <c r="AF368" t="n">
        <v>5</v>
      </c>
      <c r="AG368" t="n">
        <v>5</v>
      </c>
      <c r="AH368" t="n">
        <v>4</v>
      </c>
      <c r="AI368" t="n">
        <v>4</v>
      </c>
      <c r="AJ368" t="n">
        <v>11</v>
      </c>
      <c r="AK368" t="n">
        <v>11</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HYPERLINK("https://creighton-primo.hosted.exlibrisgroup.com/primo-explore/search?tab=default_tab&amp;search_scope=EVERYTHING&amp;vid=01CRU&amp;lang=en_US&amp;offset=0&amp;query=any,contains,991004413789702656","Catalog Record")</f>
        <v/>
      </c>
      <c r="AT368">
        <f>HYPERLINK("http://www.worldcat.org/oclc/3354700","WorldCat Record")</f>
        <v/>
      </c>
      <c r="AU368" t="inlineStr">
        <is>
          <t>212662224:eng</t>
        </is>
      </c>
      <c r="AV368" t="inlineStr">
        <is>
          <t>3354700</t>
        </is>
      </c>
      <c r="AW368" t="inlineStr">
        <is>
          <t>991004413789702656</t>
        </is>
      </c>
      <c r="AX368" t="inlineStr">
        <is>
          <t>991004413789702656</t>
        </is>
      </c>
      <c r="AY368" t="inlineStr">
        <is>
          <t>2259953050002656</t>
        </is>
      </c>
      <c r="AZ368" t="inlineStr">
        <is>
          <t>BOOK</t>
        </is>
      </c>
      <c r="BB368" t="inlineStr">
        <is>
          <t>9780520024625</t>
        </is>
      </c>
      <c r="BC368" t="inlineStr">
        <is>
          <t>32285003046041</t>
        </is>
      </c>
      <c r="BD368" t="inlineStr">
        <is>
          <t>893904846</t>
        </is>
      </c>
    </row>
    <row r="369">
      <c r="A369" t="inlineStr">
        <is>
          <t>No</t>
        </is>
      </c>
      <c r="B369" t="inlineStr">
        <is>
          <t>ND3241 .G68</t>
        </is>
      </c>
      <c r="C369" t="inlineStr">
        <is>
          <t>0                      ND 3241000G  68</t>
        </is>
      </c>
      <c r="D369" t="inlineStr">
        <is>
          <t>Persian miniatures from ancient manuscripts. Introd. by Basil Gray.</t>
        </is>
      </c>
      <c r="F369" t="inlineStr">
        <is>
          <t>No</t>
        </is>
      </c>
      <c r="G369" t="inlineStr">
        <is>
          <t>1</t>
        </is>
      </c>
      <c r="H369" t="inlineStr">
        <is>
          <t>No</t>
        </is>
      </c>
      <c r="I369" t="inlineStr">
        <is>
          <t>No</t>
        </is>
      </c>
      <c r="J369" t="inlineStr">
        <is>
          <t>0</t>
        </is>
      </c>
      <c r="K369" t="inlineStr">
        <is>
          <t>Gray, Basil, 1904-1989.</t>
        </is>
      </c>
      <c r="L369" t="inlineStr">
        <is>
          <t>[New York] New American Library of World Literature by arrangement with UNESCO [1962]</t>
        </is>
      </c>
      <c r="M369" t="inlineStr">
        <is>
          <t>1962</t>
        </is>
      </c>
      <c r="O369" t="inlineStr">
        <is>
          <t>eng</t>
        </is>
      </c>
      <c r="P369" t="inlineStr">
        <is>
          <t>nyu</t>
        </is>
      </c>
      <c r="Q369" t="inlineStr">
        <is>
          <t>A Mentor-Unesco art book</t>
        </is>
      </c>
      <c r="R369" t="inlineStr">
        <is>
          <t xml:space="preserve">ND </t>
        </is>
      </c>
      <c r="S369" t="n">
        <v>2</v>
      </c>
      <c r="T369" t="n">
        <v>2</v>
      </c>
      <c r="U369" t="inlineStr">
        <is>
          <t>2006-06-16</t>
        </is>
      </c>
      <c r="V369" t="inlineStr">
        <is>
          <t>2006-06-16</t>
        </is>
      </c>
      <c r="W369" t="inlineStr">
        <is>
          <t>1997-08-06</t>
        </is>
      </c>
      <c r="X369" t="inlineStr">
        <is>
          <t>1997-08-06</t>
        </is>
      </c>
      <c r="Y369" t="n">
        <v>267</v>
      </c>
      <c r="Z369" t="n">
        <v>241</v>
      </c>
      <c r="AA369" t="n">
        <v>259</v>
      </c>
      <c r="AB369" t="n">
        <v>2</v>
      </c>
      <c r="AC369" t="n">
        <v>2</v>
      </c>
      <c r="AD369" t="n">
        <v>8</v>
      </c>
      <c r="AE369" t="n">
        <v>8</v>
      </c>
      <c r="AF369" t="n">
        <v>2</v>
      </c>
      <c r="AG369" t="n">
        <v>2</v>
      </c>
      <c r="AH369" t="n">
        <v>1</v>
      </c>
      <c r="AI369" t="n">
        <v>1</v>
      </c>
      <c r="AJ369" t="n">
        <v>5</v>
      </c>
      <c r="AK369" t="n">
        <v>5</v>
      </c>
      <c r="AL369" t="n">
        <v>1</v>
      </c>
      <c r="AM369" t="n">
        <v>1</v>
      </c>
      <c r="AN369" t="n">
        <v>0</v>
      </c>
      <c r="AO369" t="n">
        <v>0</v>
      </c>
      <c r="AP369" t="inlineStr">
        <is>
          <t>No</t>
        </is>
      </c>
      <c r="AQ369" t="inlineStr">
        <is>
          <t>Yes</t>
        </is>
      </c>
      <c r="AR369">
        <f>HYPERLINK("http://catalog.hathitrust.org/Record/000465780","HathiTrust Record")</f>
        <v/>
      </c>
      <c r="AS369">
        <f>HYPERLINK("https://creighton-primo.hosted.exlibrisgroup.com/primo-explore/search?tab=default_tab&amp;search_scope=EVERYTHING&amp;vid=01CRU&amp;lang=en_US&amp;offset=0&amp;query=any,contains,991003462339702656","Catalog Record")</f>
        <v/>
      </c>
      <c r="AT369">
        <f>HYPERLINK("http://www.worldcat.org/oclc/1004268","WorldCat Record")</f>
        <v/>
      </c>
      <c r="AU369" t="inlineStr">
        <is>
          <t>495403665:eng</t>
        </is>
      </c>
      <c r="AV369" t="inlineStr">
        <is>
          <t>1004268</t>
        </is>
      </c>
      <c r="AW369" t="inlineStr">
        <is>
          <t>991003462339702656</t>
        </is>
      </c>
      <c r="AX369" t="inlineStr">
        <is>
          <t>991003462339702656</t>
        </is>
      </c>
      <c r="AY369" t="inlineStr">
        <is>
          <t>2255258430002656</t>
        </is>
      </c>
      <c r="AZ369" t="inlineStr">
        <is>
          <t>BOOK</t>
        </is>
      </c>
      <c r="BC369" t="inlineStr">
        <is>
          <t>32285003046090</t>
        </is>
      </c>
      <c r="BD369" t="inlineStr">
        <is>
          <t>893342573</t>
        </is>
      </c>
    </row>
    <row r="370">
      <c r="A370" t="inlineStr">
        <is>
          <t>No</t>
        </is>
      </c>
      <c r="B370" t="inlineStr">
        <is>
          <t>ND3310 .B32 1979</t>
        </is>
      </c>
      <c r="C370" t="inlineStr">
        <is>
          <t>0                      ND 3310000B  32          1979</t>
        </is>
      </c>
      <c r="D370" t="inlineStr">
        <is>
          <t>The illuminated manuscript / Janet Backhouse.</t>
        </is>
      </c>
      <c r="F370" t="inlineStr">
        <is>
          <t>No</t>
        </is>
      </c>
      <c r="G370" t="inlineStr">
        <is>
          <t>1</t>
        </is>
      </c>
      <c r="H370" t="inlineStr">
        <is>
          <t>No</t>
        </is>
      </c>
      <c r="I370" t="inlineStr">
        <is>
          <t>No</t>
        </is>
      </c>
      <c r="J370" t="inlineStr">
        <is>
          <t>0</t>
        </is>
      </c>
      <c r="K370" t="inlineStr">
        <is>
          <t>Backhouse, Janet.</t>
        </is>
      </c>
      <c r="L370" t="inlineStr">
        <is>
          <t>Oxford : Phaidon, 1979.</t>
        </is>
      </c>
      <c r="M370" t="inlineStr">
        <is>
          <t>1979</t>
        </is>
      </c>
      <c r="O370" t="inlineStr">
        <is>
          <t>eng</t>
        </is>
      </c>
      <c r="P370" t="inlineStr">
        <is>
          <t>enk</t>
        </is>
      </c>
      <c r="R370" t="inlineStr">
        <is>
          <t xml:space="preserve">ND </t>
        </is>
      </c>
      <c r="S370" t="n">
        <v>11</v>
      </c>
      <c r="T370" t="n">
        <v>11</v>
      </c>
      <c r="U370" t="inlineStr">
        <is>
          <t>2009-06-07</t>
        </is>
      </c>
      <c r="V370" t="inlineStr">
        <is>
          <t>2009-06-07</t>
        </is>
      </c>
      <c r="W370" t="inlineStr">
        <is>
          <t>1993-06-01</t>
        </is>
      </c>
      <c r="X370" t="inlineStr">
        <is>
          <t>1993-06-01</t>
        </is>
      </c>
      <c r="Y370" t="n">
        <v>923</v>
      </c>
      <c r="Z370" t="n">
        <v>672</v>
      </c>
      <c r="AA370" t="n">
        <v>785</v>
      </c>
      <c r="AB370" t="n">
        <v>5</v>
      </c>
      <c r="AC370" t="n">
        <v>5</v>
      </c>
      <c r="AD370" t="n">
        <v>29</v>
      </c>
      <c r="AE370" t="n">
        <v>35</v>
      </c>
      <c r="AF370" t="n">
        <v>10</v>
      </c>
      <c r="AG370" t="n">
        <v>14</v>
      </c>
      <c r="AH370" t="n">
        <v>10</v>
      </c>
      <c r="AI370" t="n">
        <v>10</v>
      </c>
      <c r="AJ370" t="n">
        <v>13</v>
      </c>
      <c r="AK370" t="n">
        <v>18</v>
      </c>
      <c r="AL370" t="n">
        <v>4</v>
      </c>
      <c r="AM370" t="n">
        <v>4</v>
      </c>
      <c r="AN370" t="n">
        <v>0</v>
      </c>
      <c r="AO370" t="n">
        <v>0</v>
      </c>
      <c r="AP370" t="inlineStr">
        <is>
          <t>No</t>
        </is>
      </c>
      <c r="AQ370" t="inlineStr">
        <is>
          <t>Yes</t>
        </is>
      </c>
      <c r="AR370">
        <f>HYPERLINK("http://catalog.hathitrust.org/Record/000756090","HathiTrust Record")</f>
        <v/>
      </c>
      <c r="AS370">
        <f>HYPERLINK("https://creighton-primo.hosted.exlibrisgroup.com/primo-explore/search?tab=default_tab&amp;search_scope=EVERYTHING&amp;vid=01CRU&amp;lang=en_US&amp;offset=0&amp;query=any,contains,991004810359702656","Catalog Record")</f>
        <v/>
      </c>
      <c r="AT370">
        <f>HYPERLINK("http://www.worldcat.org/oclc/5271434","WorldCat Record")</f>
        <v/>
      </c>
      <c r="AU370" t="inlineStr">
        <is>
          <t>396076:eng</t>
        </is>
      </c>
      <c r="AV370" t="inlineStr">
        <is>
          <t>5271434</t>
        </is>
      </c>
      <c r="AW370" t="inlineStr">
        <is>
          <t>991004810359702656</t>
        </is>
      </c>
      <c r="AX370" t="inlineStr">
        <is>
          <t>991004810359702656</t>
        </is>
      </c>
      <c r="AY370" t="inlineStr">
        <is>
          <t>2271403330002656</t>
        </is>
      </c>
      <c r="AZ370" t="inlineStr">
        <is>
          <t>BOOK</t>
        </is>
      </c>
      <c r="BB370" t="inlineStr">
        <is>
          <t>9780714819693</t>
        </is>
      </c>
      <c r="BC370" t="inlineStr">
        <is>
          <t>32285001715209</t>
        </is>
      </c>
      <c r="BD370" t="inlineStr">
        <is>
          <t>893722622</t>
        </is>
      </c>
    </row>
    <row r="371">
      <c r="A371" t="inlineStr">
        <is>
          <t>No</t>
        </is>
      </c>
      <c r="B371" t="inlineStr">
        <is>
          <t>ND3355 .C3</t>
        </is>
      </c>
      <c r="C371" t="inlineStr">
        <is>
          <t>0                      ND 3355000C  3</t>
        </is>
      </c>
      <c r="D371" t="inlineStr">
        <is>
          <t>Romanesque Bible illumination / Walter Cahn.</t>
        </is>
      </c>
      <c r="F371" t="inlineStr">
        <is>
          <t>No</t>
        </is>
      </c>
      <c r="G371" t="inlineStr">
        <is>
          <t>1</t>
        </is>
      </c>
      <c r="H371" t="inlineStr">
        <is>
          <t>No</t>
        </is>
      </c>
      <c r="I371" t="inlineStr">
        <is>
          <t>No</t>
        </is>
      </c>
      <c r="J371" t="inlineStr">
        <is>
          <t>0</t>
        </is>
      </c>
      <c r="K371" t="inlineStr">
        <is>
          <t>Cahn, Walter.</t>
        </is>
      </c>
      <c r="L371" t="inlineStr">
        <is>
          <t>Ithaca, N.Y. : Cornell Univ. Press, 1982.</t>
        </is>
      </c>
      <c r="M371" t="inlineStr">
        <is>
          <t>1982</t>
        </is>
      </c>
      <c r="O371" t="inlineStr">
        <is>
          <t>eng</t>
        </is>
      </c>
      <c r="P371" t="inlineStr">
        <is>
          <t>nyu</t>
        </is>
      </c>
      <c r="R371" t="inlineStr">
        <is>
          <t xml:space="preserve">ND </t>
        </is>
      </c>
      <c r="S371" t="n">
        <v>7</v>
      </c>
      <c r="T371" t="n">
        <v>7</v>
      </c>
      <c r="U371" t="inlineStr">
        <is>
          <t>1993-10-12</t>
        </is>
      </c>
      <c r="V371" t="inlineStr">
        <is>
          <t>1993-10-12</t>
        </is>
      </c>
      <c r="W371" t="inlineStr">
        <is>
          <t>1993-06-01</t>
        </is>
      </c>
      <c r="X371" t="inlineStr">
        <is>
          <t>1993-06-01</t>
        </is>
      </c>
      <c r="Y371" t="n">
        <v>669</v>
      </c>
      <c r="Z371" t="n">
        <v>552</v>
      </c>
      <c r="AA371" t="n">
        <v>559</v>
      </c>
      <c r="AB371" t="n">
        <v>4</v>
      </c>
      <c r="AC371" t="n">
        <v>4</v>
      </c>
      <c r="AD371" t="n">
        <v>26</v>
      </c>
      <c r="AE371" t="n">
        <v>26</v>
      </c>
      <c r="AF371" t="n">
        <v>9</v>
      </c>
      <c r="AG371" t="n">
        <v>9</v>
      </c>
      <c r="AH371" t="n">
        <v>6</v>
      </c>
      <c r="AI371" t="n">
        <v>6</v>
      </c>
      <c r="AJ371" t="n">
        <v>14</v>
      </c>
      <c r="AK371" t="n">
        <v>14</v>
      </c>
      <c r="AL371" t="n">
        <v>3</v>
      </c>
      <c r="AM371" t="n">
        <v>3</v>
      </c>
      <c r="AN371" t="n">
        <v>0</v>
      </c>
      <c r="AO371" t="n">
        <v>0</v>
      </c>
      <c r="AP371" t="inlineStr">
        <is>
          <t>No</t>
        </is>
      </c>
      <c r="AQ371" t="inlineStr">
        <is>
          <t>Yes</t>
        </is>
      </c>
      <c r="AR371">
        <f>HYPERLINK("http://catalog.hathitrust.org/Record/000270281","HathiTrust Record")</f>
        <v/>
      </c>
      <c r="AS371">
        <f>HYPERLINK("https://creighton-primo.hosted.exlibrisgroup.com/primo-explore/search?tab=default_tab&amp;search_scope=EVERYTHING&amp;vid=01CRU&amp;lang=en_US&amp;offset=0&amp;query=any,contains,991000133989702656","Catalog Record")</f>
        <v/>
      </c>
      <c r="AT371">
        <f>HYPERLINK("http://www.worldcat.org/oclc/9125212","WorldCat Record")</f>
        <v/>
      </c>
      <c r="AU371" t="inlineStr">
        <is>
          <t>450732:eng</t>
        </is>
      </c>
      <c r="AV371" t="inlineStr">
        <is>
          <t>9125212</t>
        </is>
      </c>
      <c r="AW371" t="inlineStr">
        <is>
          <t>991000133989702656</t>
        </is>
      </c>
      <c r="AX371" t="inlineStr">
        <is>
          <t>991000133989702656</t>
        </is>
      </c>
      <c r="AY371" t="inlineStr">
        <is>
          <t>2267932750002656</t>
        </is>
      </c>
      <c r="AZ371" t="inlineStr">
        <is>
          <t>BOOK</t>
        </is>
      </c>
      <c r="BC371" t="inlineStr">
        <is>
          <t>32285001715217</t>
        </is>
      </c>
      <c r="BD371" t="inlineStr">
        <is>
          <t>893626218</t>
        </is>
      </c>
    </row>
    <row r="372">
      <c r="A372" t="inlineStr">
        <is>
          <t>No</t>
        </is>
      </c>
      <c r="B372" t="inlineStr">
        <is>
          <t>ND3363.A1 B66</t>
        </is>
      </c>
      <c r="C372" t="inlineStr">
        <is>
          <t>0                      ND 3363000A  1                  B  66</t>
        </is>
      </c>
      <c r="D372" t="inlineStr">
        <is>
          <t>The Book of hours / with a historical survey and commentary by John Harthan.</t>
        </is>
      </c>
      <c r="F372" t="inlineStr">
        <is>
          <t>No</t>
        </is>
      </c>
      <c r="G372" t="inlineStr">
        <is>
          <t>1</t>
        </is>
      </c>
      <c r="H372" t="inlineStr">
        <is>
          <t>No</t>
        </is>
      </c>
      <c r="I372" t="inlineStr">
        <is>
          <t>No</t>
        </is>
      </c>
      <c r="J372" t="inlineStr">
        <is>
          <t>0</t>
        </is>
      </c>
      <c r="L372" t="inlineStr">
        <is>
          <t>New York : Crowell, c1977.</t>
        </is>
      </c>
      <c r="M372" t="inlineStr">
        <is>
          <t>1977</t>
        </is>
      </c>
      <c r="O372" t="inlineStr">
        <is>
          <t>eng</t>
        </is>
      </c>
      <c r="P372" t="inlineStr">
        <is>
          <t>nyu</t>
        </is>
      </c>
      <c r="R372" t="inlineStr">
        <is>
          <t xml:space="preserve">ND </t>
        </is>
      </c>
      <c r="S372" t="n">
        <v>7</v>
      </c>
      <c r="T372" t="n">
        <v>7</v>
      </c>
      <c r="U372" t="inlineStr">
        <is>
          <t>2002-10-28</t>
        </is>
      </c>
      <c r="V372" t="inlineStr">
        <is>
          <t>2002-10-28</t>
        </is>
      </c>
      <c r="W372" t="inlineStr">
        <is>
          <t>1993-06-01</t>
        </is>
      </c>
      <c r="X372" t="inlineStr">
        <is>
          <t>1993-06-01</t>
        </is>
      </c>
      <c r="Y372" t="n">
        <v>753</v>
      </c>
      <c r="Z372" t="n">
        <v>700</v>
      </c>
      <c r="AA372" t="n">
        <v>787</v>
      </c>
      <c r="AB372" t="n">
        <v>4</v>
      </c>
      <c r="AC372" t="n">
        <v>6</v>
      </c>
      <c r="AD372" t="n">
        <v>28</v>
      </c>
      <c r="AE372" t="n">
        <v>29</v>
      </c>
      <c r="AF372" t="n">
        <v>9</v>
      </c>
      <c r="AG372" t="n">
        <v>9</v>
      </c>
      <c r="AH372" t="n">
        <v>7</v>
      </c>
      <c r="AI372" t="n">
        <v>7</v>
      </c>
      <c r="AJ372" t="n">
        <v>17</v>
      </c>
      <c r="AK372" t="n">
        <v>17</v>
      </c>
      <c r="AL372" t="n">
        <v>3</v>
      </c>
      <c r="AM372" t="n">
        <v>4</v>
      </c>
      <c r="AN372" t="n">
        <v>0</v>
      </c>
      <c r="AO372" t="n">
        <v>0</v>
      </c>
      <c r="AP372" t="inlineStr">
        <is>
          <t>No</t>
        </is>
      </c>
      <c r="AQ372" t="inlineStr">
        <is>
          <t>Yes</t>
        </is>
      </c>
      <c r="AR372">
        <f>HYPERLINK("http://catalog.hathitrust.org/Record/007480957","HathiTrust Record")</f>
        <v/>
      </c>
      <c r="AS372">
        <f>HYPERLINK("https://creighton-primo.hosted.exlibrisgroup.com/primo-explore/search?tab=default_tab&amp;search_scope=EVERYTHING&amp;vid=01CRU&amp;lang=en_US&amp;offset=0&amp;query=any,contains,991004586019702656","Catalog Record")</f>
        <v/>
      </c>
      <c r="AT372">
        <f>HYPERLINK("http://www.worldcat.org/oclc/2799237","WorldCat Record")</f>
        <v/>
      </c>
      <c r="AU372" t="inlineStr">
        <is>
          <t>2279859480:eng</t>
        </is>
      </c>
      <c r="AV372" t="inlineStr">
        <is>
          <t>2799237</t>
        </is>
      </c>
      <c r="AW372" t="inlineStr">
        <is>
          <t>991004586019702656</t>
        </is>
      </c>
      <c r="AX372" t="inlineStr">
        <is>
          <t>991004586019702656</t>
        </is>
      </c>
      <c r="AY372" t="inlineStr">
        <is>
          <t>2263366320002656</t>
        </is>
      </c>
      <c r="AZ372" t="inlineStr">
        <is>
          <t>BOOK</t>
        </is>
      </c>
      <c r="BB372" t="inlineStr">
        <is>
          <t>9780690016543</t>
        </is>
      </c>
      <c r="BC372" t="inlineStr">
        <is>
          <t>32285001715258</t>
        </is>
      </c>
      <c r="BD372" t="inlineStr">
        <is>
          <t>893869889</t>
        </is>
      </c>
    </row>
    <row r="373">
      <c r="A373" t="inlineStr">
        <is>
          <t>No</t>
        </is>
      </c>
      <c r="B373" t="inlineStr">
        <is>
          <t>ND3363.B5 T713 1969</t>
        </is>
      </c>
      <c r="C373" t="inlineStr">
        <is>
          <t>0                      ND 3363000B  5                  T  713         1969</t>
        </is>
      </c>
      <c r="D373" t="inlineStr">
        <is>
          <t>The Très riches heures of Jean, Duke of Berry : Musée Condé, Chantilly / introduction and legends by Jean Longnon and Raymond Cazelles ; preface by Millard Meiss ; [translated from the French by Victoria Benedict].</t>
        </is>
      </c>
      <c r="F373" t="inlineStr">
        <is>
          <t>No</t>
        </is>
      </c>
      <c r="G373" t="inlineStr">
        <is>
          <t>1</t>
        </is>
      </c>
      <c r="H373" t="inlineStr">
        <is>
          <t>No</t>
        </is>
      </c>
      <c r="I373" t="inlineStr">
        <is>
          <t>No</t>
        </is>
      </c>
      <c r="J373" t="inlineStr">
        <is>
          <t>0</t>
        </is>
      </c>
      <c r="K373" t="inlineStr">
        <is>
          <t>Très riches heures du duc de Berry. English.</t>
        </is>
      </c>
      <c r="L373" t="inlineStr">
        <is>
          <t>New York : G. Braziller, [1969]</t>
        </is>
      </c>
      <c r="M373" t="inlineStr">
        <is>
          <t>1969</t>
        </is>
      </c>
      <c r="O373" t="inlineStr">
        <is>
          <t>eng</t>
        </is>
      </c>
      <c r="P373" t="inlineStr">
        <is>
          <t>nyu</t>
        </is>
      </c>
      <c r="R373" t="inlineStr">
        <is>
          <t xml:space="preserve">ND </t>
        </is>
      </c>
      <c r="S373" t="n">
        <v>1</v>
      </c>
      <c r="T373" t="n">
        <v>1</v>
      </c>
      <c r="U373" t="inlineStr">
        <is>
          <t>2008-05-19</t>
        </is>
      </c>
      <c r="V373" t="inlineStr">
        <is>
          <t>2008-05-19</t>
        </is>
      </c>
      <c r="W373" t="inlineStr">
        <is>
          <t>2008-05-19</t>
        </is>
      </c>
      <c r="X373" t="inlineStr">
        <is>
          <t>2008-05-19</t>
        </is>
      </c>
      <c r="Y373" t="n">
        <v>1174</v>
      </c>
      <c r="Z373" t="n">
        <v>1072</v>
      </c>
      <c r="AA373" t="n">
        <v>1281</v>
      </c>
      <c r="AB373" t="n">
        <v>8</v>
      </c>
      <c r="AC373" t="n">
        <v>8</v>
      </c>
      <c r="AD373" t="n">
        <v>41</v>
      </c>
      <c r="AE373" t="n">
        <v>48</v>
      </c>
      <c r="AF373" t="n">
        <v>18</v>
      </c>
      <c r="AG373" t="n">
        <v>22</v>
      </c>
      <c r="AH373" t="n">
        <v>10</v>
      </c>
      <c r="AI373" t="n">
        <v>11</v>
      </c>
      <c r="AJ373" t="n">
        <v>18</v>
      </c>
      <c r="AK373" t="n">
        <v>22</v>
      </c>
      <c r="AL373" t="n">
        <v>4</v>
      </c>
      <c r="AM373" t="n">
        <v>4</v>
      </c>
      <c r="AN373" t="n">
        <v>0</v>
      </c>
      <c r="AO373" t="n">
        <v>0</v>
      </c>
      <c r="AP373" t="inlineStr">
        <is>
          <t>No</t>
        </is>
      </c>
      <c r="AQ373" t="inlineStr">
        <is>
          <t>Yes</t>
        </is>
      </c>
      <c r="AR373">
        <f>HYPERLINK("http://catalog.hathitrust.org/Record/000143628","HathiTrust Record")</f>
        <v/>
      </c>
      <c r="AS373">
        <f>HYPERLINK("https://creighton-primo.hosted.exlibrisgroup.com/primo-explore/search?tab=default_tab&amp;search_scope=EVERYTHING&amp;vid=01CRU&amp;lang=en_US&amp;offset=0&amp;query=any,contains,991005223059702656","Catalog Record")</f>
        <v/>
      </c>
      <c r="AT373">
        <f>HYPERLINK("http://www.worldcat.org/oclc/120082","WorldCat Record")</f>
        <v/>
      </c>
      <c r="AU373" t="inlineStr">
        <is>
          <t>3372622101:eng</t>
        </is>
      </c>
      <c r="AV373" t="inlineStr">
        <is>
          <t>120082</t>
        </is>
      </c>
      <c r="AW373" t="inlineStr">
        <is>
          <t>991005223059702656</t>
        </is>
      </c>
      <c r="AX373" t="inlineStr">
        <is>
          <t>991005223059702656</t>
        </is>
      </c>
      <c r="AY373" t="inlineStr">
        <is>
          <t>2264318340002656</t>
        </is>
      </c>
      <c r="AZ373" t="inlineStr">
        <is>
          <t>BOOK</t>
        </is>
      </c>
      <c r="BC373" t="inlineStr">
        <is>
          <t>32285005815013</t>
        </is>
      </c>
      <c r="BD373" t="inlineStr">
        <is>
          <t>893424759</t>
        </is>
      </c>
    </row>
    <row r="374">
      <c r="A374" t="inlineStr">
        <is>
          <t>No</t>
        </is>
      </c>
      <c r="B374" t="inlineStr">
        <is>
          <t>ND3399.L413 K38 1988</t>
        </is>
      </c>
      <c r="C374" t="inlineStr">
        <is>
          <t>0                      ND 3399000L  413                K  38          1988</t>
        </is>
      </c>
      <c r="D374" t="inlineStr">
        <is>
          <t>The Leiden Aratea : ancient constellations in a medieval manuscript / Ranee Katzenstein, Emilie Savage-Smith.</t>
        </is>
      </c>
      <c r="F374" t="inlineStr">
        <is>
          <t>No</t>
        </is>
      </c>
      <c r="G374" t="inlineStr">
        <is>
          <t>1</t>
        </is>
      </c>
      <c r="H374" t="inlineStr">
        <is>
          <t>No</t>
        </is>
      </c>
      <c r="I374" t="inlineStr">
        <is>
          <t>No</t>
        </is>
      </c>
      <c r="J374" t="inlineStr">
        <is>
          <t>0</t>
        </is>
      </c>
      <c r="K374" t="inlineStr">
        <is>
          <t>Katzenstein, Ranee.</t>
        </is>
      </c>
      <c r="L374" t="inlineStr">
        <is>
          <t>Malibu, Calif. : J. Paul Getty Museum, 1988.</t>
        </is>
      </c>
      <c r="M374" t="inlineStr">
        <is>
          <t>1988</t>
        </is>
      </c>
      <c r="O374" t="inlineStr">
        <is>
          <t>eng</t>
        </is>
      </c>
      <c r="P374" t="inlineStr">
        <is>
          <t>cau</t>
        </is>
      </c>
      <c r="R374" t="inlineStr">
        <is>
          <t xml:space="preserve">ND </t>
        </is>
      </c>
      <c r="S374" t="n">
        <v>6</v>
      </c>
      <c r="T374" t="n">
        <v>6</v>
      </c>
      <c r="U374" t="inlineStr">
        <is>
          <t>2010-10-04</t>
        </is>
      </c>
      <c r="V374" t="inlineStr">
        <is>
          <t>2010-10-04</t>
        </is>
      </c>
      <c r="W374" t="inlineStr">
        <is>
          <t>1992-06-18</t>
        </is>
      </c>
      <c r="X374" t="inlineStr">
        <is>
          <t>1992-06-18</t>
        </is>
      </c>
      <c r="Y374" t="n">
        <v>170</v>
      </c>
      <c r="Z374" t="n">
        <v>132</v>
      </c>
      <c r="AA374" t="n">
        <v>179</v>
      </c>
      <c r="AB374" t="n">
        <v>2</v>
      </c>
      <c r="AC374" t="n">
        <v>2</v>
      </c>
      <c r="AD374" t="n">
        <v>4</v>
      </c>
      <c r="AE374" t="n">
        <v>5</v>
      </c>
      <c r="AF374" t="n">
        <v>1</v>
      </c>
      <c r="AG374" t="n">
        <v>1</v>
      </c>
      <c r="AH374" t="n">
        <v>1</v>
      </c>
      <c r="AI374" t="n">
        <v>2</v>
      </c>
      <c r="AJ374" t="n">
        <v>3</v>
      </c>
      <c r="AK374" t="n">
        <v>3</v>
      </c>
      <c r="AL374" t="n">
        <v>1</v>
      </c>
      <c r="AM374" t="n">
        <v>1</v>
      </c>
      <c r="AN374" t="n">
        <v>0</v>
      </c>
      <c r="AO374" t="n">
        <v>0</v>
      </c>
      <c r="AP374" t="inlineStr">
        <is>
          <t>No</t>
        </is>
      </c>
      <c r="AQ374" t="inlineStr">
        <is>
          <t>Yes</t>
        </is>
      </c>
      <c r="AR374">
        <f>HYPERLINK("http://catalog.hathitrust.org/Record/001103882","HathiTrust Record")</f>
        <v/>
      </c>
      <c r="AS374">
        <f>HYPERLINK("https://creighton-primo.hosted.exlibrisgroup.com/primo-explore/search?tab=default_tab&amp;search_scope=EVERYTHING&amp;vid=01CRU&amp;lang=en_US&amp;offset=0&amp;query=any,contains,991001376619702656","Catalog Record")</f>
        <v/>
      </c>
      <c r="AT374">
        <f>HYPERLINK("http://www.worldcat.org/oclc/18624532","WorldCat Record")</f>
        <v/>
      </c>
      <c r="AU374" t="inlineStr">
        <is>
          <t>367835392:eng</t>
        </is>
      </c>
      <c r="AV374" t="inlineStr">
        <is>
          <t>18624532</t>
        </is>
      </c>
      <c r="AW374" t="inlineStr">
        <is>
          <t>991001376619702656</t>
        </is>
      </c>
      <c r="AX374" t="inlineStr">
        <is>
          <t>991001376619702656</t>
        </is>
      </c>
      <c r="AY374" t="inlineStr">
        <is>
          <t>2266188330002656</t>
        </is>
      </c>
      <c r="AZ374" t="inlineStr">
        <is>
          <t>BOOK</t>
        </is>
      </c>
      <c r="BB374" t="inlineStr">
        <is>
          <t>9780892361427</t>
        </is>
      </c>
      <c r="BC374" t="inlineStr">
        <is>
          <t>32285001129674</t>
        </is>
      </c>
      <c r="BD374" t="inlineStr">
        <is>
          <t>893696696</t>
        </is>
      </c>
    </row>
    <row r="375">
      <c r="A375" t="inlineStr">
        <is>
          <t>No</t>
        </is>
      </c>
      <c r="B375" t="inlineStr">
        <is>
          <t>ND3410.B74 A4 1989</t>
        </is>
      </c>
      <c r="C375" t="inlineStr">
        <is>
          <t>0                      ND 3410000B  74                 A  4           1989</t>
        </is>
      </c>
      <c r="D375" t="inlineStr">
        <is>
          <t>The Christmas story / illuminated by Isabelle Brent.</t>
        </is>
      </c>
      <c r="F375" t="inlineStr">
        <is>
          <t>No</t>
        </is>
      </c>
      <c r="G375" t="inlineStr">
        <is>
          <t>1</t>
        </is>
      </c>
      <c r="H375" t="inlineStr">
        <is>
          <t>No</t>
        </is>
      </c>
      <c r="I375" t="inlineStr">
        <is>
          <t>No</t>
        </is>
      </c>
      <c r="J375" t="inlineStr">
        <is>
          <t>0</t>
        </is>
      </c>
      <c r="K375" t="inlineStr">
        <is>
          <t>Brent, Isabelle.</t>
        </is>
      </c>
      <c r="L375" t="inlineStr">
        <is>
          <t>New York : Dial Books for Young Readers, 1989.</t>
        </is>
      </c>
      <c r="M375" t="inlineStr">
        <is>
          <t>1989</t>
        </is>
      </c>
      <c r="N375" t="inlineStr">
        <is>
          <t>1st ed.</t>
        </is>
      </c>
      <c r="O375" t="inlineStr">
        <is>
          <t>eng</t>
        </is>
      </c>
      <c r="P375" t="inlineStr">
        <is>
          <t>nyu</t>
        </is>
      </c>
      <c r="R375" t="inlineStr">
        <is>
          <t xml:space="preserve">ND </t>
        </is>
      </c>
      <c r="S375" t="n">
        <v>7</v>
      </c>
      <c r="T375" t="n">
        <v>7</v>
      </c>
      <c r="U375" t="inlineStr">
        <is>
          <t>1995-05-02</t>
        </is>
      </c>
      <c r="V375" t="inlineStr">
        <is>
          <t>1995-05-02</t>
        </is>
      </c>
      <c r="W375" t="inlineStr">
        <is>
          <t>1989-12-07</t>
        </is>
      </c>
      <c r="X375" t="inlineStr">
        <is>
          <t>1989-12-07</t>
        </is>
      </c>
      <c r="Y375" t="n">
        <v>504</v>
      </c>
      <c r="Z375" t="n">
        <v>488</v>
      </c>
      <c r="AA375" t="n">
        <v>526</v>
      </c>
      <c r="AB375" t="n">
        <v>9</v>
      </c>
      <c r="AC375" t="n">
        <v>9</v>
      </c>
      <c r="AD375" t="n">
        <v>1</v>
      </c>
      <c r="AE375" t="n">
        <v>1</v>
      </c>
      <c r="AF375" t="n">
        <v>0</v>
      </c>
      <c r="AG375" t="n">
        <v>0</v>
      </c>
      <c r="AH375" t="n">
        <v>1</v>
      </c>
      <c r="AI375" t="n">
        <v>1</v>
      </c>
      <c r="AJ375" t="n">
        <v>0</v>
      </c>
      <c r="AK375" t="n">
        <v>0</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HYPERLINK("https://creighton-primo.hosted.exlibrisgroup.com/primo-explore/search?tab=default_tab&amp;search_scope=EVERYTHING&amp;vid=01CRU&amp;lang=en_US&amp;offset=0&amp;query=any,contains,991004450959702656","Catalog Record")</f>
        <v/>
      </c>
      <c r="AT375">
        <f>HYPERLINK("http://www.worldcat.org/oclc/19323136","WorldCat Record")</f>
        <v/>
      </c>
      <c r="AU375" t="inlineStr">
        <is>
          <t>21383592:eng</t>
        </is>
      </c>
      <c r="AV375" t="inlineStr">
        <is>
          <t>19323136</t>
        </is>
      </c>
      <c r="AW375" t="inlineStr">
        <is>
          <t>991004450959702656</t>
        </is>
      </c>
      <c r="AX375" t="inlineStr">
        <is>
          <t>991004450959702656</t>
        </is>
      </c>
      <c r="AY375" t="inlineStr">
        <is>
          <t>2268547270002656</t>
        </is>
      </c>
      <c r="AZ375" t="inlineStr">
        <is>
          <t>BOOK</t>
        </is>
      </c>
      <c r="BB375" t="inlineStr">
        <is>
          <t>9780803707306</t>
        </is>
      </c>
      <c r="BC375" t="inlineStr">
        <is>
          <t>32285000017532</t>
        </is>
      </c>
      <c r="BD375" t="inlineStr">
        <is>
          <t>893770779</t>
        </is>
      </c>
    </row>
    <row r="376">
      <c r="A376" t="inlineStr">
        <is>
          <t>No</t>
        </is>
      </c>
      <c r="B376" t="inlineStr">
        <is>
          <t>ND36 .R4 1965</t>
        </is>
      </c>
      <c r="C376" t="inlineStr">
        <is>
          <t>0                      ND 0036000R  4           1965</t>
        </is>
      </c>
      <c r="D376" t="inlineStr">
        <is>
          <t>Reader's digest family treasury of great painters and great paintings.</t>
        </is>
      </c>
      <c r="F376" t="inlineStr">
        <is>
          <t>No</t>
        </is>
      </c>
      <c r="G376" t="inlineStr">
        <is>
          <t>1</t>
        </is>
      </c>
      <c r="H376" t="inlineStr">
        <is>
          <t>No</t>
        </is>
      </c>
      <c r="I376" t="inlineStr">
        <is>
          <t>No</t>
        </is>
      </c>
      <c r="J376" t="inlineStr">
        <is>
          <t>0</t>
        </is>
      </c>
      <c r="K376" t="inlineStr">
        <is>
          <t>Reader's Digest Association.</t>
        </is>
      </c>
      <c r="L376" t="inlineStr">
        <is>
          <t>Pleasantville, N.Y. : Reader's Digest Association ; distributors: Little, Brown, Boston ; [1965]</t>
        </is>
      </c>
      <c r="M376" t="inlineStr">
        <is>
          <t>1965</t>
        </is>
      </c>
      <c r="O376" t="inlineStr">
        <is>
          <t>eng</t>
        </is>
      </c>
      <c r="P376" t="inlineStr">
        <is>
          <t>nyu</t>
        </is>
      </c>
      <c r="R376" t="inlineStr">
        <is>
          <t xml:space="preserve">ND </t>
        </is>
      </c>
      <c r="S376" t="n">
        <v>3</v>
      </c>
      <c r="T376" t="n">
        <v>3</v>
      </c>
      <c r="U376" t="inlineStr">
        <is>
          <t>1992-03-22</t>
        </is>
      </c>
      <c r="V376" t="inlineStr">
        <is>
          <t>1992-03-22</t>
        </is>
      </c>
      <c r="W376" t="inlineStr">
        <is>
          <t>1991-09-18</t>
        </is>
      </c>
      <c r="X376" t="inlineStr">
        <is>
          <t>1991-09-18</t>
        </is>
      </c>
      <c r="Y376" t="n">
        <v>908</v>
      </c>
      <c r="Z376" t="n">
        <v>823</v>
      </c>
      <c r="AA376" t="n">
        <v>839</v>
      </c>
      <c r="AB376" t="n">
        <v>7</v>
      </c>
      <c r="AC376" t="n">
        <v>7</v>
      </c>
      <c r="AD376" t="n">
        <v>9</v>
      </c>
      <c r="AE376" t="n">
        <v>11</v>
      </c>
      <c r="AF376" t="n">
        <v>6</v>
      </c>
      <c r="AG376" t="n">
        <v>7</v>
      </c>
      <c r="AH376" t="n">
        <v>0</v>
      </c>
      <c r="AI376" t="n">
        <v>1</v>
      </c>
      <c r="AJ376" t="n">
        <v>2</v>
      </c>
      <c r="AK376" t="n">
        <v>2</v>
      </c>
      <c r="AL376" t="n">
        <v>2</v>
      </c>
      <c r="AM376" t="n">
        <v>2</v>
      </c>
      <c r="AN376" t="n">
        <v>0</v>
      </c>
      <c r="AO376" t="n">
        <v>0</v>
      </c>
      <c r="AP376" t="inlineStr">
        <is>
          <t>No</t>
        </is>
      </c>
      <c r="AQ376" t="inlineStr">
        <is>
          <t>Yes</t>
        </is>
      </c>
      <c r="AR376">
        <f>HYPERLINK("http://catalog.hathitrust.org/Record/008511111","HathiTrust Record")</f>
        <v/>
      </c>
      <c r="AS376">
        <f>HYPERLINK("https://creighton-primo.hosted.exlibrisgroup.com/primo-explore/search?tab=default_tab&amp;search_scope=EVERYTHING&amp;vid=01CRU&amp;lang=en_US&amp;offset=0&amp;query=any,contains,991002875259702656","Catalog Record")</f>
        <v/>
      </c>
      <c r="AT376">
        <f>HYPERLINK("http://www.worldcat.org/oclc/502119","WorldCat Record")</f>
        <v/>
      </c>
      <c r="AU376" t="inlineStr">
        <is>
          <t>4757928845:eng</t>
        </is>
      </c>
      <c r="AV376" t="inlineStr">
        <is>
          <t>502119</t>
        </is>
      </c>
      <c r="AW376" t="inlineStr">
        <is>
          <t>991002875259702656</t>
        </is>
      </c>
      <c r="AX376" t="inlineStr">
        <is>
          <t>991002875259702656</t>
        </is>
      </c>
      <c r="AY376" t="inlineStr">
        <is>
          <t>2263983400002656</t>
        </is>
      </c>
      <c r="AZ376" t="inlineStr">
        <is>
          <t>BOOK</t>
        </is>
      </c>
      <c r="BC376" t="inlineStr">
        <is>
          <t>32285000741255</t>
        </is>
      </c>
      <c r="BD376" t="inlineStr">
        <is>
          <t>893591904</t>
        </is>
      </c>
    </row>
    <row r="377">
      <c r="A377" t="inlineStr">
        <is>
          <t>No</t>
        </is>
      </c>
      <c r="B377" t="inlineStr">
        <is>
          <t>ND369.B73 S85 1987</t>
        </is>
      </c>
      <c r="C377" t="inlineStr">
        <is>
          <t>0                      ND 0369000B  73                 S  85          1987</t>
        </is>
      </c>
      <c r="D377" t="inlineStr">
        <is>
          <t>Claudio Bravo, painter and draftsman / guest curator, Edward J. Sullivan ; organized by Elvehjem Museum of Art, University of Wisconsin-Madison.</t>
        </is>
      </c>
      <c r="F377" t="inlineStr">
        <is>
          <t>No</t>
        </is>
      </c>
      <c r="G377" t="inlineStr">
        <is>
          <t>1</t>
        </is>
      </c>
      <c r="H377" t="inlineStr">
        <is>
          <t>No</t>
        </is>
      </c>
      <c r="I377" t="inlineStr">
        <is>
          <t>No</t>
        </is>
      </c>
      <c r="J377" t="inlineStr">
        <is>
          <t>0</t>
        </is>
      </c>
      <c r="K377" t="inlineStr">
        <is>
          <t>Bravo, Claudio, 1936-2011.</t>
        </is>
      </c>
      <c r="L377" t="inlineStr">
        <is>
          <t>[Madison, Wis. : Elvehjem Museum of Art, c1987]</t>
        </is>
      </c>
      <c r="M377" t="inlineStr">
        <is>
          <t>1987</t>
        </is>
      </c>
      <c r="O377" t="inlineStr">
        <is>
          <t>eng</t>
        </is>
      </c>
      <c r="P377" t="inlineStr">
        <is>
          <t>wiu</t>
        </is>
      </c>
      <c r="R377" t="inlineStr">
        <is>
          <t xml:space="preserve">ND </t>
        </is>
      </c>
      <c r="S377" t="n">
        <v>1</v>
      </c>
      <c r="T377" t="n">
        <v>1</v>
      </c>
      <c r="U377" t="inlineStr">
        <is>
          <t>2005-07-19</t>
        </is>
      </c>
      <c r="V377" t="inlineStr">
        <is>
          <t>2005-07-19</t>
        </is>
      </c>
      <c r="W377" t="inlineStr">
        <is>
          <t>2005-07-19</t>
        </is>
      </c>
      <c r="X377" t="inlineStr">
        <is>
          <t>2005-07-19</t>
        </is>
      </c>
      <c r="Y377" t="n">
        <v>159</v>
      </c>
      <c r="Z377" t="n">
        <v>143</v>
      </c>
      <c r="AA377" t="n">
        <v>154</v>
      </c>
      <c r="AB377" t="n">
        <v>2</v>
      </c>
      <c r="AC377" t="n">
        <v>2</v>
      </c>
      <c r="AD377" t="n">
        <v>2</v>
      </c>
      <c r="AE377" t="n">
        <v>2</v>
      </c>
      <c r="AF377" t="n">
        <v>0</v>
      </c>
      <c r="AG377" t="n">
        <v>0</v>
      </c>
      <c r="AH377" t="n">
        <v>1</v>
      </c>
      <c r="AI377" t="n">
        <v>1</v>
      </c>
      <c r="AJ377" t="n">
        <v>0</v>
      </c>
      <c r="AK377" t="n">
        <v>0</v>
      </c>
      <c r="AL377" t="n">
        <v>1</v>
      </c>
      <c r="AM377" t="n">
        <v>1</v>
      </c>
      <c r="AN377" t="n">
        <v>0</v>
      </c>
      <c r="AO377" t="n">
        <v>0</v>
      </c>
      <c r="AP377" t="inlineStr">
        <is>
          <t>No</t>
        </is>
      </c>
      <c r="AQ377" t="inlineStr">
        <is>
          <t>Yes</t>
        </is>
      </c>
      <c r="AR377">
        <f>HYPERLINK("http://catalog.hathitrust.org/Record/000876623","HathiTrust Record")</f>
        <v/>
      </c>
      <c r="AS377">
        <f>HYPERLINK("https://creighton-primo.hosted.exlibrisgroup.com/primo-explore/search?tab=default_tab&amp;search_scope=EVERYTHING&amp;vid=01CRU&amp;lang=en_US&amp;offset=0&amp;query=any,contains,991004604679702656","Catalog Record")</f>
        <v/>
      </c>
      <c r="AT377">
        <f>HYPERLINK("http://www.worldcat.org/oclc/16797750","WorldCat Record")</f>
        <v/>
      </c>
      <c r="AU377" t="inlineStr">
        <is>
          <t>909777577:eng</t>
        </is>
      </c>
      <c r="AV377" t="inlineStr">
        <is>
          <t>16797750</t>
        </is>
      </c>
      <c r="AW377" t="inlineStr">
        <is>
          <t>991004604679702656</t>
        </is>
      </c>
      <c r="AX377" t="inlineStr">
        <is>
          <t>991004604679702656</t>
        </is>
      </c>
      <c r="AY377" t="inlineStr">
        <is>
          <t>2265313580002656</t>
        </is>
      </c>
      <c r="AZ377" t="inlineStr">
        <is>
          <t>BOOK</t>
        </is>
      </c>
      <c r="BB377" t="inlineStr">
        <is>
          <t>9780932900166</t>
        </is>
      </c>
      <c r="BC377" t="inlineStr">
        <is>
          <t>32285005096614</t>
        </is>
      </c>
      <c r="BD377" t="inlineStr">
        <is>
          <t>893442814</t>
        </is>
      </c>
    </row>
    <row r="378">
      <c r="A378" t="inlineStr">
        <is>
          <t>No</t>
        </is>
      </c>
      <c r="B378" t="inlineStr">
        <is>
          <t>ND38 .G73 1979</t>
        </is>
      </c>
      <c r="C378" t="inlineStr">
        <is>
          <t>0                      ND 0038000G  73          1979</t>
        </is>
      </c>
      <c r="D378" t="inlineStr">
        <is>
          <t>The obstacle race : the fortunes of women painters and their work / Germaine Greer.</t>
        </is>
      </c>
      <c r="F378" t="inlineStr">
        <is>
          <t>No</t>
        </is>
      </c>
      <c r="G378" t="inlineStr">
        <is>
          <t>1</t>
        </is>
      </c>
      <c r="H378" t="inlineStr">
        <is>
          <t>No</t>
        </is>
      </c>
      <c r="I378" t="inlineStr">
        <is>
          <t>No</t>
        </is>
      </c>
      <c r="J378" t="inlineStr">
        <is>
          <t>0</t>
        </is>
      </c>
      <c r="K378" t="inlineStr">
        <is>
          <t>Greer, Germaine, 1939-</t>
        </is>
      </c>
      <c r="L378" t="inlineStr">
        <is>
          <t>New York : Farrar, Straus, Giroux, 1979.</t>
        </is>
      </c>
      <c r="M378" t="inlineStr">
        <is>
          <t>1979</t>
        </is>
      </c>
      <c r="N378" t="inlineStr">
        <is>
          <t>1st ed.</t>
        </is>
      </c>
      <c r="O378" t="inlineStr">
        <is>
          <t>eng</t>
        </is>
      </c>
      <c r="P378" t="inlineStr">
        <is>
          <t>nyu</t>
        </is>
      </c>
      <c r="R378" t="inlineStr">
        <is>
          <t xml:space="preserve">ND </t>
        </is>
      </c>
      <c r="S378" t="n">
        <v>1</v>
      </c>
      <c r="T378" t="n">
        <v>1</v>
      </c>
      <c r="U378" t="inlineStr">
        <is>
          <t>1993-03-23</t>
        </is>
      </c>
      <c r="V378" t="inlineStr">
        <is>
          <t>1993-03-23</t>
        </is>
      </c>
      <c r="W378" t="inlineStr">
        <is>
          <t>1992-02-06</t>
        </is>
      </c>
      <c r="X378" t="inlineStr">
        <is>
          <t>1992-02-06</t>
        </is>
      </c>
      <c r="Y378" t="n">
        <v>1646</v>
      </c>
      <c r="Z378" t="n">
        <v>1509</v>
      </c>
      <c r="AA378" t="n">
        <v>1576</v>
      </c>
      <c r="AB378" t="n">
        <v>12</v>
      </c>
      <c r="AC378" t="n">
        <v>13</v>
      </c>
      <c r="AD378" t="n">
        <v>42</v>
      </c>
      <c r="AE378" t="n">
        <v>47</v>
      </c>
      <c r="AF378" t="n">
        <v>19</v>
      </c>
      <c r="AG378" t="n">
        <v>21</v>
      </c>
      <c r="AH378" t="n">
        <v>7</v>
      </c>
      <c r="AI378" t="n">
        <v>9</v>
      </c>
      <c r="AJ378" t="n">
        <v>18</v>
      </c>
      <c r="AK378" t="n">
        <v>20</v>
      </c>
      <c r="AL378" t="n">
        <v>8</v>
      </c>
      <c r="AM378" t="n">
        <v>9</v>
      </c>
      <c r="AN378" t="n">
        <v>0</v>
      </c>
      <c r="AO378" t="n">
        <v>0</v>
      </c>
      <c r="AP378" t="inlineStr">
        <is>
          <t>No</t>
        </is>
      </c>
      <c r="AQ378" t="inlineStr">
        <is>
          <t>Yes</t>
        </is>
      </c>
      <c r="AR378">
        <f>HYPERLINK("http://catalog.hathitrust.org/Record/000754595","HathiTrust Record")</f>
        <v/>
      </c>
      <c r="AS378">
        <f>HYPERLINK("https://creighton-primo.hosted.exlibrisgroup.com/primo-explore/search?tab=default_tab&amp;search_scope=EVERYTHING&amp;vid=01CRU&amp;lang=en_US&amp;offset=0&amp;query=any,contains,991004790339702656","Catalog Record")</f>
        <v/>
      </c>
      <c r="AT378">
        <f>HYPERLINK("http://www.worldcat.org/oclc/5170928","WorldCat Record")</f>
        <v/>
      </c>
      <c r="AU378" t="inlineStr">
        <is>
          <t>450434:eng</t>
        </is>
      </c>
      <c r="AV378" t="inlineStr">
        <is>
          <t>5170928</t>
        </is>
      </c>
      <c r="AW378" t="inlineStr">
        <is>
          <t>991004790339702656</t>
        </is>
      </c>
      <c r="AX378" t="inlineStr">
        <is>
          <t>991004790339702656</t>
        </is>
      </c>
      <c r="AY378" t="inlineStr">
        <is>
          <t>2259319500002656</t>
        </is>
      </c>
      <c r="AZ378" t="inlineStr">
        <is>
          <t>BOOK</t>
        </is>
      </c>
      <c r="BB378" t="inlineStr">
        <is>
          <t>9780374224127</t>
        </is>
      </c>
      <c r="BC378" t="inlineStr">
        <is>
          <t>32285000943620</t>
        </is>
      </c>
      <c r="BD378" t="inlineStr">
        <is>
          <t>893795279</t>
        </is>
      </c>
    </row>
    <row r="379">
      <c r="A379" t="inlineStr">
        <is>
          <t>No</t>
        </is>
      </c>
      <c r="B379" t="inlineStr">
        <is>
          <t>ND40 .S65</t>
        </is>
      </c>
      <c r="C379" t="inlineStr">
        <is>
          <t>0                      ND 0040000S  65</t>
        </is>
      </c>
      <c r="D379"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79" t="inlineStr">
        <is>
          <t>V.5</t>
        </is>
      </c>
      <c r="F379" t="inlineStr">
        <is>
          <t>Yes</t>
        </is>
      </c>
      <c r="G379" t="inlineStr">
        <is>
          <t>1</t>
        </is>
      </c>
      <c r="H379" t="inlineStr">
        <is>
          <t>No</t>
        </is>
      </c>
      <c r="I379" t="inlineStr">
        <is>
          <t>No</t>
        </is>
      </c>
      <c r="J379" t="inlineStr">
        <is>
          <t>0</t>
        </is>
      </c>
      <c r="K379" t="inlineStr">
        <is>
          <t>Smith, John, 1781-1855.</t>
        </is>
      </c>
      <c r="L379" t="inlineStr">
        <is>
          <t>London, Smith and son, 1829-42.</t>
        </is>
      </c>
      <c r="M379" t="inlineStr">
        <is>
          <t>1829</t>
        </is>
      </c>
      <c r="O379" t="inlineStr">
        <is>
          <t>eng</t>
        </is>
      </c>
      <c r="P379" t="inlineStr">
        <is>
          <t>enk</t>
        </is>
      </c>
      <c r="R379" t="inlineStr">
        <is>
          <t xml:space="preserve">ND </t>
        </is>
      </c>
      <c r="S379" t="n">
        <v>0</v>
      </c>
      <c r="T379" t="n">
        <v>5</v>
      </c>
      <c r="U379" t="inlineStr">
        <is>
          <t>2002-01-07</t>
        </is>
      </c>
      <c r="V379" t="inlineStr">
        <is>
          <t>2002-01-07</t>
        </is>
      </c>
      <c r="W379" t="inlineStr">
        <is>
          <t>1997-07-21</t>
        </is>
      </c>
      <c r="X379" t="inlineStr">
        <is>
          <t>1997-07-21</t>
        </is>
      </c>
      <c r="Y379" t="n">
        <v>123</v>
      </c>
      <c r="Z379" t="n">
        <v>101</v>
      </c>
      <c r="AA379" t="n">
        <v>201</v>
      </c>
      <c r="AB379" t="n">
        <v>2</v>
      </c>
      <c r="AC379" t="n">
        <v>4</v>
      </c>
      <c r="AD379" t="n">
        <v>3</v>
      </c>
      <c r="AE379" t="n">
        <v>7</v>
      </c>
      <c r="AF379" t="n">
        <v>2</v>
      </c>
      <c r="AG379" t="n">
        <v>2</v>
      </c>
      <c r="AH379" t="n">
        <v>0</v>
      </c>
      <c r="AI379" t="n">
        <v>2</v>
      </c>
      <c r="AJ379" t="n">
        <v>1</v>
      </c>
      <c r="AK379" t="n">
        <v>2</v>
      </c>
      <c r="AL379" t="n">
        <v>0</v>
      </c>
      <c r="AM379" t="n">
        <v>1</v>
      </c>
      <c r="AN379" t="n">
        <v>0</v>
      </c>
      <c r="AO379" t="n">
        <v>0</v>
      </c>
      <c r="AP379" t="inlineStr">
        <is>
          <t>Yes</t>
        </is>
      </c>
      <c r="AQ379" t="inlineStr">
        <is>
          <t>No</t>
        </is>
      </c>
      <c r="AR379">
        <f>HYPERLINK("http://catalog.hathitrust.org/Record/000345717","HathiTrust Record")</f>
        <v/>
      </c>
      <c r="AS379">
        <f>HYPERLINK("https://creighton-primo.hosted.exlibrisgroup.com/primo-explore/search?tab=default_tab&amp;search_scope=EVERYTHING&amp;vid=01CRU&amp;lang=en_US&amp;offset=0&amp;query=any,contains,991003201629702656","Catalog Record")</f>
        <v/>
      </c>
      <c r="AT379">
        <f>HYPERLINK("http://www.worldcat.org/oclc/726640","WorldCat Record")</f>
        <v/>
      </c>
      <c r="AU379" t="inlineStr">
        <is>
          <t>373339496:eng</t>
        </is>
      </c>
      <c r="AV379" t="inlineStr">
        <is>
          <t>726640</t>
        </is>
      </c>
      <c r="AW379" t="inlineStr">
        <is>
          <t>991003201629702656</t>
        </is>
      </c>
      <c r="AX379" t="inlineStr">
        <is>
          <t>991003201629702656</t>
        </is>
      </c>
      <c r="AY379" t="inlineStr">
        <is>
          <t>2263982600002656</t>
        </is>
      </c>
      <c r="AZ379" t="inlineStr">
        <is>
          <t>BOOK</t>
        </is>
      </c>
      <c r="BC379" t="inlineStr">
        <is>
          <t>32285002965696</t>
        </is>
      </c>
      <c r="BD379" t="inlineStr">
        <is>
          <t>893686285</t>
        </is>
      </c>
    </row>
    <row r="380">
      <c r="A380" t="inlineStr">
        <is>
          <t>No</t>
        </is>
      </c>
      <c r="B380" t="inlineStr">
        <is>
          <t>ND40 .S65</t>
        </is>
      </c>
      <c r="C380" t="inlineStr">
        <is>
          <t>0                      ND 0040000S  65</t>
        </is>
      </c>
      <c r="D380"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0" t="inlineStr">
        <is>
          <t>V.7</t>
        </is>
      </c>
      <c r="F380" t="inlineStr">
        <is>
          <t>Yes</t>
        </is>
      </c>
      <c r="G380" t="inlineStr">
        <is>
          <t>1</t>
        </is>
      </c>
      <c r="H380" t="inlineStr">
        <is>
          <t>No</t>
        </is>
      </c>
      <c r="I380" t="inlineStr">
        <is>
          <t>No</t>
        </is>
      </c>
      <c r="J380" t="inlineStr">
        <is>
          <t>0</t>
        </is>
      </c>
      <c r="K380" t="inlineStr">
        <is>
          <t>Smith, John, 1781-1855.</t>
        </is>
      </c>
      <c r="L380" t="inlineStr">
        <is>
          <t>London, Smith and son, 1829-42.</t>
        </is>
      </c>
      <c r="M380" t="inlineStr">
        <is>
          <t>1829</t>
        </is>
      </c>
      <c r="O380" t="inlineStr">
        <is>
          <t>eng</t>
        </is>
      </c>
      <c r="P380" t="inlineStr">
        <is>
          <t>enk</t>
        </is>
      </c>
      <c r="R380" t="inlineStr">
        <is>
          <t xml:space="preserve">ND </t>
        </is>
      </c>
      <c r="S380" t="n">
        <v>0</v>
      </c>
      <c r="T380" t="n">
        <v>5</v>
      </c>
      <c r="U380" t="inlineStr">
        <is>
          <t>2002-01-07</t>
        </is>
      </c>
      <c r="V380" t="inlineStr">
        <is>
          <t>2002-01-07</t>
        </is>
      </c>
      <c r="W380" t="inlineStr">
        <is>
          <t>1997-07-21</t>
        </is>
      </c>
      <c r="X380" t="inlineStr">
        <is>
          <t>1997-07-21</t>
        </is>
      </c>
      <c r="Y380" t="n">
        <v>123</v>
      </c>
      <c r="Z380" t="n">
        <v>101</v>
      </c>
      <c r="AA380" t="n">
        <v>201</v>
      </c>
      <c r="AB380" t="n">
        <v>2</v>
      </c>
      <c r="AC380" t="n">
        <v>4</v>
      </c>
      <c r="AD380" t="n">
        <v>3</v>
      </c>
      <c r="AE380" t="n">
        <v>7</v>
      </c>
      <c r="AF380" t="n">
        <v>2</v>
      </c>
      <c r="AG380" t="n">
        <v>2</v>
      </c>
      <c r="AH380" t="n">
        <v>0</v>
      </c>
      <c r="AI380" t="n">
        <v>2</v>
      </c>
      <c r="AJ380" t="n">
        <v>1</v>
      </c>
      <c r="AK380" t="n">
        <v>2</v>
      </c>
      <c r="AL380" t="n">
        <v>0</v>
      </c>
      <c r="AM380" t="n">
        <v>1</v>
      </c>
      <c r="AN380" t="n">
        <v>0</v>
      </c>
      <c r="AO380" t="n">
        <v>0</v>
      </c>
      <c r="AP380" t="inlineStr">
        <is>
          <t>Yes</t>
        </is>
      </c>
      <c r="AQ380" t="inlineStr">
        <is>
          <t>No</t>
        </is>
      </c>
      <c r="AR380">
        <f>HYPERLINK("http://catalog.hathitrust.org/Record/000345717","HathiTrust Record")</f>
        <v/>
      </c>
      <c r="AS380">
        <f>HYPERLINK("https://creighton-primo.hosted.exlibrisgroup.com/primo-explore/search?tab=default_tab&amp;search_scope=EVERYTHING&amp;vid=01CRU&amp;lang=en_US&amp;offset=0&amp;query=any,contains,991003201629702656","Catalog Record")</f>
        <v/>
      </c>
      <c r="AT380">
        <f>HYPERLINK("http://www.worldcat.org/oclc/726640","WorldCat Record")</f>
        <v/>
      </c>
      <c r="AU380" t="inlineStr">
        <is>
          <t>373339496:eng</t>
        </is>
      </c>
      <c r="AV380" t="inlineStr">
        <is>
          <t>726640</t>
        </is>
      </c>
      <c r="AW380" t="inlineStr">
        <is>
          <t>991003201629702656</t>
        </is>
      </c>
      <c r="AX380" t="inlineStr">
        <is>
          <t>991003201629702656</t>
        </is>
      </c>
      <c r="AY380" t="inlineStr">
        <is>
          <t>2263982600002656</t>
        </is>
      </c>
      <c r="AZ380" t="inlineStr">
        <is>
          <t>BOOK</t>
        </is>
      </c>
      <c r="BC380" t="inlineStr">
        <is>
          <t>32285002965704</t>
        </is>
      </c>
      <c r="BD380" t="inlineStr">
        <is>
          <t>893686284</t>
        </is>
      </c>
    </row>
    <row r="381">
      <c r="A381" t="inlineStr">
        <is>
          <t>No</t>
        </is>
      </c>
      <c r="B381" t="inlineStr">
        <is>
          <t>ND40 .S65</t>
        </is>
      </c>
      <c r="C381" t="inlineStr">
        <is>
          <t>0                      ND 0040000S  65</t>
        </is>
      </c>
      <c r="D381"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1" t="inlineStr">
        <is>
          <t>V.4</t>
        </is>
      </c>
      <c r="F381" t="inlineStr">
        <is>
          <t>Yes</t>
        </is>
      </c>
      <c r="G381" t="inlineStr">
        <is>
          <t>1</t>
        </is>
      </c>
      <c r="H381" t="inlineStr">
        <is>
          <t>No</t>
        </is>
      </c>
      <c r="I381" t="inlineStr">
        <is>
          <t>No</t>
        </is>
      </c>
      <c r="J381" t="inlineStr">
        <is>
          <t>0</t>
        </is>
      </c>
      <c r="K381" t="inlineStr">
        <is>
          <t>Smith, John, 1781-1855.</t>
        </is>
      </c>
      <c r="L381" t="inlineStr">
        <is>
          <t>London, Smith and son, 1829-42.</t>
        </is>
      </c>
      <c r="M381" t="inlineStr">
        <is>
          <t>1829</t>
        </is>
      </c>
      <c r="O381" t="inlineStr">
        <is>
          <t>eng</t>
        </is>
      </c>
      <c r="P381" t="inlineStr">
        <is>
          <t>enk</t>
        </is>
      </c>
      <c r="R381" t="inlineStr">
        <is>
          <t xml:space="preserve">ND </t>
        </is>
      </c>
      <c r="S381" t="n">
        <v>1</v>
      </c>
      <c r="T381" t="n">
        <v>5</v>
      </c>
      <c r="U381" t="inlineStr">
        <is>
          <t>2002-01-07</t>
        </is>
      </c>
      <c r="V381" t="inlineStr">
        <is>
          <t>2002-01-07</t>
        </is>
      </c>
      <c r="W381" t="inlineStr">
        <is>
          <t>1997-03-03</t>
        </is>
      </c>
      <c r="X381" t="inlineStr">
        <is>
          <t>1997-07-21</t>
        </is>
      </c>
      <c r="Y381" t="n">
        <v>123</v>
      </c>
      <c r="Z381" t="n">
        <v>101</v>
      </c>
      <c r="AA381" t="n">
        <v>201</v>
      </c>
      <c r="AB381" t="n">
        <v>2</v>
      </c>
      <c r="AC381" t="n">
        <v>4</v>
      </c>
      <c r="AD381" t="n">
        <v>3</v>
      </c>
      <c r="AE381" t="n">
        <v>7</v>
      </c>
      <c r="AF381" t="n">
        <v>2</v>
      </c>
      <c r="AG381" t="n">
        <v>2</v>
      </c>
      <c r="AH381" t="n">
        <v>0</v>
      </c>
      <c r="AI381" t="n">
        <v>2</v>
      </c>
      <c r="AJ381" t="n">
        <v>1</v>
      </c>
      <c r="AK381" t="n">
        <v>2</v>
      </c>
      <c r="AL381" t="n">
        <v>0</v>
      </c>
      <c r="AM381" t="n">
        <v>1</v>
      </c>
      <c r="AN381" t="n">
        <v>0</v>
      </c>
      <c r="AO381" t="n">
        <v>0</v>
      </c>
      <c r="AP381" t="inlineStr">
        <is>
          <t>Yes</t>
        </is>
      </c>
      <c r="AQ381" t="inlineStr">
        <is>
          <t>No</t>
        </is>
      </c>
      <c r="AR381">
        <f>HYPERLINK("http://catalog.hathitrust.org/Record/000345717","HathiTrust Record")</f>
        <v/>
      </c>
      <c r="AS381">
        <f>HYPERLINK("https://creighton-primo.hosted.exlibrisgroup.com/primo-explore/search?tab=default_tab&amp;search_scope=EVERYTHING&amp;vid=01CRU&amp;lang=en_US&amp;offset=0&amp;query=any,contains,991003201629702656","Catalog Record")</f>
        <v/>
      </c>
      <c r="AT381">
        <f>HYPERLINK("http://www.worldcat.org/oclc/726640","WorldCat Record")</f>
        <v/>
      </c>
      <c r="AU381" t="inlineStr">
        <is>
          <t>373339496:eng</t>
        </is>
      </c>
      <c r="AV381" t="inlineStr">
        <is>
          <t>726640</t>
        </is>
      </c>
      <c r="AW381" t="inlineStr">
        <is>
          <t>991003201629702656</t>
        </is>
      </c>
      <c r="AX381" t="inlineStr">
        <is>
          <t>991003201629702656</t>
        </is>
      </c>
      <c r="AY381" t="inlineStr">
        <is>
          <t>2263982600002656</t>
        </is>
      </c>
      <c r="AZ381" t="inlineStr">
        <is>
          <t>BOOK</t>
        </is>
      </c>
      <c r="BC381" t="inlineStr">
        <is>
          <t>32285002399656</t>
        </is>
      </c>
      <c r="BD381" t="inlineStr">
        <is>
          <t>893686286</t>
        </is>
      </c>
    </row>
    <row r="382">
      <c r="A382" t="inlineStr">
        <is>
          <t>No</t>
        </is>
      </c>
      <c r="B382" t="inlineStr">
        <is>
          <t>ND40 .S65</t>
        </is>
      </c>
      <c r="C382" t="inlineStr">
        <is>
          <t>0                      ND 0040000S  65</t>
        </is>
      </c>
      <c r="D382"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2" t="inlineStr">
        <is>
          <t>V.3</t>
        </is>
      </c>
      <c r="F382" t="inlineStr">
        <is>
          <t>Yes</t>
        </is>
      </c>
      <c r="G382" t="inlineStr">
        <is>
          <t>1</t>
        </is>
      </c>
      <c r="H382" t="inlineStr">
        <is>
          <t>No</t>
        </is>
      </c>
      <c r="I382" t="inlineStr">
        <is>
          <t>No</t>
        </is>
      </c>
      <c r="J382" t="inlineStr">
        <is>
          <t>0</t>
        </is>
      </c>
      <c r="K382" t="inlineStr">
        <is>
          <t>Smith, John, 1781-1855.</t>
        </is>
      </c>
      <c r="L382" t="inlineStr">
        <is>
          <t>London, Smith and son, 1829-42.</t>
        </is>
      </c>
      <c r="M382" t="inlineStr">
        <is>
          <t>1829</t>
        </is>
      </c>
      <c r="O382" t="inlineStr">
        <is>
          <t>eng</t>
        </is>
      </c>
      <c r="P382" t="inlineStr">
        <is>
          <t>enk</t>
        </is>
      </c>
      <c r="R382" t="inlineStr">
        <is>
          <t xml:space="preserve">ND </t>
        </is>
      </c>
      <c r="S382" t="n">
        <v>0</v>
      </c>
      <c r="T382" t="n">
        <v>5</v>
      </c>
      <c r="U382" t="inlineStr">
        <is>
          <t>2002-01-07</t>
        </is>
      </c>
      <c r="V382" t="inlineStr">
        <is>
          <t>2002-01-07</t>
        </is>
      </c>
      <c r="W382" t="inlineStr">
        <is>
          <t>1997-07-21</t>
        </is>
      </c>
      <c r="X382" t="inlineStr">
        <is>
          <t>1997-07-21</t>
        </is>
      </c>
      <c r="Y382" t="n">
        <v>123</v>
      </c>
      <c r="Z382" t="n">
        <v>101</v>
      </c>
      <c r="AA382" t="n">
        <v>201</v>
      </c>
      <c r="AB382" t="n">
        <v>2</v>
      </c>
      <c r="AC382" t="n">
        <v>4</v>
      </c>
      <c r="AD382" t="n">
        <v>3</v>
      </c>
      <c r="AE382" t="n">
        <v>7</v>
      </c>
      <c r="AF382" t="n">
        <v>2</v>
      </c>
      <c r="AG382" t="n">
        <v>2</v>
      </c>
      <c r="AH382" t="n">
        <v>0</v>
      </c>
      <c r="AI382" t="n">
        <v>2</v>
      </c>
      <c r="AJ382" t="n">
        <v>1</v>
      </c>
      <c r="AK382" t="n">
        <v>2</v>
      </c>
      <c r="AL382" t="n">
        <v>0</v>
      </c>
      <c r="AM382" t="n">
        <v>1</v>
      </c>
      <c r="AN382" t="n">
        <v>0</v>
      </c>
      <c r="AO382" t="n">
        <v>0</v>
      </c>
      <c r="AP382" t="inlineStr">
        <is>
          <t>Yes</t>
        </is>
      </c>
      <c r="AQ382" t="inlineStr">
        <is>
          <t>No</t>
        </is>
      </c>
      <c r="AR382">
        <f>HYPERLINK("http://catalog.hathitrust.org/Record/000345717","HathiTrust Record")</f>
        <v/>
      </c>
      <c r="AS382">
        <f>HYPERLINK("https://creighton-primo.hosted.exlibrisgroup.com/primo-explore/search?tab=default_tab&amp;search_scope=EVERYTHING&amp;vid=01CRU&amp;lang=en_US&amp;offset=0&amp;query=any,contains,991003201629702656","Catalog Record")</f>
        <v/>
      </c>
      <c r="AT382">
        <f>HYPERLINK("http://www.worldcat.org/oclc/726640","WorldCat Record")</f>
        <v/>
      </c>
      <c r="AU382" t="inlineStr">
        <is>
          <t>373339496:eng</t>
        </is>
      </c>
      <c r="AV382" t="inlineStr">
        <is>
          <t>726640</t>
        </is>
      </c>
      <c r="AW382" t="inlineStr">
        <is>
          <t>991003201629702656</t>
        </is>
      </c>
      <c r="AX382" t="inlineStr">
        <is>
          <t>991003201629702656</t>
        </is>
      </c>
      <c r="AY382" t="inlineStr">
        <is>
          <t>2263982600002656</t>
        </is>
      </c>
      <c r="AZ382" t="inlineStr">
        <is>
          <t>BOOK</t>
        </is>
      </c>
      <c r="BC382" t="inlineStr">
        <is>
          <t>32285002965688</t>
        </is>
      </c>
      <c r="BD382" t="inlineStr">
        <is>
          <t>893686287</t>
        </is>
      </c>
    </row>
    <row r="383">
      <c r="A383" t="inlineStr">
        <is>
          <t>No</t>
        </is>
      </c>
      <c r="B383" t="inlineStr">
        <is>
          <t>ND40 .S65</t>
        </is>
      </c>
      <c r="C383" t="inlineStr">
        <is>
          <t>0                      ND 0040000S  65</t>
        </is>
      </c>
      <c r="D383"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3" t="inlineStr">
        <is>
          <t>V.6</t>
        </is>
      </c>
      <c r="F383" t="inlineStr">
        <is>
          <t>Yes</t>
        </is>
      </c>
      <c r="G383" t="inlineStr">
        <is>
          <t>1</t>
        </is>
      </c>
      <c r="H383" t="inlineStr">
        <is>
          <t>No</t>
        </is>
      </c>
      <c r="I383" t="inlineStr">
        <is>
          <t>No</t>
        </is>
      </c>
      <c r="J383" t="inlineStr">
        <is>
          <t>0</t>
        </is>
      </c>
      <c r="K383" t="inlineStr">
        <is>
          <t>Smith, John, 1781-1855.</t>
        </is>
      </c>
      <c r="L383" t="inlineStr">
        <is>
          <t>London, Smith and son, 1829-42.</t>
        </is>
      </c>
      <c r="M383" t="inlineStr">
        <is>
          <t>1829</t>
        </is>
      </c>
      <c r="O383" t="inlineStr">
        <is>
          <t>eng</t>
        </is>
      </c>
      <c r="P383" t="inlineStr">
        <is>
          <t>enk</t>
        </is>
      </c>
      <c r="R383" t="inlineStr">
        <is>
          <t xml:space="preserve">ND </t>
        </is>
      </c>
      <c r="S383" t="n">
        <v>1</v>
      </c>
      <c r="T383" t="n">
        <v>5</v>
      </c>
      <c r="U383" t="inlineStr">
        <is>
          <t>2002-01-07</t>
        </is>
      </c>
      <c r="V383" t="inlineStr">
        <is>
          <t>2002-01-07</t>
        </is>
      </c>
      <c r="W383" t="inlineStr">
        <is>
          <t>1997-03-03</t>
        </is>
      </c>
      <c r="X383" t="inlineStr">
        <is>
          <t>1997-07-21</t>
        </is>
      </c>
      <c r="Y383" t="n">
        <v>123</v>
      </c>
      <c r="Z383" t="n">
        <v>101</v>
      </c>
      <c r="AA383" t="n">
        <v>201</v>
      </c>
      <c r="AB383" t="n">
        <v>2</v>
      </c>
      <c r="AC383" t="n">
        <v>4</v>
      </c>
      <c r="AD383" t="n">
        <v>3</v>
      </c>
      <c r="AE383" t="n">
        <v>7</v>
      </c>
      <c r="AF383" t="n">
        <v>2</v>
      </c>
      <c r="AG383" t="n">
        <v>2</v>
      </c>
      <c r="AH383" t="n">
        <v>0</v>
      </c>
      <c r="AI383" t="n">
        <v>2</v>
      </c>
      <c r="AJ383" t="n">
        <v>1</v>
      </c>
      <c r="AK383" t="n">
        <v>2</v>
      </c>
      <c r="AL383" t="n">
        <v>0</v>
      </c>
      <c r="AM383" t="n">
        <v>1</v>
      </c>
      <c r="AN383" t="n">
        <v>0</v>
      </c>
      <c r="AO383" t="n">
        <v>0</v>
      </c>
      <c r="AP383" t="inlineStr">
        <is>
          <t>Yes</t>
        </is>
      </c>
      <c r="AQ383" t="inlineStr">
        <is>
          <t>No</t>
        </is>
      </c>
      <c r="AR383">
        <f>HYPERLINK("http://catalog.hathitrust.org/Record/000345717","HathiTrust Record")</f>
        <v/>
      </c>
      <c r="AS383">
        <f>HYPERLINK("https://creighton-primo.hosted.exlibrisgroup.com/primo-explore/search?tab=default_tab&amp;search_scope=EVERYTHING&amp;vid=01CRU&amp;lang=en_US&amp;offset=0&amp;query=any,contains,991003201629702656","Catalog Record")</f>
        <v/>
      </c>
      <c r="AT383">
        <f>HYPERLINK("http://www.worldcat.org/oclc/726640","WorldCat Record")</f>
        <v/>
      </c>
      <c r="AU383" t="inlineStr">
        <is>
          <t>373339496:eng</t>
        </is>
      </c>
      <c r="AV383" t="inlineStr">
        <is>
          <t>726640</t>
        </is>
      </c>
      <c r="AW383" t="inlineStr">
        <is>
          <t>991003201629702656</t>
        </is>
      </c>
      <c r="AX383" t="inlineStr">
        <is>
          <t>991003201629702656</t>
        </is>
      </c>
      <c r="AY383" t="inlineStr">
        <is>
          <t>2263982600002656</t>
        </is>
      </c>
      <c r="AZ383" t="inlineStr">
        <is>
          <t>BOOK</t>
        </is>
      </c>
      <c r="BC383" t="inlineStr">
        <is>
          <t>32285002399664</t>
        </is>
      </c>
      <c r="BD383" t="inlineStr">
        <is>
          <t>893705003</t>
        </is>
      </c>
    </row>
    <row r="384">
      <c r="A384" t="inlineStr">
        <is>
          <t>No</t>
        </is>
      </c>
      <c r="B384" t="inlineStr">
        <is>
          <t>ND40 .S65</t>
        </is>
      </c>
      <c r="C384" t="inlineStr">
        <is>
          <t>0                      ND 0040000S  65</t>
        </is>
      </c>
      <c r="D384"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4" t="inlineStr">
        <is>
          <t>V.9</t>
        </is>
      </c>
      <c r="F384" t="inlineStr">
        <is>
          <t>Yes</t>
        </is>
      </c>
      <c r="G384" t="inlineStr">
        <is>
          <t>1</t>
        </is>
      </c>
      <c r="H384" t="inlineStr">
        <is>
          <t>No</t>
        </is>
      </c>
      <c r="I384" t="inlineStr">
        <is>
          <t>No</t>
        </is>
      </c>
      <c r="J384" t="inlineStr">
        <is>
          <t>0</t>
        </is>
      </c>
      <c r="K384" t="inlineStr">
        <is>
          <t>Smith, John, 1781-1855.</t>
        </is>
      </c>
      <c r="L384" t="inlineStr">
        <is>
          <t>London, Smith and son, 1829-42.</t>
        </is>
      </c>
      <c r="M384" t="inlineStr">
        <is>
          <t>1829</t>
        </is>
      </c>
      <c r="O384" t="inlineStr">
        <is>
          <t>eng</t>
        </is>
      </c>
      <c r="P384" t="inlineStr">
        <is>
          <t>enk</t>
        </is>
      </c>
      <c r="R384" t="inlineStr">
        <is>
          <t xml:space="preserve">ND </t>
        </is>
      </c>
      <c r="S384" t="n">
        <v>0</v>
      </c>
      <c r="T384" t="n">
        <v>5</v>
      </c>
      <c r="U384" t="inlineStr">
        <is>
          <t>2002-01-07</t>
        </is>
      </c>
      <c r="V384" t="inlineStr">
        <is>
          <t>2002-01-07</t>
        </is>
      </c>
      <c r="W384" t="inlineStr">
        <is>
          <t>1997-07-21</t>
        </is>
      </c>
      <c r="X384" t="inlineStr">
        <is>
          <t>1997-07-21</t>
        </is>
      </c>
      <c r="Y384" t="n">
        <v>123</v>
      </c>
      <c r="Z384" t="n">
        <v>101</v>
      </c>
      <c r="AA384" t="n">
        <v>201</v>
      </c>
      <c r="AB384" t="n">
        <v>2</v>
      </c>
      <c r="AC384" t="n">
        <v>4</v>
      </c>
      <c r="AD384" t="n">
        <v>3</v>
      </c>
      <c r="AE384" t="n">
        <v>7</v>
      </c>
      <c r="AF384" t="n">
        <v>2</v>
      </c>
      <c r="AG384" t="n">
        <v>2</v>
      </c>
      <c r="AH384" t="n">
        <v>0</v>
      </c>
      <c r="AI384" t="n">
        <v>2</v>
      </c>
      <c r="AJ384" t="n">
        <v>1</v>
      </c>
      <c r="AK384" t="n">
        <v>2</v>
      </c>
      <c r="AL384" t="n">
        <v>0</v>
      </c>
      <c r="AM384" t="n">
        <v>1</v>
      </c>
      <c r="AN384" t="n">
        <v>0</v>
      </c>
      <c r="AO384" t="n">
        <v>0</v>
      </c>
      <c r="AP384" t="inlineStr">
        <is>
          <t>Yes</t>
        </is>
      </c>
      <c r="AQ384" t="inlineStr">
        <is>
          <t>No</t>
        </is>
      </c>
      <c r="AR384">
        <f>HYPERLINK("http://catalog.hathitrust.org/Record/000345717","HathiTrust Record")</f>
        <v/>
      </c>
      <c r="AS384">
        <f>HYPERLINK("https://creighton-primo.hosted.exlibrisgroup.com/primo-explore/search?tab=default_tab&amp;search_scope=EVERYTHING&amp;vid=01CRU&amp;lang=en_US&amp;offset=0&amp;query=any,contains,991003201629702656","Catalog Record")</f>
        <v/>
      </c>
      <c r="AT384">
        <f>HYPERLINK("http://www.worldcat.org/oclc/726640","WorldCat Record")</f>
        <v/>
      </c>
      <c r="AU384" t="inlineStr">
        <is>
          <t>373339496:eng</t>
        </is>
      </c>
      <c r="AV384" t="inlineStr">
        <is>
          <t>726640</t>
        </is>
      </c>
      <c r="AW384" t="inlineStr">
        <is>
          <t>991003201629702656</t>
        </is>
      </c>
      <c r="AX384" t="inlineStr">
        <is>
          <t>991003201629702656</t>
        </is>
      </c>
      <c r="AY384" t="inlineStr">
        <is>
          <t>2263982600002656</t>
        </is>
      </c>
      <c r="AZ384" t="inlineStr">
        <is>
          <t>BOOK</t>
        </is>
      </c>
      <c r="BC384" t="inlineStr">
        <is>
          <t>32285002965720</t>
        </is>
      </c>
      <c r="BD384" t="inlineStr">
        <is>
          <t>893698745</t>
        </is>
      </c>
    </row>
    <row r="385">
      <c r="A385" t="inlineStr">
        <is>
          <t>No</t>
        </is>
      </c>
      <c r="B385" t="inlineStr">
        <is>
          <t>ND40 .S65</t>
        </is>
      </c>
      <c r="C385" t="inlineStr">
        <is>
          <t>0                      ND 0040000S  65</t>
        </is>
      </c>
      <c r="D385"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5" t="inlineStr">
        <is>
          <t>V.8</t>
        </is>
      </c>
      <c r="F385" t="inlineStr">
        <is>
          <t>Yes</t>
        </is>
      </c>
      <c r="G385" t="inlineStr">
        <is>
          <t>1</t>
        </is>
      </c>
      <c r="H385" t="inlineStr">
        <is>
          <t>No</t>
        </is>
      </c>
      <c r="I385" t="inlineStr">
        <is>
          <t>No</t>
        </is>
      </c>
      <c r="J385" t="inlineStr">
        <is>
          <t>0</t>
        </is>
      </c>
      <c r="K385" t="inlineStr">
        <is>
          <t>Smith, John, 1781-1855.</t>
        </is>
      </c>
      <c r="L385" t="inlineStr">
        <is>
          <t>London, Smith and son, 1829-42.</t>
        </is>
      </c>
      <c r="M385" t="inlineStr">
        <is>
          <t>1829</t>
        </is>
      </c>
      <c r="O385" t="inlineStr">
        <is>
          <t>eng</t>
        </is>
      </c>
      <c r="P385" t="inlineStr">
        <is>
          <t>enk</t>
        </is>
      </c>
      <c r="R385" t="inlineStr">
        <is>
          <t xml:space="preserve">ND </t>
        </is>
      </c>
      <c r="S385" t="n">
        <v>2</v>
      </c>
      <c r="T385" t="n">
        <v>5</v>
      </c>
      <c r="U385" t="inlineStr">
        <is>
          <t>2002-01-07</t>
        </is>
      </c>
      <c r="V385" t="inlineStr">
        <is>
          <t>2002-01-07</t>
        </is>
      </c>
      <c r="W385" t="inlineStr">
        <is>
          <t>1997-07-21</t>
        </is>
      </c>
      <c r="X385" t="inlineStr">
        <is>
          <t>1997-07-21</t>
        </is>
      </c>
      <c r="Y385" t="n">
        <v>123</v>
      </c>
      <c r="Z385" t="n">
        <v>101</v>
      </c>
      <c r="AA385" t="n">
        <v>201</v>
      </c>
      <c r="AB385" t="n">
        <v>2</v>
      </c>
      <c r="AC385" t="n">
        <v>4</v>
      </c>
      <c r="AD385" t="n">
        <v>3</v>
      </c>
      <c r="AE385" t="n">
        <v>7</v>
      </c>
      <c r="AF385" t="n">
        <v>2</v>
      </c>
      <c r="AG385" t="n">
        <v>2</v>
      </c>
      <c r="AH385" t="n">
        <v>0</v>
      </c>
      <c r="AI385" t="n">
        <v>2</v>
      </c>
      <c r="AJ385" t="n">
        <v>1</v>
      </c>
      <c r="AK385" t="n">
        <v>2</v>
      </c>
      <c r="AL385" t="n">
        <v>0</v>
      </c>
      <c r="AM385" t="n">
        <v>1</v>
      </c>
      <c r="AN385" t="n">
        <v>0</v>
      </c>
      <c r="AO385" t="n">
        <v>0</v>
      </c>
      <c r="AP385" t="inlineStr">
        <is>
          <t>Yes</t>
        </is>
      </c>
      <c r="AQ385" t="inlineStr">
        <is>
          <t>No</t>
        </is>
      </c>
      <c r="AR385">
        <f>HYPERLINK("http://catalog.hathitrust.org/Record/000345717","HathiTrust Record")</f>
        <v/>
      </c>
      <c r="AS385">
        <f>HYPERLINK("https://creighton-primo.hosted.exlibrisgroup.com/primo-explore/search?tab=default_tab&amp;search_scope=EVERYTHING&amp;vid=01CRU&amp;lang=en_US&amp;offset=0&amp;query=any,contains,991003201629702656","Catalog Record")</f>
        <v/>
      </c>
      <c r="AT385">
        <f>HYPERLINK("http://www.worldcat.org/oclc/726640","WorldCat Record")</f>
        <v/>
      </c>
      <c r="AU385" t="inlineStr">
        <is>
          <t>373339496:eng</t>
        </is>
      </c>
      <c r="AV385" t="inlineStr">
        <is>
          <t>726640</t>
        </is>
      </c>
      <c r="AW385" t="inlineStr">
        <is>
          <t>991003201629702656</t>
        </is>
      </c>
      <c r="AX385" t="inlineStr">
        <is>
          <t>991003201629702656</t>
        </is>
      </c>
      <c r="AY385" t="inlineStr">
        <is>
          <t>2263982600002656</t>
        </is>
      </c>
      <c r="AZ385" t="inlineStr">
        <is>
          <t>BOOK</t>
        </is>
      </c>
      <c r="BC385" t="inlineStr">
        <is>
          <t>32285002965712</t>
        </is>
      </c>
      <c r="BD385" t="inlineStr">
        <is>
          <t>893698746</t>
        </is>
      </c>
    </row>
    <row r="386">
      <c r="A386" t="inlineStr">
        <is>
          <t>No</t>
        </is>
      </c>
      <c r="B386" t="inlineStr">
        <is>
          <t>ND40 .S65</t>
        </is>
      </c>
      <c r="C386" t="inlineStr">
        <is>
          <t>0                      ND 0040000S  65</t>
        </is>
      </c>
      <c r="D386"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6" t="inlineStr">
        <is>
          <t>V.2</t>
        </is>
      </c>
      <c r="F386" t="inlineStr">
        <is>
          <t>Yes</t>
        </is>
      </c>
      <c r="G386" t="inlineStr">
        <is>
          <t>1</t>
        </is>
      </c>
      <c r="H386" t="inlineStr">
        <is>
          <t>No</t>
        </is>
      </c>
      <c r="I386" t="inlineStr">
        <is>
          <t>No</t>
        </is>
      </c>
      <c r="J386" t="inlineStr">
        <is>
          <t>0</t>
        </is>
      </c>
      <c r="K386" t="inlineStr">
        <is>
          <t>Smith, John, 1781-1855.</t>
        </is>
      </c>
      <c r="L386" t="inlineStr">
        <is>
          <t>London, Smith and son, 1829-42.</t>
        </is>
      </c>
      <c r="M386" t="inlineStr">
        <is>
          <t>1829</t>
        </is>
      </c>
      <c r="O386" t="inlineStr">
        <is>
          <t>eng</t>
        </is>
      </c>
      <c r="P386" t="inlineStr">
        <is>
          <t>enk</t>
        </is>
      </c>
      <c r="R386" t="inlineStr">
        <is>
          <t xml:space="preserve">ND </t>
        </is>
      </c>
      <c r="S386" t="n">
        <v>1</v>
      </c>
      <c r="T386" t="n">
        <v>5</v>
      </c>
      <c r="U386" t="inlineStr">
        <is>
          <t>2002-01-07</t>
        </is>
      </c>
      <c r="V386" t="inlineStr">
        <is>
          <t>2002-01-07</t>
        </is>
      </c>
      <c r="W386" t="inlineStr">
        <is>
          <t>1997-07-21</t>
        </is>
      </c>
      <c r="X386" t="inlineStr">
        <is>
          <t>1997-07-21</t>
        </is>
      </c>
      <c r="Y386" t="n">
        <v>123</v>
      </c>
      <c r="Z386" t="n">
        <v>101</v>
      </c>
      <c r="AA386" t="n">
        <v>201</v>
      </c>
      <c r="AB386" t="n">
        <v>2</v>
      </c>
      <c r="AC386" t="n">
        <v>4</v>
      </c>
      <c r="AD386" t="n">
        <v>3</v>
      </c>
      <c r="AE386" t="n">
        <v>7</v>
      </c>
      <c r="AF386" t="n">
        <v>2</v>
      </c>
      <c r="AG386" t="n">
        <v>2</v>
      </c>
      <c r="AH386" t="n">
        <v>0</v>
      </c>
      <c r="AI386" t="n">
        <v>2</v>
      </c>
      <c r="AJ386" t="n">
        <v>1</v>
      </c>
      <c r="AK386" t="n">
        <v>2</v>
      </c>
      <c r="AL386" t="n">
        <v>0</v>
      </c>
      <c r="AM386" t="n">
        <v>1</v>
      </c>
      <c r="AN386" t="n">
        <v>0</v>
      </c>
      <c r="AO386" t="n">
        <v>0</v>
      </c>
      <c r="AP386" t="inlineStr">
        <is>
          <t>Yes</t>
        </is>
      </c>
      <c r="AQ386" t="inlineStr">
        <is>
          <t>No</t>
        </is>
      </c>
      <c r="AR386">
        <f>HYPERLINK("http://catalog.hathitrust.org/Record/000345717","HathiTrust Record")</f>
        <v/>
      </c>
      <c r="AS386">
        <f>HYPERLINK("https://creighton-primo.hosted.exlibrisgroup.com/primo-explore/search?tab=default_tab&amp;search_scope=EVERYTHING&amp;vid=01CRU&amp;lang=en_US&amp;offset=0&amp;query=any,contains,991003201629702656","Catalog Record")</f>
        <v/>
      </c>
      <c r="AT386">
        <f>HYPERLINK("http://www.worldcat.org/oclc/726640","WorldCat Record")</f>
        <v/>
      </c>
      <c r="AU386" t="inlineStr">
        <is>
          <t>373339496:eng</t>
        </is>
      </c>
      <c r="AV386" t="inlineStr">
        <is>
          <t>726640</t>
        </is>
      </c>
      <c r="AW386" t="inlineStr">
        <is>
          <t>991003201629702656</t>
        </is>
      </c>
      <c r="AX386" t="inlineStr">
        <is>
          <t>991003201629702656</t>
        </is>
      </c>
      <c r="AY386" t="inlineStr">
        <is>
          <t>2263982600002656</t>
        </is>
      </c>
      <c r="AZ386" t="inlineStr">
        <is>
          <t>BOOK</t>
        </is>
      </c>
      <c r="BC386" t="inlineStr">
        <is>
          <t>32285002965670</t>
        </is>
      </c>
      <c r="BD386" t="inlineStr">
        <is>
          <t>893705004</t>
        </is>
      </c>
    </row>
    <row r="387">
      <c r="A387" t="inlineStr">
        <is>
          <t>No</t>
        </is>
      </c>
      <c r="B387" t="inlineStr">
        <is>
          <t>ND40 .S65</t>
        </is>
      </c>
      <c r="C387" t="inlineStr">
        <is>
          <t>0                      ND 0040000S  65</t>
        </is>
      </c>
      <c r="D387"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7" t="inlineStr">
        <is>
          <t>V.1</t>
        </is>
      </c>
      <c r="F387" t="inlineStr">
        <is>
          <t>Yes</t>
        </is>
      </c>
      <c r="G387" t="inlineStr">
        <is>
          <t>1</t>
        </is>
      </c>
      <c r="H387" t="inlineStr">
        <is>
          <t>No</t>
        </is>
      </c>
      <c r="I387" t="inlineStr">
        <is>
          <t>No</t>
        </is>
      </c>
      <c r="J387" t="inlineStr">
        <is>
          <t>0</t>
        </is>
      </c>
      <c r="K387" t="inlineStr">
        <is>
          <t>Smith, John, 1781-1855.</t>
        </is>
      </c>
      <c r="L387" t="inlineStr">
        <is>
          <t>London, Smith and son, 1829-42.</t>
        </is>
      </c>
      <c r="M387" t="inlineStr">
        <is>
          <t>1829</t>
        </is>
      </c>
      <c r="O387" t="inlineStr">
        <is>
          <t>eng</t>
        </is>
      </c>
      <c r="P387" t="inlineStr">
        <is>
          <t>enk</t>
        </is>
      </c>
      <c r="R387" t="inlineStr">
        <is>
          <t xml:space="preserve">ND </t>
        </is>
      </c>
      <c r="S387" t="n">
        <v>0</v>
      </c>
      <c r="T387" t="n">
        <v>5</v>
      </c>
      <c r="U387" t="inlineStr">
        <is>
          <t>2002-01-07</t>
        </is>
      </c>
      <c r="V387" t="inlineStr">
        <is>
          <t>2002-01-07</t>
        </is>
      </c>
      <c r="W387" t="inlineStr">
        <is>
          <t>1997-07-21</t>
        </is>
      </c>
      <c r="X387" t="inlineStr">
        <is>
          <t>1997-07-21</t>
        </is>
      </c>
      <c r="Y387" t="n">
        <v>123</v>
      </c>
      <c r="Z387" t="n">
        <v>101</v>
      </c>
      <c r="AA387" t="n">
        <v>201</v>
      </c>
      <c r="AB387" t="n">
        <v>2</v>
      </c>
      <c r="AC387" t="n">
        <v>4</v>
      </c>
      <c r="AD387" t="n">
        <v>3</v>
      </c>
      <c r="AE387" t="n">
        <v>7</v>
      </c>
      <c r="AF387" t="n">
        <v>2</v>
      </c>
      <c r="AG387" t="n">
        <v>2</v>
      </c>
      <c r="AH387" t="n">
        <v>0</v>
      </c>
      <c r="AI387" t="n">
        <v>2</v>
      </c>
      <c r="AJ387" t="n">
        <v>1</v>
      </c>
      <c r="AK387" t="n">
        <v>2</v>
      </c>
      <c r="AL387" t="n">
        <v>0</v>
      </c>
      <c r="AM387" t="n">
        <v>1</v>
      </c>
      <c r="AN387" t="n">
        <v>0</v>
      </c>
      <c r="AO387" t="n">
        <v>0</v>
      </c>
      <c r="AP387" t="inlineStr">
        <is>
          <t>Yes</t>
        </is>
      </c>
      <c r="AQ387" t="inlineStr">
        <is>
          <t>No</t>
        </is>
      </c>
      <c r="AR387">
        <f>HYPERLINK("http://catalog.hathitrust.org/Record/000345717","HathiTrust Record")</f>
        <v/>
      </c>
      <c r="AS387">
        <f>HYPERLINK("https://creighton-primo.hosted.exlibrisgroup.com/primo-explore/search?tab=default_tab&amp;search_scope=EVERYTHING&amp;vid=01CRU&amp;lang=en_US&amp;offset=0&amp;query=any,contains,991003201629702656","Catalog Record")</f>
        <v/>
      </c>
      <c r="AT387">
        <f>HYPERLINK("http://www.worldcat.org/oclc/726640","WorldCat Record")</f>
        <v/>
      </c>
      <c r="AU387" t="inlineStr">
        <is>
          <t>373339496:eng</t>
        </is>
      </c>
      <c r="AV387" t="inlineStr">
        <is>
          <t>726640</t>
        </is>
      </c>
      <c r="AW387" t="inlineStr">
        <is>
          <t>991003201629702656</t>
        </is>
      </c>
      <c r="AX387" t="inlineStr">
        <is>
          <t>991003201629702656</t>
        </is>
      </c>
      <c r="AY387" t="inlineStr">
        <is>
          <t>2263982600002656</t>
        </is>
      </c>
      <c r="AZ387" t="inlineStr">
        <is>
          <t>BOOK</t>
        </is>
      </c>
      <c r="BC387" t="inlineStr">
        <is>
          <t>32285002965662</t>
        </is>
      </c>
      <c r="BD387" t="inlineStr">
        <is>
          <t>893717409</t>
        </is>
      </c>
    </row>
    <row r="388">
      <c r="A388" t="inlineStr">
        <is>
          <t>No</t>
        </is>
      </c>
      <c r="B388" t="inlineStr">
        <is>
          <t>ND450 .A2</t>
        </is>
      </c>
      <c r="C388" t="inlineStr">
        <is>
          <t>0                      ND 0450000A  2</t>
        </is>
      </c>
      <c r="D388" t="inlineStr">
        <is>
          <t>The great painters in relation to the European tradition, by Edith R. Abbot ... with two hundred and eighty-seven illustrations.</t>
        </is>
      </c>
      <c r="F388" t="inlineStr">
        <is>
          <t>No</t>
        </is>
      </c>
      <c r="G388" t="inlineStr">
        <is>
          <t>1</t>
        </is>
      </c>
      <c r="H388" t="inlineStr">
        <is>
          <t>No</t>
        </is>
      </c>
      <c r="I388" t="inlineStr">
        <is>
          <t>No</t>
        </is>
      </c>
      <c r="J388" t="inlineStr">
        <is>
          <t>0</t>
        </is>
      </c>
      <c r="K388" t="inlineStr">
        <is>
          <t>Abbott, Edith, 1876-1957.</t>
        </is>
      </c>
      <c r="L388" t="inlineStr">
        <is>
          <t>New York, Harcourt, Brace &amp; Company [c1927]</t>
        </is>
      </c>
      <c r="M388" t="inlineStr">
        <is>
          <t>1927</t>
        </is>
      </c>
      <c r="O388" t="inlineStr">
        <is>
          <t>eng</t>
        </is>
      </c>
      <c r="P388" t="inlineStr">
        <is>
          <t>nyu</t>
        </is>
      </c>
      <c r="R388" t="inlineStr">
        <is>
          <t xml:space="preserve">ND </t>
        </is>
      </c>
      <c r="S388" t="n">
        <v>2</v>
      </c>
      <c r="T388" t="n">
        <v>2</v>
      </c>
      <c r="U388" t="inlineStr">
        <is>
          <t>1997-10-02</t>
        </is>
      </c>
      <c r="V388" t="inlineStr">
        <is>
          <t>1997-10-02</t>
        </is>
      </c>
      <c r="W388" t="inlineStr">
        <is>
          <t>1997-07-28</t>
        </is>
      </c>
      <c r="X388" t="inlineStr">
        <is>
          <t>1997-07-28</t>
        </is>
      </c>
      <c r="Y388" t="n">
        <v>450</v>
      </c>
      <c r="Z388" t="n">
        <v>419</v>
      </c>
      <c r="AA388" t="n">
        <v>425</v>
      </c>
      <c r="AB388" t="n">
        <v>3</v>
      </c>
      <c r="AC388" t="n">
        <v>4</v>
      </c>
      <c r="AD388" t="n">
        <v>16</v>
      </c>
      <c r="AE388" t="n">
        <v>17</v>
      </c>
      <c r="AF388" t="n">
        <v>5</v>
      </c>
      <c r="AG388" t="n">
        <v>5</v>
      </c>
      <c r="AH388" t="n">
        <v>3</v>
      </c>
      <c r="AI388" t="n">
        <v>3</v>
      </c>
      <c r="AJ388" t="n">
        <v>8</v>
      </c>
      <c r="AK388" t="n">
        <v>8</v>
      </c>
      <c r="AL388" t="n">
        <v>2</v>
      </c>
      <c r="AM388" t="n">
        <v>3</v>
      </c>
      <c r="AN388" t="n">
        <v>0</v>
      </c>
      <c r="AO388" t="n">
        <v>0</v>
      </c>
      <c r="AP388" t="inlineStr">
        <is>
          <t>No</t>
        </is>
      </c>
      <c r="AQ388" t="inlineStr">
        <is>
          <t>Yes</t>
        </is>
      </c>
      <c r="AR388">
        <f>HYPERLINK("http://catalog.hathitrust.org/Record/000371987","HathiTrust Record")</f>
        <v/>
      </c>
      <c r="AS388">
        <f>HYPERLINK("https://creighton-primo.hosted.exlibrisgroup.com/primo-explore/search?tab=default_tab&amp;search_scope=EVERYTHING&amp;vid=01CRU&amp;lang=en_US&amp;offset=0&amp;query=any,contains,991003160499702656","Catalog Record")</f>
        <v/>
      </c>
      <c r="AT388">
        <f>HYPERLINK("http://www.worldcat.org/oclc/699780","WorldCat Record")</f>
        <v/>
      </c>
      <c r="AU388" t="inlineStr">
        <is>
          <t>1830476:eng</t>
        </is>
      </c>
      <c r="AV388" t="inlineStr">
        <is>
          <t>699780</t>
        </is>
      </c>
      <c r="AW388" t="inlineStr">
        <is>
          <t>991003160499702656</t>
        </is>
      </c>
      <c r="AX388" t="inlineStr">
        <is>
          <t>991003160499702656</t>
        </is>
      </c>
      <c r="AY388" t="inlineStr">
        <is>
          <t>2263018660002656</t>
        </is>
      </c>
      <c r="AZ388" t="inlineStr">
        <is>
          <t>BOOK</t>
        </is>
      </c>
      <c r="BC388" t="inlineStr">
        <is>
          <t>32285002967072</t>
        </is>
      </c>
      <c r="BD388" t="inlineStr">
        <is>
          <t>893498993</t>
        </is>
      </c>
    </row>
    <row r="389">
      <c r="A389" t="inlineStr">
        <is>
          <t>No</t>
        </is>
      </c>
      <c r="B389" t="inlineStr">
        <is>
          <t>ND450 .B43 1994</t>
        </is>
      </c>
      <c r="C389" t="inlineStr">
        <is>
          <t>0                      ND 0450000B  43          1994</t>
        </is>
      </c>
      <c r="D389" t="inlineStr">
        <is>
          <t>The story of painting / Wendy Beckett ; contributing consultant, Patricia Wright.</t>
        </is>
      </c>
      <c r="F389" t="inlineStr">
        <is>
          <t>No</t>
        </is>
      </c>
      <c r="G389" t="inlineStr">
        <is>
          <t>1</t>
        </is>
      </c>
      <c r="H389" t="inlineStr">
        <is>
          <t>No</t>
        </is>
      </c>
      <c r="I389" t="inlineStr">
        <is>
          <t>No</t>
        </is>
      </c>
      <c r="J389" t="inlineStr">
        <is>
          <t>0</t>
        </is>
      </c>
      <c r="K389" t="inlineStr">
        <is>
          <t>Beckett, Wendy.</t>
        </is>
      </c>
      <c r="L389" t="inlineStr">
        <is>
          <t>London ; New York : Dorling Kindersley, 1994.</t>
        </is>
      </c>
      <c r="M389" t="inlineStr">
        <is>
          <t>1994</t>
        </is>
      </c>
      <c r="N389" t="inlineStr">
        <is>
          <t>1st American ed.</t>
        </is>
      </c>
      <c r="O389" t="inlineStr">
        <is>
          <t>eng</t>
        </is>
      </c>
      <c r="P389" t="inlineStr">
        <is>
          <t>enk</t>
        </is>
      </c>
      <c r="R389" t="inlineStr">
        <is>
          <t xml:space="preserve">ND </t>
        </is>
      </c>
      <c r="S389" t="n">
        <v>19</v>
      </c>
      <c r="T389" t="n">
        <v>19</v>
      </c>
      <c r="U389" t="inlineStr">
        <is>
          <t>2005-07-31</t>
        </is>
      </c>
      <c r="V389" t="inlineStr">
        <is>
          <t>2005-07-31</t>
        </is>
      </c>
      <c r="W389" t="inlineStr">
        <is>
          <t>1995-01-09</t>
        </is>
      </c>
      <c r="X389" t="inlineStr">
        <is>
          <t>1995-01-09</t>
        </is>
      </c>
      <c r="Y389" t="n">
        <v>1891</v>
      </c>
      <c r="Z389" t="n">
        <v>1708</v>
      </c>
      <c r="AA389" t="n">
        <v>2054</v>
      </c>
      <c r="AB389" t="n">
        <v>11</v>
      </c>
      <c r="AC389" t="n">
        <v>15</v>
      </c>
      <c r="AD389" t="n">
        <v>32</v>
      </c>
      <c r="AE389" t="n">
        <v>34</v>
      </c>
      <c r="AF389" t="n">
        <v>12</v>
      </c>
      <c r="AG389" t="n">
        <v>13</v>
      </c>
      <c r="AH389" t="n">
        <v>6</v>
      </c>
      <c r="AI389" t="n">
        <v>6</v>
      </c>
      <c r="AJ389" t="n">
        <v>17</v>
      </c>
      <c r="AK389" t="n">
        <v>18</v>
      </c>
      <c r="AL389" t="n">
        <v>4</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HYPERLINK("https://creighton-primo.hosted.exlibrisgroup.com/primo-explore/search?tab=default_tab&amp;search_scope=EVERYTHING&amp;vid=01CRU&amp;lang=en_US&amp;offset=0&amp;query=any,contains,991002307109702656","Catalog Record")</f>
        <v/>
      </c>
      <c r="AT389">
        <f>HYPERLINK("http://www.worldcat.org/oclc/29913056","WorldCat Record")</f>
        <v/>
      </c>
      <c r="AU389" t="inlineStr">
        <is>
          <t>4920469124:eng</t>
        </is>
      </c>
      <c r="AV389" t="inlineStr">
        <is>
          <t>29913056</t>
        </is>
      </c>
      <c r="AW389" t="inlineStr">
        <is>
          <t>991002307109702656</t>
        </is>
      </c>
      <c r="AX389" t="inlineStr">
        <is>
          <t>991002307109702656</t>
        </is>
      </c>
      <c r="AY389" t="inlineStr">
        <is>
          <t>2255643400002656</t>
        </is>
      </c>
      <c r="AZ389" t="inlineStr">
        <is>
          <t>BOOK</t>
        </is>
      </c>
      <c r="BB389" t="inlineStr">
        <is>
          <t>9781564586155</t>
        </is>
      </c>
      <c r="BC389" t="inlineStr">
        <is>
          <t>32285001991875</t>
        </is>
      </c>
      <c r="BD389" t="inlineStr">
        <is>
          <t>893226690</t>
        </is>
      </c>
    </row>
    <row r="390">
      <c r="A390" t="inlineStr">
        <is>
          <t>No</t>
        </is>
      </c>
      <c r="B390" t="inlineStr">
        <is>
          <t>ND454 .C8</t>
        </is>
      </c>
      <c r="C390" t="inlineStr">
        <is>
          <t>0                      ND 0454000C  8</t>
        </is>
      </c>
      <c r="D390" t="inlineStr">
        <is>
          <t>Northern painting from Pucelle to Bruegel: fourteenth, fifteenth, and sixteenth centuries [by] Charles D. Cuttler.</t>
        </is>
      </c>
      <c r="F390" t="inlineStr">
        <is>
          <t>No</t>
        </is>
      </c>
      <c r="G390" t="inlineStr">
        <is>
          <t>1</t>
        </is>
      </c>
      <c r="H390" t="inlineStr">
        <is>
          <t>No</t>
        </is>
      </c>
      <c r="I390" t="inlineStr">
        <is>
          <t>No</t>
        </is>
      </c>
      <c r="J390" t="inlineStr">
        <is>
          <t>0</t>
        </is>
      </c>
      <c r="K390" t="inlineStr">
        <is>
          <t>Cuttler, Charles D.</t>
        </is>
      </c>
      <c r="L390" t="inlineStr">
        <is>
          <t>New York, Holt, Rinehart and Winston [1968]</t>
        </is>
      </c>
      <c r="M390" t="inlineStr">
        <is>
          <t>1968</t>
        </is>
      </c>
      <c r="O390" t="inlineStr">
        <is>
          <t>eng</t>
        </is>
      </c>
      <c r="P390" t="inlineStr">
        <is>
          <t>nyu</t>
        </is>
      </c>
      <c r="R390" t="inlineStr">
        <is>
          <t xml:space="preserve">ND </t>
        </is>
      </c>
      <c r="S390" t="n">
        <v>2</v>
      </c>
      <c r="T390" t="n">
        <v>2</v>
      </c>
      <c r="U390" t="inlineStr">
        <is>
          <t>1999-04-11</t>
        </is>
      </c>
      <c r="V390" t="inlineStr">
        <is>
          <t>1999-04-11</t>
        </is>
      </c>
      <c r="W390" t="inlineStr">
        <is>
          <t>1997-07-28</t>
        </is>
      </c>
      <c r="X390" t="inlineStr">
        <is>
          <t>1997-07-28</t>
        </is>
      </c>
      <c r="Y390" t="n">
        <v>1174</v>
      </c>
      <c r="Z390" t="n">
        <v>1015</v>
      </c>
      <c r="AA390" t="n">
        <v>1056</v>
      </c>
      <c r="AB390" t="n">
        <v>7</v>
      </c>
      <c r="AC390" t="n">
        <v>7</v>
      </c>
      <c r="AD390" t="n">
        <v>36</v>
      </c>
      <c r="AE390" t="n">
        <v>39</v>
      </c>
      <c r="AF390" t="n">
        <v>18</v>
      </c>
      <c r="AG390" t="n">
        <v>19</v>
      </c>
      <c r="AH390" t="n">
        <v>8</v>
      </c>
      <c r="AI390" t="n">
        <v>10</v>
      </c>
      <c r="AJ390" t="n">
        <v>17</v>
      </c>
      <c r="AK390" t="n">
        <v>18</v>
      </c>
      <c r="AL390" t="n">
        <v>4</v>
      </c>
      <c r="AM390" t="n">
        <v>4</v>
      </c>
      <c r="AN390" t="n">
        <v>0</v>
      </c>
      <c r="AO390" t="n">
        <v>0</v>
      </c>
      <c r="AP390" t="inlineStr">
        <is>
          <t>No</t>
        </is>
      </c>
      <c r="AQ390" t="inlineStr">
        <is>
          <t>Yes</t>
        </is>
      </c>
      <c r="AR390">
        <f>HYPERLINK("http://catalog.hathitrust.org/Record/003244461","HathiTrust Record")</f>
        <v/>
      </c>
      <c r="AS390">
        <f>HYPERLINK("https://creighton-primo.hosted.exlibrisgroup.com/primo-explore/search?tab=default_tab&amp;search_scope=EVERYTHING&amp;vid=01CRU&amp;lang=en_US&amp;offset=0&amp;query=any,contains,991003582599702656","Catalog Record")</f>
        <v/>
      </c>
      <c r="AT390">
        <f>HYPERLINK("http://www.worldcat.org/oclc/1164546","WorldCat Record")</f>
        <v/>
      </c>
      <c r="AU390" t="inlineStr">
        <is>
          <t>401695:eng</t>
        </is>
      </c>
      <c r="AV390" t="inlineStr">
        <is>
          <t>1164546</t>
        </is>
      </c>
      <c r="AW390" t="inlineStr">
        <is>
          <t>991003582599702656</t>
        </is>
      </c>
      <c r="AX390" t="inlineStr">
        <is>
          <t>991003582599702656</t>
        </is>
      </c>
      <c r="AY390" t="inlineStr">
        <is>
          <t>2262727520002656</t>
        </is>
      </c>
      <c r="AZ390" t="inlineStr">
        <is>
          <t>BOOK</t>
        </is>
      </c>
      <c r="BB390" t="inlineStr">
        <is>
          <t>9780030627859</t>
        </is>
      </c>
      <c r="BC390" t="inlineStr">
        <is>
          <t>32285002967106</t>
        </is>
      </c>
      <c r="BD390" t="inlineStr">
        <is>
          <t>893721994</t>
        </is>
      </c>
    </row>
    <row r="391">
      <c r="A391" t="inlineStr">
        <is>
          <t>No</t>
        </is>
      </c>
      <c r="B391" t="inlineStr">
        <is>
          <t>ND457 .P483 1964</t>
        </is>
      </c>
      <c r="C391" t="inlineStr">
        <is>
          <t>0                      ND 0457000P  483         1964</t>
        </is>
      </c>
      <c r="D391" t="inlineStr">
        <is>
          <t>Eighteenth-century painting / Vassily Photiades. [Translated by Frances Partridge]</t>
        </is>
      </c>
      <c r="F391" t="inlineStr">
        <is>
          <t>No</t>
        </is>
      </c>
      <c r="G391" t="inlineStr">
        <is>
          <t>1</t>
        </is>
      </c>
      <c r="H391" t="inlineStr">
        <is>
          <t>No</t>
        </is>
      </c>
      <c r="I391" t="inlineStr">
        <is>
          <t>No</t>
        </is>
      </c>
      <c r="J391" t="inlineStr">
        <is>
          <t>0</t>
        </is>
      </c>
      <c r="K391" t="inlineStr">
        <is>
          <t>Photiades, Vassily.</t>
        </is>
      </c>
      <c r="L391" t="inlineStr">
        <is>
          <t>New York : Viking Press, [1964]</t>
        </is>
      </c>
      <c r="M391" t="inlineStr">
        <is>
          <t>1964</t>
        </is>
      </c>
      <c r="O391" t="inlineStr">
        <is>
          <t>eng</t>
        </is>
      </c>
      <c r="P391" t="inlineStr">
        <is>
          <t>nyu</t>
        </is>
      </c>
      <c r="Q391" t="inlineStr">
        <is>
          <t>Compass books, CA-10. Compass history of art</t>
        </is>
      </c>
      <c r="R391" t="inlineStr">
        <is>
          <t xml:space="preserve">ND </t>
        </is>
      </c>
      <c r="S391" t="n">
        <v>2</v>
      </c>
      <c r="T391" t="n">
        <v>2</v>
      </c>
      <c r="U391" t="inlineStr">
        <is>
          <t>2005-08-03</t>
        </is>
      </c>
      <c r="V391" t="inlineStr">
        <is>
          <t>2005-08-03</t>
        </is>
      </c>
      <c r="W391" t="inlineStr">
        <is>
          <t>2005-08-03</t>
        </is>
      </c>
      <c r="X391" t="inlineStr">
        <is>
          <t>2005-08-03</t>
        </is>
      </c>
      <c r="Y391" t="n">
        <v>257</v>
      </c>
      <c r="Z391" t="n">
        <v>242</v>
      </c>
      <c r="AA391" t="n">
        <v>263</v>
      </c>
      <c r="AB391" t="n">
        <v>1</v>
      </c>
      <c r="AC391" t="n">
        <v>2</v>
      </c>
      <c r="AD391" t="n">
        <v>7</v>
      </c>
      <c r="AE391" t="n">
        <v>9</v>
      </c>
      <c r="AF391" t="n">
        <v>1</v>
      </c>
      <c r="AG391" t="n">
        <v>2</v>
      </c>
      <c r="AH391" t="n">
        <v>2</v>
      </c>
      <c r="AI391" t="n">
        <v>2</v>
      </c>
      <c r="AJ391" t="n">
        <v>5</v>
      </c>
      <c r="AK391" t="n">
        <v>5</v>
      </c>
      <c r="AL391" t="n">
        <v>0</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HYPERLINK("https://creighton-primo.hosted.exlibrisgroup.com/primo-explore/search?tab=default_tab&amp;search_scope=EVERYTHING&amp;vid=01CRU&amp;lang=en_US&amp;offset=0&amp;query=any,contains,991004627019702656","Catalog Record")</f>
        <v/>
      </c>
      <c r="AT391">
        <f>HYPERLINK("http://www.worldcat.org/oclc/537756","WorldCat Record")</f>
        <v/>
      </c>
      <c r="AU391" t="inlineStr">
        <is>
          <t>289874712:eng</t>
        </is>
      </c>
      <c r="AV391" t="inlineStr">
        <is>
          <t>537756</t>
        </is>
      </c>
      <c r="AW391" t="inlineStr">
        <is>
          <t>991004627019702656</t>
        </is>
      </c>
      <c r="AX391" t="inlineStr">
        <is>
          <t>991004627019702656</t>
        </is>
      </c>
      <c r="AY391" t="inlineStr">
        <is>
          <t>2262010570002656</t>
        </is>
      </c>
      <c r="AZ391" t="inlineStr">
        <is>
          <t>BOOK</t>
        </is>
      </c>
      <c r="BC391" t="inlineStr">
        <is>
          <t>32285005099113</t>
        </is>
      </c>
      <c r="BD391" t="inlineStr">
        <is>
          <t>893253904</t>
        </is>
      </c>
    </row>
    <row r="392">
      <c r="A392" t="inlineStr">
        <is>
          <t>No</t>
        </is>
      </c>
      <c r="B392" t="inlineStr">
        <is>
          <t>ND457 .W45 1992</t>
        </is>
      </c>
      <c r="C392" t="inlineStr">
        <is>
          <t>0                      ND 0457000W  45          1992</t>
        </is>
      </c>
      <c r="D392" t="inlineStr">
        <is>
          <t>Beyond impressionism : the naturalist impulse / Gabriel P. Weisberg.</t>
        </is>
      </c>
      <c r="F392" t="inlineStr">
        <is>
          <t>No</t>
        </is>
      </c>
      <c r="G392" t="inlineStr">
        <is>
          <t>1</t>
        </is>
      </c>
      <c r="H392" t="inlineStr">
        <is>
          <t>No</t>
        </is>
      </c>
      <c r="I392" t="inlineStr">
        <is>
          <t>No</t>
        </is>
      </c>
      <c r="J392" t="inlineStr">
        <is>
          <t>0</t>
        </is>
      </c>
      <c r="K392" t="inlineStr">
        <is>
          <t>Weisberg, Gabriel P.</t>
        </is>
      </c>
      <c r="L392" t="inlineStr">
        <is>
          <t>New York : H.N. Abrams, 1992.</t>
        </is>
      </c>
      <c r="M392" t="inlineStr">
        <is>
          <t>1992</t>
        </is>
      </c>
      <c r="O392" t="inlineStr">
        <is>
          <t>eng</t>
        </is>
      </c>
      <c r="P392" t="inlineStr">
        <is>
          <t>nyu</t>
        </is>
      </c>
      <c r="R392" t="inlineStr">
        <is>
          <t xml:space="preserve">ND </t>
        </is>
      </c>
      <c r="S392" t="n">
        <v>6</v>
      </c>
      <c r="T392" t="n">
        <v>6</v>
      </c>
      <c r="U392" t="inlineStr">
        <is>
          <t>2000-09-15</t>
        </is>
      </c>
      <c r="V392" t="inlineStr">
        <is>
          <t>2000-09-15</t>
        </is>
      </c>
      <c r="W392" t="inlineStr">
        <is>
          <t>1993-11-22</t>
        </is>
      </c>
      <c r="X392" t="inlineStr">
        <is>
          <t>1993-11-22</t>
        </is>
      </c>
      <c r="Y392" t="n">
        <v>671</v>
      </c>
      <c r="Z392" t="n">
        <v>574</v>
      </c>
      <c r="AA392" t="n">
        <v>583</v>
      </c>
      <c r="AB392" t="n">
        <v>4</v>
      </c>
      <c r="AC392" t="n">
        <v>4</v>
      </c>
      <c r="AD392" t="n">
        <v>22</v>
      </c>
      <c r="AE392" t="n">
        <v>23</v>
      </c>
      <c r="AF392" t="n">
        <v>9</v>
      </c>
      <c r="AG392" t="n">
        <v>10</v>
      </c>
      <c r="AH392" t="n">
        <v>4</v>
      </c>
      <c r="AI392" t="n">
        <v>4</v>
      </c>
      <c r="AJ392" t="n">
        <v>10</v>
      </c>
      <c r="AK392" t="n">
        <v>11</v>
      </c>
      <c r="AL392" t="n">
        <v>3</v>
      </c>
      <c r="AM392" t="n">
        <v>3</v>
      </c>
      <c r="AN392" t="n">
        <v>0</v>
      </c>
      <c r="AO392" t="n">
        <v>0</v>
      </c>
      <c r="AP392" t="inlineStr">
        <is>
          <t>No</t>
        </is>
      </c>
      <c r="AQ392" t="inlineStr">
        <is>
          <t>Yes</t>
        </is>
      </c>
      <c r="AR392">
        <f>HYPERLINK("http://catalog.hathitrust.org/Record/004547097","HathiTrust Record")</f>
        <v/>
      </c>
      <c r="AS392">
        <f>HYPERLINK("https://creighton-primo.hosted.exlibrisgroup.com/primo-explore/search?tab=default_tab&amp;search_scope=EVERYTHING&amp;vid=01CRU&amp;lang=en_US&amp;offset=0&amp;query=any,contains,991001998699702656","Catalog Record")</f>
        <v/>
      </c>
      <c r="AT392">
        <f>HYPERLINK("http://www.worldcat.org/oclc/25409514","WorldCat Record")</f>
        <v/>
      </c>
      <c r="AU392" t="inlineStr">
        <is>
          <t>890290978:eng</t>
        </is>
      </c>
      <c r="AV392" t="inlineStr">
        <is>
          <t>25409514</t>
        </is>
      </c>
      <c r="AW392" t="inlineStr">
        <is>
          <t>991001998699702656</t>
        </is>
      </c>
      <c r="AX392" t="inlineStr">
        <is>
          <t>991001998699702656</t>
        </is>
      </c>
      <c r="AY392" t="inlineStr">
        <is>
          <t>2266796690002656</t>
        </is>
      </c>
      <c r="AZ392" t="inlineStr">
        <is>
          <t>BOOK</t>
        </is>
      </c>
      <c r="BB392" t="inlineStr">
        <is>
          <t>9780810919228</t>
        </is>
      </c>
      <c r="BC392" t="inlineStr">
        <is>
          <t>32285001812105</t>
        </is>
      </c>
      <c r="BD392" t="inlineStr">
        <is>
          <t>893322450</t>
        </is>
      </c>
    </row>
    <row r="393">
      <c r="A393" t="inlineStr">
        <is>
          <t>No</t>
        </is>
      </c>
      <c r="B393" t="inlineStr">
        <is>
          <t>ND458 .G63 1986</t>
        </is>
      </c>
      <c r="C393" t="inlineStr">
        <is>
          <t>0                      ND 0458000G  63          1986</t>
        </is>
      </c>
      <c r="D393" t="inlineStr">
        <is>
          <t>The new image : painting in the 1980s / Tony Godfrey.</t>
        </is>
      </c>
      <c r="F393" t="inlineStr">
        <is>
          <t>No</t>
        </is>
      </c>
      <c r="G393" t="inlineStr">
        <is>
          <t>1</t>
        </is>
      </c>
      <c r="H393" t="inlineStr">
        <is>
          <t>No</t>
        </is>
      </c>
      <c r="I393" t="inlineStr">
        <is>
          <t>No</t>
        </is>
      </c>
      <c r="J393" t="inlineStr">
        <is>
          <t>0</t>
        </is>
      </c>
      <c r="K393" t="inlineStr">
        <is>
          <t>Godfrey, Tony.</t>
        </is>
      </c>
      <c r="L393" t="inlineStr">
        <is>
          <t>New York : Abbeville Press, 1986.</t>
        </is>
      </c>
      <c r="M393" t="inlineStr">
        <is>
          <t>1986</t>
        </is>
      </c>
      <c r="O393" t="inlineStr">
        <is>
          <t>eng</t>
        </is>
      </c>
      <c r="P393" t="inlineStr">
        <is>
          <t>nyu</t>
        </is>
      </c>
      <c r="R393" t="inlineStr">
        <is>
          <t xml:space="preserve">ND </t>
        </is>
      </c>
      <c r="S393" t="n">
        <v>5</v>
      </c>
      <c r="T393" t="n">
        <v>5</v>
      </c>
      <c r="U393" t="inlineStr">
        <is>
          <t>1994-11-28</t>
        </is>
      </c>
      <c r="V393" t="inlineStr">
        <is>
          <t>1994-11-28</t>
        </is>
      </c>
      <c r="W393" t="inlineStr">
        <is>
          <t>1992-03-17</t>
        </is>
      </c>
      <c r="X393" t="inlineStr">
        <is>
          <t>1992-03-17</t>
        </is>
      </c>
      <c r="Y393" t="n">
        <v>1014</v>
      </c>
      <c r="Z393" t="n">
        <v>950</v>
      </c>
      <c r="AA393" t="n">
        <v>1015</v>
      </c>
      <c r="AB393" t="n">
        <v>7</v>
      </c>
      <c r="AC393" t="n">
        <v>10</v>
      </c>
      <c r="AD393" t="n">
        <v>27</v>
      </c>
      <c r="AE393" t="n">
        <v>30</v>
      </c>
      <c r="AF393" t="n">
        <v>14</v>
      </c>
      <c r="AG393" t="n">
        <v>14</v>
      </c>
      <c r="AH393" t="n">
        <v>4</v>
      </c>
      <c r="AI393" t="n">
        <v>4</v>
      </c>
      <c r="AJ393" t="n">
        <v>9</v>
      </c>
      <c r="AK393" t="n">
        <v>10</v>
      </c>
      <c r="AL393" t="n">
        <v>5</v>
      </c>
      <c r="AM393" t="n">
        <v>7</v>
      </c>
      <c r="AN393" t="n">
        <v>0</v>
      </c>
      <c r="AO393" t="n">
        <v>0</v>
      </c>
      <c r="AP393" t="inlineStr">
        <is>
          <t>No</t>
        </is>
      </c>
      <c r="AQ393" t="inlineStr">
        <is>
          <t>Yes</t>
        </is>
      </c>
      <c r="AR393">
        <f>HYPERLINK("http://catalog.hathitrust.org/Record/000446992","HathiTrust Record")</f>
        <v/>
      </c>
      <c r="AS393">
        <f>HYPERLINK("https://creighton-primo.hosted.exlibrisgroup.com/primo-explore/search?tab=default_tab&amp;search_scope=EVERYTHING&amp;vid=01CRU&amp;lang=en_US&amp;offset=0&amp;query=any,contains,991000774279702656","Catalog Record")</f>
        <v/>
      </c>
      <c r="AT393">
        <f>HYPERLINK("http://www.worldcat.org/oclc/13062749","WorldCat Record")</f>
        <v/>
      </c>
      <c r="AU393" t="inlineStr">
        <is>
          <t>5497704:eng</t>
        </is>
      </c>
      <c r="AV393" t="inlineStr">
        <is>
          <t>13062749</t>
        </is>
      </c>
      <c r="AW393" t="inlineStr">
        <is>
          <t>991000774279702656</t>
        </is>
      </c>
      <c r="AX393" t="inlineStr">
        <is>
          <t>991000774279702656</t>
        </is>
      </c>
      <c r="AY393" t="inlineStr">
        <is>
          <t>2256821060002656</t>
        </is>
      </c>
      <c r="AZ393" t="inlineStr">
        <is>
          <t>BOOK</t>
        </is>
      </c>
      <c r="BB393" t="inlineStr">
        <is>
          <t>9780896596559</t>
        </is>
      </c>
      <c r="BC393" t="inlineStr">
        <is>
          <t>32285001022655</t>
        </is>
      </c>
      <c r="BD393" t="inlineStr">
        <is>
          <t>893884744</t>
        </is>
      </c>
    </row>
    <row r="394">
      <c r="A394" t="inlineStr">
        <is>
          <t>No</t>
        </is>
      </c>
      <c r="B394" t="inlineStr">
        <is>
          <t>ND466 .G32</t>
        </is>
      </c>
      <c r="C394" t="inlineStr">
        <is>
          <t>0                      ND 0466000G  32</t>
        </is>
      </c>
      <c r="D394" t="inlineStr">
        <is>
          <t>The great century of British painting : Hogarth to Turner.</t>
        </is>
      </c>
      <c r="F394" t="inlineStr">
        <is>
          <t>No</t>
        </is>
      </c>
      <c r="G394" t="inlineStr">
        <is>
          <t>1</t>
        </is>
      </c>
      <c r="H394" t="inlineStr">
        <is>
          <t>No</t>
        </is>
      </c>
      <c r="I394" t="inlineStr">
        <is>
          <t>No</t>
        </is>
      </c>
      <c r="J394" t="inlineStr">
        <is>
          <t>0</t>
        </is>
      </c>
      <c r="K394" t="inlineStr">
        <is>
          <t>Gaunt, William, 1900-1980.</t>
        </is>
      </c>
      <c r="L394" t="inlineStr">
        <is>
          <t>[London] : Phaidon, [1971]</t>
        </is>
      </c>
      <c r="M394" t="inlineStr">
        <is>
          <t>1971</t>
        </is>
      </c>
      <c r="O394" t="inlineStr">
        <is>
          <t>eng</t>
        </is>
      </c>
      <c r="P394" t="inlineStr">
        <is>
          <t>enk</t>
        </is>
      </c>
      <c r="R394" t="inlineStr">
        <is>
          <t xml:space="preserve">ND </t>
        </is>
      </c>
      <c r="S394" t="n">
        <v>4</v>
      </c>
      <c r="T394" t="n">
        <v>4</v>
      </c>
      <c r="U394" t="inlineStr">
        <is>
          <t>1997-10-28</t>
        </is>
      </c>
      <c r="V394" t="inlineStr">
        <is>
          <t>1997-10-28</t>
        </is>
      </c>
      <c r="W394" t="inlineStr">
        <is>
          <t>1993-04-07</t>
        </is>
      </c>
      <c r="X394" t="inlineStr">
        <is>
          <t>1993-04-07</t>
        </is>
      </c>
      <c r="Y394" t="n">
        <v>769</v>
      </c>
      <c r="Z394" t="n">
        <v>578</v>
      </c>
      <c r="AA394" t="n">
        <v>649</v>
      </c>
      <c r="AB394" t="n">
        <v>5</v>
      </c>
      <c r="AC394" t="n">
        <v>6</v>
      </c>
      <c r="AD394" t="n">
        <v>20</v>
      </c>
      <c r="AE394" t="n">
        <v>21</v>
      </c>
      <c r="AF394" t="n">
        <v>6</v>
      </c>
      <c r="AG394" t="n">
        <v>6</v>
      </c>
      <c r="AH394" t="n">
        <v>6</v>
      </c>
      <c r="AI394" t="n">
        <v>6</v>
      </c>
      <c r="AJ394" t="n">
        <v>10</v>
      </c>
      <c r="AK394" t="n">
        <v>10</v>
      </c>
      <c r="AL394" t="n">
        <v>3</v>
      </c>
      <c r="AM394" t="n">
        <v>4</v>
      </c>
      <c r="AN394" t="n">
        <v>0</v>
      </c>
      <c r="AO394" t="n">
        <v>0</v>
      </c>
      <c r="AP394" t="inlineStr">
        <is>
          <t>No</t>
        </is>
      </c>
      <c r="AQ394" t="inlineStr">
        <is>
          <t>Yes</t>
        </is>
      </c>
      <c r="AR394">
        <f>HYPERLINK("http://catalog.hathitrust.org/Record/000371198","HathiTrust Record")</f>
        <v/>
      </c>
      <c r="AS394">
        <f>HYPERLINK("https://creighton-primo.hosted.exlibrisgroup.com/primo-explore/search?tab=default_tab&amp;search_scope=EVERYTHING&amp;vid=01CRU&amp;lang=en_US&amp;offset=0&amp;query=any,contains,991001237039702656","Catalog Record")</f>
        <v/>
      </c>
      <c r="AT394">
        <f>HYPERLINK("http://www.worldcat.org/oclc/206743","WorldCat Record")</f>
        <v/>
      </c>
      <c r="AU394" t="inlineStr">
        <is>
          <t>14564247:eng</t>
        </is>
      </c>
      <c r="AV394" t="inlineStr">
        <is>
          <t>206743</t>
        </is>
      </c>
      <c r="AW394" t="inlineStr">
        <is>
          <t>991001237039702656</t>
        </is>
      </c>
      <c r="AX394" t="inlineStr">
        <is>
          <t>991001237039702656</t>
        </is>
      </c>
      <c r="AY394" t="inlineStr">
        <is>
          <t>2255008580002656</t>
        </is>
      </c>
      <c r="AZ394" t="inlineStr">
        <is>
          <t>BOOK</t>
        </is>
      </c>
      <c r="BB394" t="inlineStr">
        <is>
          <t>9780714814520</t>
        </is>
      </c>
      <c r="BC394" t="inlineStr">
        <is>
          <t>32285001603918</t>
        </is>
      </c>
      <c r="BD394" t="inlineStr">
        <is>
          <t>893897634</t>
        </is>
      </c>
    </row>
    <row r="395">
      <c r="A395" t="inlineStr">
        <is>
          <t>No</t>
        </is>
      </c>
      <c r="B395" t="inlineStr">
        <is>
          <t>ND466 .K57 1964</t>
        </is>
      </c>
      <c r="C395" t="inlineStr">
        <is>
          <t>0                      ND 0466000K  57          1964</t>
        </is>
      </c>
      <c r="D395" t="inlineStr">
        <is>
          <t>English painting / [by] Michael Kitson and Alexandra Wedgwood.</t>
        </is>
      </c>
      <c r="F395" t="inlineStr">
        <is>
          <t>No</t>
        </is>
      </c>
      <c r="G395" t="inlineStr">
        <is>
          <t>1</t>
        </is>
      </c>
      <c r="H395" t="inlineStr">
        <is>
          <t>No</t>
        </is>
      </c>
      <c r="I395" t="inlineStr">
        <is>
          <t>No</t>
        </is>
      </c>
      <c r="J395" t="inlineStr">
        <is>
          <t>0</t>
        </is>
      </c>
      <c r="K395" t="inlineStr">
        <is>
          <t>Kitson, Michael.</t>
        </is>
      </c>
      <c r="L395" t="inlineStr">
        <is>
          <t>New York : Golden Press, [1964]</t>
        </is>
      </c>
      <c r="M395" t="inlineStr">
        <is>
          <t>1964</t>
        </is>
      </c>
      <c r="O395" t="inlineStr">
        <is>
          <t>eng</t>
        </is>
      </c>
      <c r="P395" t="inlineStr">
        <is>
          <t>nyu</t>
        </is>
      </c>
      <c r="Q395" t="inlineStr">
        <is>
          <t>Art of the Western world</t>
        </is>
      </c>
      <c r="R395" t="inlineStr">
        <is>
          <t xml:space="preserve">ND </t>
        </is>
      </c>
      <c r="S395" t="n">
        <v>6</v>
      </c>
      <c r="T395" t="n">
        <v>6</v>
      </c>
      <c r="U395" t="inlineStr">
        <is>
          <t>2008-04-22</t>
        </is>
      </c>
      <c r="V395" t="inlineStr">
        <is>
          <t>2008-04-22</t>
        </is>
      </c>
      <c r="W395" t="inlineStr">
        <is>
          <t>1994-06-07</t>
        </is>
      </c>
      <c r="X395" t="inlineStr">
        <is>
          <t>1994-06-07</t>
        </is>
      </c>
      <c r="Y395" t="n">
        <v>161</v>
      </c>
      <c r="Z395" t="n">
        <v>146</v>
      </c>
      <c r="AA395" t="n">
        <v>213</v>
      </c>
      <c r="AB395" t="n">
        <v>2</v>
      </c>
      <c r="AC395" t="n">
        <v>2</v>
      </c>
      <c r="AD395" t="n">
        <v>6</v>
      </c>
      <c r="AE395" t="n">
        <v>11</v>
      </c>
      <c r="AF395" t="n">
        <v>3</v>
      </c>
      <c r="AG395" t="n">
        <v>6</v>
      </c>
      <c r="AH395" t="n">
        <v>1</v>
      </c>
      <c r="AI395" t="n">
        <v>1</v>
      </c>
      <c r="AJ395" t="n">
        <v>2</v>
      </c>
      <c r="AK395" t="n">
        <v>4</v>
      </c>
      <c r="AL395" t="n">
        <v>1</v>
      </c>
      <c r="AM395" t="n">
        <v>1</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HYPERLINK("https://creighton-primo.hosted.exlibrisgroup.com/primo-explore/search?tab=default_tab&amp;search_scope=EVERYTHING&amp;vid=01CRU&amp;lang=en_US&amp;offset=0&amp;query=any,contains,991000013289702656","Catalog Record")</f>
        <v/>
      </c>
      <c r="AT395">
        <f>HYPERLINK("http://www.worldcat.org/oclc/16006","WorldCat Record")</f>
        <v/>
      </c>
      <c r="AU395" t="inlineStr">
        <is>
          <t>3901128573:eng</t>
        </is>
      </c>
      <c r="AV395" t="inlineStr">
        <is>
          <t>16006</t>
        </is>
      </c>
      <c r="AW395" t="inlineStr">
        <is>
          <t>991000013289702656</t>
        </is>
      </c>
      <c r="AX395" t="inlineStr">
        <is>
          <t>991000013289702656</t>
        </is>
      </c>
      <c r="AY395" t="inlineStr">
        <is>
          <t>2271591180002656</t>
        </is>
      </c>
      <c r="AZ395" t="inlineStr">
        <is>
          <t>BOOK</t>
        </is>
      </c>
      <c r="BC395" t="inlineStr">
        <is>
          <t>32285001915981</t>
        </is>
      </c>
      <c r="BD395" t="inlineStr">
        <is>
          <t>893261330</t>
        </is>
      </c>
    </row>
    <row r="396">
      <c r="A396" t="inlineStr">
        <is>
          <t>No</t>
        </is>
      </c>
      <c r="B396" t="inlineStr">
        <is>
          <t>ND466 .L57 1989</t>
        </is>
      </c>
      <c r="C396" t="inlineStr">
        <is>
          <t>0                      ND 0466000L  57          1989</t>
        </is>
      </c>
      <c r="D396" t="inlineStr">
        <is>
          <t>British romantic painting / Raymond Lister.</t>
        </is>
      </c>
      <c r="F396" t="inlineStr">
        <is>
          <t>No</t>
        </is>
      </c>
      <c r="G396" t="inlineStr">
        <is>
          <t>1</t>
        </is>
      </c>
      <c r="H396" t="inlineStr">
        <is>
          <t>No</t>
        </is>
      </c>
      <c r="I396" t="inlineStr">
        <is>
          <t>No</t>
        </is>
      </c>
      <c r="J396" t="inlineStr">
        <is>
          <t>0</t>
        </is>
      </c>
      <c r="K396" t="inlineStr">
        <is>
          <t>Lister, Raymond.</t>
        </is>
      </c>
      <c r="L396" t="inlineStr">
        <is>
          <t>Cambridge : Cambridge University Press, 1989.</t>
        </is>
      </c>
      <c r="M396" t="inlineStr">
        <is>
          <t>1989</t>
        </is>
      </c>
      <c r="O396" t="inlineStr">
        <is>
          <t>eng</t>
        </is>
      </c>
      <c r="P396" t="inlineStr">
        <is>
          <t>enk</t>
        </is>
      </c>
      <c r="R396" t="inlineStr">
        <is>
          <t xml:space="preserve">ND </t>
        </is>
      </c>
      <c r="S396" t="n">
        <v>8</v>
      </c>
      <c r="T396" t="n">
        <v>8</v>
      </c>
      <c r="U396" t="inlineStr">
        <is>
          <t>1997-10-02</t>
        </is>
      </c>
      <c r="V396" t="inlineStr">
        <is>
          <t>1997-10-02</t>
        </is>
      </c>
      <c r="W396" t="inlineStr">
        <is>
          <t>1990-06-29</t>
        </is>
      </c>
      <c r="X396" t="inlineStr">
        <is>
          <t>1990-06-29</t>
        </is>
      </c>
      <c r="Y396" t="n">
        <v>508</v>
      </c>
      <c r="Z396" t="n">
        <v>336</v>
      </c>
      <c r="AA396" t="n">
        <v>342</v>
      </c>
      <c r="AB396" t="n">
        <v>4</v>
      </c>
      <c r="AC396" t="n">
        <v>4</v>
      </c>
      <c r="AD396" t="n">
        <v>13</v>
      </c>
      <c r="AE396" t="n">
        <v>13</v>
      </c>
      <c r="AF396" t="n">
        <v>3</v>
      </c>
      <c r="AG396" t="n">
        <v>3</v>
      </c>
      <c r="AH396" t="n">
        <v>4</v>
      </c>
      <c r="AI396" t="n">
        <v>4</v>
      </c>
      <c r="AJ396" t="n">
        <v>7</v>
      </c>
      <c r="AK396" t="n">
        <v>7</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HYPERLINK("https://creighton-primo.hosted.exlibrisgroup.com/primo-explore/search?tab=default_tab&amp;search_scope=EVERYTHING&amp;vid=01CRU&amp;lang=en_US&amp;offset=0&amp;query=any,contains,991001508379702656","Catalog Record")</f>
        <v/>
      </c>
      <c r="AT396">
        <f>HYPERLINK("http://www.worldcat.org/oclc/19970091","WorldCat Record")</f>
        <v/>
      </c>
      <c r="AU396" t="inlineStr">
        <is>
          <t>21441556:eng</t>
        </is>
      </c>
      <c r="AV396" t="inlineStr">
        <is>
          <t>19970091</t>
        </is>
      </c>
      <c r="AW396" t="inlineStr">
        <is>
          <t>991001508379702656</t>
        </is>
      </c>
      <c r="AX396" t="inlineStr">
        <is>
          <t>991001508379702656</t>
        </is>
      </c>
      <c r="AY396" t="inlineStr">
        <is>
          <t>2269814410002656</t>
        </is>
      </c>
      <c r="AZ396" t="inlineStr">
        <is>
          <t>BOOK</t>
        </is>
      </c>
      <c r="BB396" t="inlineStr">
        <is>
          <t>9780521356879</t>
        </is>
      </c>
      <c r="BC396" t="inlineStr">
        <is>
          <t>32285000206036</t>
        </is>
      </c>
      <c r="BD396" t="inlineStr">
        <is>
          <t>893522612</t>
        </is>
      </c>
    </row>
    <row r="397">
      <c r="A397" t="inlineStr">
        <is>
          <t>No</t>
        </is>
      </c>
      <c r="B397" t="inlineStr">
        <is>
          <t>ND466 .M366 1987</t>
        </is>
      </c>
      <c r="C397" t="inlineStr">
        <is>
          <t>0                      ND 0466000M  366         1987</t>
        </is>
      </c>
      <c r="D397" t="inlineStr">
        <is>
          <t>Manners &amp; morals : Hogarth and British painting 1700-1760.</t>
        </is>
      </c>
      <c r="F397" t="inlineStr">
        <is>
          <t>No</t>
        </is>
      </c>
      <c r="G397" t="inlineStr">
        <is>
          <t>1</t>
        </is>
      </c>
      <c r="H397" t="inlineStr">
        <is>
          <t>No</t>
        </is>
      </c>
      <c r="I397" t="inlineStr">
        <is>
          <t>No</t>
        </is>
      </c>
      <c r="J397" t="inlineStr">
        <is>
          <t>0</t>
        </is>
      </c>
      <c r="L397" t="inlineStr">
        <is>
          <t>London : Tate Gallery Publications, 1987.</t>
        </is>
      </c>
      <c r="M397" t="inlineStr">
        <is>
          <t>1987</t>
        </is>
      </c>
      <c r="O397" t="inlineStr">
        <is>
          <t>eng</t>
        </is>
      </c>
      <c r="P397" t="inlineStr">
        <is>
          <t>enk</t>
        </is>
      </c>
      <c r="R397" t="inlineStr">
        <is>
          <t xml:space="preserve">ND </t>
        </is>
      </c>
      <c r="S397" t="n">
        <v>3</v>
      </c>
      <c r="T397" t="n">
        <v>3</v>
      </c>
      <c r="U397" t="inlineStr">
        <is>
          <t>1996-09-05</t>
        </is>
      </c>
      <c r="V397" t="inlineStr">
        <is>
          <t>1996-09-05</t>
        </is>
      </c>
      <c r="W397" t="inlineStr">
        <is>
          <t>1989-12-18</t>
        </is>
      </c>
      <c r="X397" t="inlineStr">
        <is>
          <t>1989-12-18</t>
        </is>
      </c>
      <c r="Y397" t="n">
        <v>394</v>
      </c>
      <c r="Z397" t="n">
        <v>268</v>
      </c>
      <c r="AA397" t="n">
        <v>289</v>
      </c>
      <c r="AB397" t="n">
        <v>4</v>
      </c>
      <c r="AC397" t="n">
        <v>4</v>
      </c>
      <c r="AD397" t="n">
        <v>10</v>
      </c>
      <c r="AE397" t="n">
        <v>11</v>
      </c>
      <c r="AF397" t="n">
        <v>5</v>
      </c>
      <c r="AG397" t="n">
        <v>6</v>
      </c>
      <c r="AH397" t="n">
        <v>1</v>
      </c>
      <c r="AI397" t="n">
        <v>1</v>
      </c>
      <c r="AJ397" t="n">
        <v>3</v>
      </c>
      <c r="AK397" t="n">
        <v>3</v>
      </c>
      <c r="AL397" t="n">
        <v>2</v>
      </c>
      <c r="AM397" t="n">
        <v>2</v>
      </c>
      <c r="AN397" t="n">
        <v>0</v>
      </c>
      <c r="AO397" t="n">
        <v>0</v>
      </c>
      <c r="AP397" t="inlineStr">
        <is>
          <t>No</t>
        </is>
      </c>
      <c r="AQ397" t="inlineStr">
        <is>
          <t>Yes</t>
        </is>
      </c>
      <c r="AR397">
        <f>HYPERLINK("http://catalog.hathitrust.org/Record/000878706","HathiTrust Record")</f>
        <v/>
      </c>
      <c r="AS397">
        <f>HYPERLINK("https://creighton-primo.hosted.exlibrisgroup.com/primo-explore/search?tab=default_tab&amp;search_scope=EVERYTHING&amp;vid=01CRU&amp;lang=en_US&amp;offset=0&amp;query=any,contains,991001216379702656","Catalog Record")</f>
        <v/>
      </c>
      <c r="AT397">
        <f>HYPERLINK("http://www.worldcat.org/oclc/17546733","WorldCat Record")</f>
        <v/>
      </c>
      <c r="AU397" t="inlineStr">
        <is>
          <t>865300186:eng</t>
        </is>
      </c>
      <c r="AV397" t="inlineStr">
        <is>
          <t>17546733</t>
        </is>
      </c>
      <c r="AW397" t="inlineStr">
        <is>
          <t>991001216379702656</t>
        </is>
      </c>
      <c r="AX397" t="inlineStr">
        <is>
          <t>991001216379702656</t>
        </is>
      </c>
      <c r="AY397" t="inlineStr">
        <is>
          <t>2264459250002656</t>
        </is>
      </c>
      <c r="AZ397" t="inlineStr">
        <is>
          <t>BOOK</t>
        </is>
      </c>
      <c r="BB397" t="inlineStr">
        <is>
          <t>9780946590858</t>
        </is>
      </c>
      <c r="BC397" t="inlineStr">
        <is>
          <t>32285000018522</t>
        </is>
      </c>
      <c r="BD397" t="inlineStr">
        <is>
          <t>893528763</t>
        </is>
      </c>
    </row>
    <row r="398">
      <c r="A398" t="inlineStr">
        <is>
          <t>No</t>
        </is>
      </c>
      <c r="B398" t="inlineStr">
        <is>
          <t>ND467 .C378 1988</t>
        </is>
      </c>
      <c r="C398" t="inlineStr">
        <is>
          <t>0                      ND 0467000C  378         1988</t>
        </is>
      </c>
      <c r="D398" t="inlineStr">
        <is>
          <t>Virtue rewarded : Victorian paintings from the Forbes Magazine Collection : catalogue / by Susan P. Casteras ; with a foreword by Christopher Forbes.</t>
        </is>
      </c>
      <c r="F398" t="inlineStr">
        <is>
          <t>No</t>
        </is>
      </c>
      <c r="G398" t="inlineStr">
        <is>
          <t>1</t>
        </is>
      </c>
      <c r="H398" t="inlineStr">
        <is>
          <t>No</t>
        </is>
      </c>
      <c r="I398" t="inlineStr">
        <is>
          <t>No</t>
        </is>
      </c>
      <c r="J398" t="inlineStr">
        <is>
          <t>0</t>
        </is>
      </c>
      <c r="K398" t="inlineStr">
        <is>
          <t>Casteras, Susan P.</t>
        </is>
      </c>
      <c r="L398" t="inlineStr">
        <is>
          <t>Louisville, Ky. : JB Speed Art Museum : circulated by Art Services International, Alexandria, Va., c1988.</t>
        </is>
      </c>
      <c r="M398" t="inlineStr">
        <is>
          <t>1988</t>
        </is>
      </c>
      <c r="O398" t="inlineStr">
        <is>
          <t>eng</t>
        </is>
      </c>
      <c r="P398" t="inlineStr">
        <is>
          <t>kyu</t>
        </is>
      </c>
      <c r="R398" t="inlineStr">
        <is>
          <t xml:space="preserve">ND </t>
        </is>
      </c>
      <c r="S398" t="n">
        <v>5</v>
      </c>
      <c r="T398" t="n">
        <v>5</v>
      </c>
      <c r="U398" t="inlineStr">
        <is>
          <t>1999-03-16</t>
        </is>
      </c>
      <c r="V398" t="inlineStr">
        <is>
          <t>1999-03-16</t>
        </is>
      </c>
      <c r="W398" t="inlineStr">
        <is>
          <t>1995-11-15</t>
        </is>
      </c>
      <c r="X398" t="inlineStr">
        <is>
          <t>1995-11-15</t>
        </is>
      </c>
      <c r="Y398" t="n">
        <v>134</v>
      </c>
      <c r="Z398" t="n">
        <v>117</v>
      </c>
      <c r="AA398" t="n">
        <v>118</v>
      </c>
      <c r="AB398" t="n">
        <v>2</v>
      </c>
      <c r="AC398" t="n">
        <v>2</v>
      </c>
      <c r="AD398" t="n">
        <v>3</v>
      </c>
      <c r="AE398" t="n">
        <v>3</v>
      </c>
      <c r="AF398" t="n">
        <v>1</v>
      </c>
      <c r="AG398" t="n">
        <v>1</v>
      </c>
      <c r="AH398" t="n">
        <v>0</v>
      </c>
      <c r="AI398" t="n">
        <v>0</v>
      </c>
      <c r="AJ398" t="n">
        <v>2</v>
      </c>
      <c r="AK398" t="n">
        <v>2</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HYPERLINK("https://creighton-primo.hosted.exlibrisgroup.com/primo-explore/search?tab=default_tab&amp;search_scope=EVERYTHING&amp;vid=01CRU&amp;lang=en_US&amp;offset=0&amp;query=any,contains,991001413459702656","Catalog Record")</f>
        <v/>
      </c>
      <c r="AT398">
        <f>HYPERLINK("http://www.worldcat.org/oclc/18925701","WorldCat Record")</f>
        <v/>
      </c>
      <c r="AU398" t="inlineStr">
        <is>
          <t>18807533:eng</t>
        </is>
      </c>
      <c r="AV398" t="inlineStr">
        <is>
          <t>18925701</t>
        </is>
      </c>
      <c r="AW398" t="inlineStr">
        <is>
          <t>991001413459702656</t>
        </is>
      </c>
      <c r="AX398" t="inlineStr">
        <is>
          <t>991001413459702656</t>
        </is>
      </c>
      <c r="AY398" t="inlineStr">
        <is>
          <t>2259301930002656</t>
        </is>
      </c>
      <c r="AZ398" t="inlineStr">
        <is>
          <t>BOOK</t>
        </is>
      </c>
      <c r="BC398" t="inlineStr">
        <is>
          <t>32285002103389</t>
        </is>
      </c>
      <c r="BD398" t="inlineStr">
        <is>
          <t>893516187</t>
        </is>
      </c>
    </row>
    <row r="399">
      <c r="A399" t="inlineStr">
        <is>
          <t>No</t>
        </is>
      </c>
      <c r="B399" t="inlineStr">
        <is>
          <t>ND467 .L54 1966a</t>
        </is>
      </c>
      <c r="C399" t="inlineStr">
        <is>
          <t>0                      ND 0467000L  54          1966a</t>
        </is>
      </c>
      <c r="D399" t="inlineStr">
        <is>
          <t>Victorian narrative paintings.</t>
        </is>
      </c>
      <c r="F399" t="inlineStr">
        <is>
          <t>No</t>
        </is>
      </c>
      <c r="G399" t="inlineStr">
        <is>
          <t>1</t>
        </is>
      </c>
      <c r="H399" t="inlineStr">
        <is>
          <t>No</t>
        </is>
      </c>
      <c r="I399" t="inlineStr">
        <is>
          <t>No</t>
        </is>
      </c>
      <c r="J399" t="inlineStr">
        <is>
          <t>0</t>
        </is>
      </c>
      <c r="K399" t="inlineStr">
        <is>
          <t>Lister, Raymond.</t>
        </is>
      </c>
      <c r="L399" t="inlineStr">
        <is>
          <t>New York : C. N. Potter, [1966]</t>
        </is>
      </c>
      <c r="M399" t="inlineStr">
        <is>
          <t>1966</t>
        </is>
      </c>
      <c r="O399" t="inlineStr">
        <is>
          <t>eng</t>
        </is>
      </c>
      <c r="P399" t="inlineStr">
        <is>
          <t>nyu</t>
        </is>
      </c>
      <c r="R399" t="inlineStr">
        <is>
          <t xml:space="preserve">ND </t>
        </is>
      </c>
      <c r="S399" t="n">
        <v>3</v>
      </c>
      <c r="T399" t="n">
        <v>3</v>
      </c>
      <c r="U399" t="inlineStr">
        <is>
          <t>1993-03-29</t>
        </is>
      </c>
      <c r="V399" t="inlineStr">
        <is>
          <t>1993-03-29</t>
        </is>
      </c>
      <c r="W399" t="inlineStr">
        <is>
          <t>1993-03-29</t>
        </is>
      </c>
      <c r="X399" t="inlineStr">
        <is>
          <t>1993-03-29</t>
        </is>
      </c>
      <c r="Y399" t="n">
        <v>400</v>
      </c>
      <c r="Z399" t="n">
        <v>356</v>
      </c>
      <c r="AA399" t="n">
        <v>430</v>
      </c>
      <c r="AB399" t="n">
        <v>2</v>
      </c>
      <c r="AC399" t="n">
        <v>2</v>
      </c>
      <c r="AD399" t="n">
        <v>11</v>
      </c>
      <c r="AE399" t="n">
        <v>11</v>
      </c>
      <c r="AF399" t="n">
        <v>4</v>
      </c>
      <c r="AG399" t="n">
        <v>4</v>
      </c>
      <c r="AH399" t="n">
        <v>3</v>
      </c>
      <c r="AI399" t="n">
        <v>3</v>
      </c>
      <c r="AJ399" t="n">
        <v>7</v>
      </c>
      <c r="AK399" t="n">
        <v>7</v>
      </c>
      <c r="AL399" t="n">
        <v>1</v>
      </c>
      <c r="AM399" t="n">
        <v>1</v>
      </c>
      <c r="AN399" t="n">
        <v>0</v>
      </c>
      <c r="AO399" t="n">
        <v>0</v>
      </c>
      <c r="AP399" t="inlineStr">
        <is>
          <t>No</t>
        </is>
      </c>
      <c r="AQ399" t="inlineStr">
        <is>
          <t>Yes</t>
        </is>
      </c>
      <c r="AR399">
        <f>HYPERLINK("http://catalog.hathitrust.org/Record/000371731","HathiTrust Record")</f>
        <v/>
      </c>
      <c r="AS399">
        <f>HYPERLINK("https://creighton-primo.hosted.exlibrisgroup.com/primo-explore/search?tab=default_tab&amp;search_scope=EVERYTHING&amp;vid=01CRU&amp;lang=en_US&amp;offset=0&amp;query=any,contains,991002902729702656","Catalog Record")</f>
        <v/>
      </c>
      <c r="AT399">
        <f>HYPERLINK("http://www.worldcat.org/oclc/517974","WorldCat Record")</f>
        <v/>
      </c>
      <c r="AU399" t="inlineStr">
        <is>
          <t>1506870:eng</t>
        </is>
      </c>
      <c r="AV399" t="inlineStr">
        <is>
          <t>517974</t>
        </is>
      </c>
      <c r="AW399" t="inlineStr">
        <is>
          <t>991002902729702656</t>
        </is>
      </c>
      <c r="AX399" t="inlineStr">
        <is>
          <t>991002902729702656</t>
        </is>
      </c>
      <c r="AY399" t="inlineStr">
        <is>
          <t>2254977590002656</t>
        </is>
      </c>
      <c r="AZ399" t="inlineStr">
        <is>
          <t>BOOK</t>
        </is>
      </c>
      <c r="BC399" t="inlineStr">
        <is>
          <t>32285001592012</t>
        </is>
      </c>
      <c r="BD399" t="inlineStr">
        <is>
          <t>893415786</t>
        </is>
      </c>
    </row>
    <row r="400">
      <c r="A400" t="inlineStr">
        <is>
          <t>No</t>
        </is>
      </c>
      <c r="B400" t="inlineStr">
        <is>
          <t>ND467 .M26 1969b</t>
        </is>
      </c>
      <c r="C400" t="inlineStr">
        <is>
          <t>0                      ND 0467000M  26          1969b</t>
        </is>
      </c>
      <c r="D400" t="inlineStr">
        <is>
          <t>Victorian painters.</t>
        </is>
      </c>
      <c r="F400" t="inlineStr">
        <is>
          <t>No</t>
        </is>
      </c>
      <c r="G400" t="inlineStr">
        <is>
          <t>1</t>
        </is>
      </c>
      <c r="H400" t="inlineStr">
        <is>
          <t>No</t>
        </is>
      </c>
      <c r="I400" t="inlineStr">
        <is>
          <t>No</t>
        </is>
      </c>
      <c r="J400" t="inlineStr">
        <is>
          <t>0</t>
        </is>
      </c>
      <c r="K400" t="inlineStr">
        <is>
          <t>Maas, Jeremy.</t>
        </is>
      </c>
      <c r="L400" t="inlineStr">
        <is>
          <t>New York : Putnam, [1969]</t>
        </is>
      </c>
      <c r="M400" t="inlineStr">
        <is>
          <t>1969</t>
        </is>
      </c>
      <c r="N400" t="inlineStr">
        <is>
          <t>[1st American ed.]</t>
        </is>
      </c>
      <c r="O400" t="inlineStr">
        <is>
          <t>eng</t>
        </is>
      </c>
      <c r="P400" t="inlineStr">
        <is>
          <t>nyu</t>
        </is>
      </c>
      <c r="R400" t="inlineStr">
        <is>
          <t xml:space="preserve">ND </t>
        </is>
      </c>
      <c r="S400" t="n">
        <v>8</v>
      </c>
      <c r="T400" t="n">
        <v>8</v>
      </c>
      <c r="U400" t="inlineStr">
        <is>
          <t>1999-03-16</t>
        </is>
      </c>
      <c r="V400" t="inlineStr">
        <is>
          <t>1999-03-16</t>
        </is>
      </c>
      <c r="W400" t="inlineStr">
        <is>
          <t>1991-08-08</t>
        </is>
      </c>
      <c r="X400" t="inlineStr">
        <is>
          <t>1991-08-08</t>
        </is>
      </c>
      <c r="Y400" t="n">
        <v>497</v>
      </c>
      <c r="Z400" t="n">
        <v>472</v>
      </c>
      <c r="AA400" t="n">
        <v>892</v>
      </c>
      <c r="AB400" t="n">
        <v>2</v>
      </c>
      <c r="AC400" t="n">
        <v>5</v>
      </c>
      <c r="AD400" t="n">
        <v>14</v>
      </c>
      <c r="AE400" t="n">
        <v>29</v>
      </c>
      <c r="AF400" t="n">
        <v>7</v>
      </c>
      <c r="AG400" t="n">
        <v>10</v>
      </c>
      <c r="AH400" t="n">
        <v>2</v>
      </c>
      <c r="AI400" t="n">
        <v>7</v>
      </c>
      <c r="AJ400" t="n">
        <v>10</v>
      </c>
      <c r="AK400" t="n">
        <v>19</v>
      </c>
      <c r="AL400" t="n">
        <v>0</v>
      </c>
      <c r="AM400" t="n">
        <v>1</v>
      </c>
      <c r="AN400" t="n">
        <v>0</v>
      </c>
      <c r="AO400" t="n">
        <v>0</v>
      </c>
      <c r="AP400" t="inlineStr">
        <is>
          <t>No</t>
        </is>
      </c>
      <c r="AQ400" t="inlineStr">
        <is>
          <t>Yes</t>
        </is>
      </c>
      <c r="AR400">
        <f>HYPERLINK("http://catalog.hathitrust.org/Record/000372622","HathiTrust Record")</f>
        <v/>
      </c>
      <c r="AS400">
        <f>HYPERLINK("https://creighton-primo.hosted.exlibrisgroup.com/primo-explore/search?tab=default_tab&amp;search_scope=EVERYTHING&amp;vid=01CRU&amp;lang=en_US&amp;offset=0&amp;query=any,contains,991000128709702656","Catalog Record")</f>
        <v/>
      </c>
      <c r="AT400">
        <f>HYPERLINK("http://www.worldcat.org/oclc/53148","WorldCat Record")</f>
        <v/>
      </c>
      <c r="AU400" t="inlineStr">
        <is>
          <t>1177232:eng</t>
        </is>
      </c>
      <c r="AV400" t="inlineStr">
        <is>
          <t>53148</t>
        </is>
      </c>
      <c r="AW400" t="inlineStr">
        <is>
          <t>991000128709702656</t>
        </is>
      </c>
      <c r="AX400" t="inlineStr">
        <is>
          <t>991000128709702656</t>
        </is>
      </c>
      <c r="AY400" t="inlineStr">
        <is>
          <t>2257548580002656</t>
        </is>
      </c>
      <c r="AZ400" t="inlineStr">
        <is>
          <t>BOOK</t>
        </is>
      </c>
      <c r="BC400" t="inlineStr">
        <is>
          <t>32285000682046</t>
        </is>
      </c>
      <c r="BD400" t="inlineStr">
        <is>
          <t>893261368</t>
        </is>
      </c>
    </row>
    <row r="401">
      <c r="A401" t="inlineStr">
        <is>
          <t>No</t>
        </is>
      </c>
      <c r="B401" t="inlineStr">
        <is>
          <t>ND467.5.P7 W66</t>
        </is>
      </c>
      <c r="C401" t="inlineStr">
        <is>
          <t>0                      ND 0467500P  7                  W  66</t>
        </is>
      </c>
      <c r="D401" t="inlineStr">
        <is>
          <t>The Pre-Raphaelites / Christopher Wood.</t>
        </is>
      </c>
      <c r="F401" t="inlineStr">
        <is>
          <t>No</t>
        </is>
      </c>
      <c r="G401" t="inlineStr">
        <is>
          <t>1</t>
        </is>
      </c>
      <c r="H401" t="inlineStr">
        <is>
          <t>No</t>
        </is>
      </c>
      <c r="I401" t="inlineStr">
        <is>
          <t>No</t>
        </is>
      </c>
      <c r="J401" t="inlineStr">
        <is>
          <t>0</t>
        </is>
      </c>
      <c r="K401" t="inlineStr">
        <is>
          <t>Wood, Christopher.</t>
        </is>
      </c>
      <c r="L401" t="inlineStr">
        <is>
          <t>New York : Viking Press, 1981.</t>
        </is>
      </c>
      <c r="M401" t="inlineStr">
        <is>
          <t>1981</t>
        </is>
      </c>
      <c r="O401" t="inlineStr">
        <is>
          <t>eng</t>
        </is>
      </c>
      <c r="P401" t="inlineStr">
        <is>
          <t>nyu</t>
        </is>
      </c>
      <c r="Q401" t="inlineStr">
        <is>
          <t>A Studio book</t>
        </is>
      </c>
      <c r="R401" t="inlineStr">
        <is>
          <t xml:space="preserve">ND </t>
        </is>
      </c>
      <c r="S401" t="n">
        <v>10</v>
      </c>
      <c r="T401" t="n">
        <v>10</v>
      </c>
      <c r="U401" t="inlineStr">
        <is>
          <t>1997-04-18</t>
        </is>
      </c>
      <c r="V401" t="inlineStr">
        <is>
          <t>1997-04-18</t>
        </is>
      </c>
      <c r="W401" t="inlineStr">
        <is>
          <t>1990-10-24</t>
        </is>
      </c>
      <c r="X401" t="inlineStr">
        <is>
          <t>1990-10-24</t>
        </is>
      </c>
      <c r="Y401" t="n">
        <v>614</v>
      </c>
      <c r="Z401" t="n">
        <v>566</v>
      </c>
      <c r="AA401" t="n">
        <v>783</v>
      </c>
      <c r="AB401" t="n">
        <v>4</v>
      </c>
      <c r="AC401" t="n">
        <v>5</v>
      </c>
      <c r="AD401" t="n">
        <v>21</v>
      </c>
      <c r="AE401" t="n">
        <v>27</v>
      </c>
      <c r="AF401" t="n">
        <v>9</v>
      </c>
      <c r="AG401" t="n">
        <v>12</v>
      </c>
      <c r="AH401" t="n">
        <v>5</v>
      </c>
      <c r="AI401" t="n">
        <v>8</v>
      </c>
      <c r="AJ401" t="n">
        <v>11</v>
      </c>
      <c r="AK401" t="n">
        <v>12</v>
      </c>
      <c r="AL401" t="n">
        <v>2</v>
      </c>
      <c r="AM401" t="n">
        <v>3</v>
      </c>
      <c r="AN401" t="n">
        <v>0</v>
      </c>
      <c r="AO401" t="n">
        <v>0</v>
      </c>
      <c r="AP401" t="inlineStr">
        <is>
          <t>No</t>
        </is>
      </c>
      <c r="AQ401" t="inlineStr">
        <is>
          <t>Yes</t>
        </is>
      </c>
      <c r="AR401">
        <f>HYPERLINK("http://catalog.hathitrust.org/Record/000225037","HathiTrust Record")</f>
        <v/>
      </c>
      <c r="AS401">
        <f>HYPERLINK("https://creighton-primo.hosted.exlibrisgroup.com/primo-explore/search?tab=default_tab&amp;search_scope=EVERYTHING&amp;vid=01CRU&amp;lang=en_US&amp;offset=0&amp;query=any,contains,991005113369702656","Catalog Record")</f>
        <v/>
      </c>
      <c r="AT401">
        <f>HYPERLINK("http://www.worldcat.org/oclc/7459975","WorldCat Record")</f>
        <v/>
      </c>
      <c r="AU401" t="inlineStr">
        <is>
          <t>179058309:eng</t>
        </is>
      </c>
      <c r="AV401" t="inlineStr">
        <is>
          <t>7459975</t>
        </is>
      </c>
      <c r="AW401" t="inlineStr">
        <is>
          <t>991005113369702656</t>
        </is>
      </c>
      <c r="AX401" t="inlineStr">
        <is>
          <t>991005113369702656</t>
        </is>
      </c>
      <c r="AY401" t="inlineStr">
        <is>
          <t>2256457820002656</t>
        </is>
      </c>
      <c r="AZ401" t="inlineStr">
        <is>
          <t>BOOK</t>
        </is>
      </c>
      <c r="BB401" t="inlineStr">
        <is>
          <t>9780670572250</t>
        </is>
      </c>
      <c r="BC401" t="inlineStr">
        <is>
          <t>32285000329267</t>
        </is>
      </c>
      <c r="BD401" t="inlineStr">
        <is>
          <t>893694774</t>
        </is>
      </c>
    </row>
    <row r="402">
      <c r="A402" t="inlineStr">
        <is>
          <t>No</t>
        </is>
      </c>
      <c r="B402" t="inlineStr">
        <is>
          <t>ND489.5.F54 W49 1998</t>
        </is>
      </c>
      <c r="C402" t="inlineStr">
        <is>
          <t>0                      ND 0489500F  54                 W  49          1998</t>
        </is>
      </c>
      <c r="D402" t="inlineStr">
        <is>
          <t>When time began to rant and rage : figurative painting from twentieth-century Ireland / James Christen Steward, editor ; with essays by Bruce Arnold ... [et al.].</t>
        </is>
      </c>
      <c r="F402" t="inlineStr">
        <is>
          <t>No</t>
        </is>
      </c>
      <c r="G402" t="inlineStr">
        <is>
          <t>1</t>
        </is>
      </c>
      <c r="H402" t="inlineStr">
        <is>
          <t>No</t>
        </is>
      </c>
      <c r="I402" t="inlineStr">
        <is>
          <t>No</t>
        </is>
      </c>
      <c r="J402" t="inlineStr">
        <is>
          <t>0</t>
        </is>
      </c>
      <c r="L402" t="inlineStr">
        <is>
          <t>London : Merrell Holberton Publishers, c1998.</t>
        </is>
      </c>
      <c r="M402" t="inlineStr">
        <is>
          <t>1998</t>
        </is>
      </c>
      <c r="O402" t="inlineStr">
        <is>
          <t>eng</t>
        </is>
      </c>
      <c r="P402" t="inlineStr">
        <is>
          <t>enk</t>
        </is>
      </c>
      <c r="R402" t="inlineStr">
        <is>
          <t xml:space="preserve">ND </t>
        </is>
      </c>
      <c r="S402" t="n">
        <v>6</v>
      </c>
      <c r="T402" t="n">
        <v>6</v>
      </c>
      <c r="U402" t="inlineStr">
        <is>
          <t>2003-10-17</t>
        </is>
      </c>
      <c r="V402" t="inlineStr">
        <is>
          <t>2003-10-17</t>
        </is>
      </c>
      <c r="W402" t="inlineStr">
        <is>
          <t>2001-02-20</t>
        </is>
      </c>
      <c r="X402" t="inlineStr">
        <is>
          <t>2001-02-20</t>
        </is>
      </c>
      <c r="Y402" t="n">
        <v>220</v>
      </c>
      <c r="Z402" t="n">
        <v>166</v>
      </c>
      <c r="AA402" t="n">
        <v>172</v>
      </c>
      <c r="AB402" t="n">
        <v>3</v>
      </c>
      <c r="AC402" t="n">
        <v>3</v>
      </c>
      <c r="AD402" t="n">
        <v>9</v>
      </c>
      <c r="AE402" t="n">
        <v>9</v>
      </c>
      <c r="AF402" t="n">
        <v>2</v>
      </c>
      <c r="AG402" t="n">
        <v>2</v>
      </c>
      <c r="AH402" t="n">
        <v>3</v>
      </c>
      <c r="AI402" t="n">
        <v>3</v>
      </c>
      <c r="AJ402" t="n">
        <v>5</v>
      </c>
      <c r="AK402" t="n">
        <v>5</v>
      </c>
      <c r="AL402" t="n">
        <v>2</v>
      </c>
      <c r="AM402" t="n">
        <v>2</v>
      </c>
      <c r="AN402" t="n">
        <v>0</v>
      </c>
      <c r="AO402" t="n">
        <v>0</v>
      </c>
      <c r="AP402" t="inlineStr">
        <is>
          <t>No</t>
        </is>
      </c>
      <c r="AQ402" t="inlineStr">
        <is>
          <t>Yes</t>
        </is>
      </c>
      <c r="AR402">
        <f>HYPERLINK("http://catalog.hathitrust.org/Record/004024378","HathiTrust Record")</f>
        <v/>
      </c>
      <c r="AS402">
        <f>HYPERLINK("https://creighton-primo.hosted.exlibrisgroup.com/primo-explore/search?tab=default_tab&amp;search_scope=EVERYTHING&amp;vid=01CRU&amp;lang=en_US&amp;offset=0&amp;query=any,contains,991003469159702656","Catalog Record")</f>
        <v/>
      </c>
      <c r="AT402">
        <f>HYPERLINK("http://www.worldcat.org/oclc/40736132","WorldCat Record")</f>
        <v/>
      </c>
      <c r="AU402" t="inlineStr">
        <is>
          <t>837065441:eng</t>
        </is>
      </c>
      <c r="AV402" t="inlineStr">
        <is>
          <t>40736132</t>
        </is>
      </c>
      <c r="AW402" t="inlineStr">
        <is>
          <t>991003469159702656</t>
        </is>
      </c>
      <c r="AX402" t="inlineStr">
        <is>
          <t>991003469159702656</t>
        </is>
      </c>
      <c r="AY402" t="inlineStr">
        <is>
          <t>2264155460002656</t>
        </is>
      </c>
      <c r="AZ402" t="inlineStr">
        <is>
          <t>BOOK</t>
        </is>
      </c>
      <c r="BB402" t="inlineStr">
        <is>
          <t>9781858940595</t>
        </is>
      </c>
      <c r="BC402" t="inlineStr">
        <is>
          <t>32285004295605</t>
        </is>
      </c>
      <c r="BD402" t="inlineStr">
        <is>
          <t>893721950</t>
        </is>
      </c>
    </row>
    <row r="403">
      <c r="A403" t="inlineStr">
        <is>
          <t>No</t>
        </is>
      </c>
      <c r="B403" t="inlineStr">
        <is>
          <t>ND496 .C4 1970</t>
        </is>
      </c>
      <c r="C403" t="inlineStr">
        <is>
          <t>0                      ND 0496000C  4           1970</t>
        </is>
      </c>
      <c r="D403" t="inlineStr">
        <is>
          <t>Visionary and dreamer; two poetic painters: Samuel Palmer and Edward Burne-Jones.</t>
        </is>
      </c>
      <c r="F403" t="inlineStr">
        <is>
          <t>No</t>
        </is>
      </c>
      <c r="G403" t="inlineStr">
        <is>
          <t>1</t>
        </is>
      </c>
      <c r="H403" t="inlineStr">
        <is>
          <t>No</t>
        </is>
      </c>
      <c r="I403" t="inlineStr">
        <is>
          <t>No</t>
        </is>
      </c>
      <c r="J403" t="inlineStr">
        <is>
          <t>0</t>
        </is>
      </c>
      <c r="K403" t="inlineStr">
        <is>
          <t>Cecil, David, 1902-1986.</t>
        </is>
      </c>
      <c r="L403" t="inlineStr">
        <is>
          <t>[Princeton, N.J.] Princeton University Press [1970, c1969]</t>
        </is>
      </c>
      <c r="M403" t="inlineStr">
        <is>
          <t>1970</t>
        </is>
      </c>
      <c r="O403" t="inlineStr">
        <is>
          <t>eng</t>
        </is>
      </c>
      <c r="P403" t="inlineStr">
        <is>
          <t>nju</t>
        </is>
      </c>
      <c r="Q403" t="inlineStr">
        <is>
          <t>Bollingen series, 35. The A. W. Mellon lectures in the fine arts, 15</t>
        </is>
      </c>
      <c r="R403" t="inlineStr">
        <is>
          <t xml:space="preserve">ND </t>
        </is>
      </c>
      <c r="S403" t="n">
        <v>2</v>
      </c>
      <c r="T403" t="n">
        <v>2</v>
      </c>
      <c r="U403" t="inlineStr">
        <is>
          <t>2001-05-17</t>
        </is>
      </c>
      <c r="V403" t="inlineStr">
        <is>
          <t>2001-05-17</t>
        </is>
      </c>
      <c r="W403" t="inlineStr">
        <is>
          <t>1997-07-28</t>
        </is>
      </c>
      <c r="X403" t="inlineStr">
        <is>
          <t>1997-07-28</t>
        </is>
      </c>
      <c r="Y403" t="n">
        <v>717</v>
      </c>
      <c r="Z403" t="n">
        <v>660</v>
      </c>
      <c r="AA403" t="n">
        <v>737</v>
      </c>
      <c r="AB403" t="n">
        <v>3</v>
      </c>
      <c r="AC403" t="n">
        <v>3</v>
      </c>
      <c r="AD403" t="n">
        <v>26</v>
      </c>
      <c r="AE403" t="n">
        <v>29</v>
      </c>
      <c r="AF403" t="n">
        <v>11</v>
      </c>
      <c r="AG403" t="n">
        <v>12</v>
      </c>
      <c r="AH403" t="n">
        <v>7</v>
      </c>
      <c r="AI403" t="n">
        <v>7</v>
      </c>
      <c r="AJ403" t="n">
        <v>14</v>
      </c>
      <c r="AK403" t="n">
        <v>17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HYPERLINK("https://creighton-primo.hosted.exlibrisgroup.com/primo-explore/search?tab=default_tab&amp;search_scope=EVERYTHING&amp;vid=01CRU&amp;lang=en_US&amp;offset=0&amp;query=any,contains,991000208509702656","Catalog Record")</f>
        <v/>
      </c>
      <c r="AT403">
        <f>HYPERLINK("http://www.worldcat.org/oclc/65901","WorldCat Record")</f>
        <v/>
      </c>
      <c r="AU403" t="inlineStr">
        <is>
          <t>808664998:eng</t>
        </is>
      </c>
      <c r="AV403" t="inlineStr">
        <is>
          <t>65901</t>
        </is>
      </c>
      <c r="AW403" t="inlineStr">
        <is>
          <t>991000208509702656</t>
        </is>
      </c>
      <c r="AX403" t="inlineStr">
        <is>
          <t>991000208509702656</t>
        </is>
      </c>
      <c r="AY403" t="inlineStr">
        <is>
          <t>2259262120002656</t>
        </is>
      </c>
      <c r="AZ403" t="inlineStr">
        <is>
          <t>BOOK</t>
        </is>
      </c>
      <c r="BB403" t="inlineStr">
        <is>
          <t>9780691098531</t>
        </is>
      </c>
      <c r="BC403" t="inlineStr">
        <is>
          <t>32285002967262</t>
        </is>
      </c>
      <c r="BD403" t="inlineStr">
        <is>
          <t>893515107</t>
        </is>
      </c>
    </row>
    <row r="404">
      <c r="A404" t="inlineStr">
        <is>
          <t>No</t>
        </is>
      </c>
      <c r="B404" t="inlineStr">
        <is>
          <t>ND497.A86 H84 1990</t>
        </is>
      </c>
      <c r="C404" t="inlineStr">
        <is>
          <t>0                      ND 0497000A  86                 H  84          1990</t>
        </is>
      </c>
      <c r="D404" t="inlineStr">
        <is>
          <t>Frank Auerbach / Robert Hughes.</t>
        </is>
      </c>
      <c r="F404" t="inlineStr">
        <is>
          <t>No</t>
        </is>
      </c>
      <c r="G404" t="inlineStr">
        <is>
          <t>1</t>
        </is>
      </c>
      <c r="H404" t="inlineStr">
        <is>
          <t>No</t>
        </is>
      </c>
      <c r="I404" t="inlineStr">
        <is>
          <t>No</t>
        </is>
      </c>
      <c r="J404" t="inlineStr">
        <is>
          <t>0</t>
        </is>
      </c>
      <c r="K404" t="inlineStr">
        <is>
          <t>Hughes, Robert, 1938-2012.</t>
        </is>
      </c>
      <c r="L404" t="inlineStr">
        <is>
          <t>New York, N.Y. : Thames and Hudson, 1990.</t>
        </is>
      </c>
      <c r="M404" t="inlineStr">
        <is>
          <t>1990</t>
        </is>
      </c>
      <c r="O404" t="inlineStr">
        <is>
          <t>eng</t>
        </is>
      </c>
      <c r="P404" t="inlineStr">
        <is>
          <t>nyu</t>
        </is>
      </c>
      <c r="R404" t="inlineStr">
        <is>
          <t xml:space="preserve">ND </t>
        </is>
      </c>
      <c r="S404" t="n">
        <v>4</v>
      </c>
      <c r="T404" t="n">
        <v>4</v>
      </c>
      <c r="U404" t="inlineStr">
        <is>
          <t>1993-07-30</t>
        </is>
      </c>
      <c r="V404" t="inlineStr">
        <is>
          <t>1993-07-30</t>
        </is>
      </c>
      <c r="W404" t="inlineStr">
        <is>
          <t>1991-12-15</t>
        </is>
      </c>
      <c r="X404" t="inlineStr">
        <is>
          <t>1991-12-15</t>
        </is>
      </c>
      <c r="Y404" t="n">
        <v>440</v>
      </c>
      <c r="Z404" t="n">
        <v>334</v>
      </c>
      <c r="AA404" t="n">
        <v>344</v>
      </c>
      <c r="AB404" t="n">
        <v>2</v>
      </c>
      <c r="AC404" t="n">
        <v>2</v>
      </c>
      <c r="AD404" t="n">
        <v>13</v>
      </c>
      <c r="AE404" t="n">
        <v>14</v>
      </c>
      <c r="AF404" t="n">
        <v>4</v>
      </c>
      <c r="AG404" t="n">
        <v>4</v>
      </c>
      <c r="AH404" t="n">
        <v>3</v>
      </c>
      <c r="AI404" t="n">
        <v>3</v>
      </c>
      <c r="AJ404" t="n">
        <v>8</v>
      </c>
      <c r="AK404" t="n">
        <v>9</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HYPERLINK("https://creighton-primo.hosted.exlibrisgroup.com/primo-explore/search?tab=default_tab&amp;search_scope=EVERYTHING&amp;vid=01CRU&amp;lang=en_US&amp;offset=0&amp;query=any,contains,991001781429702656","Catalog Record")</f>
        <v/>
      </c>
      <c r="AT404">
        <f>HYPERLINK("http://www.worldcat.org/oclc/22463159","WorldCat Record")</f>
        <v/>
      </c>
      <c r="AU404" t="inlineStr">
        <is>
          <t>3769057004:eng</t>
        </is>
      </c>
      <c r="AV404" t="inlineStr">
        <is>
          <t>22463159</t>
        </is>
      </c>
      <c r="AW404" t="inlineStr">
        <is>
          <t>991001781429702656</t>
        </is>
      </c>
      <c r="AX404" t="inlineStr">
        <is>
          <t>991001781429702656</t>
        </is>
      </c>
      <c r="AY404" t="inlineStr">
        <is>
          <t>2257050440002656</t>
        </is>
      </c>
      <c r="AZ404" t="inlineStr">
        <is>
          <t>BOOK</t>
        </is>
      </c>
      <c r="BB404" t="inlineStr">
        <is>
          <t>9780500092118</t>
        </is>
      </c>
      <c r="BC404" t="inlineStr">
        <is>
          <t>32285000860253</t>
        </is>
      </c>
      <c r="BD404" t="inlineStr">
        <is>
          <t>893516487</t>
        </is>
      </c>
    </row>
    <row r="405">
      <c r="A405" t="inlineStr">
        <is>
          <t>No</t>
        </is>
      </c>
      <c r="B405" t="inlineStr">
        <is>
          <t>ND497.B16 A4 1985b</t>
        </is>
      </c>
      <c r="C405" t="inlineStr">
        <is>
          <t>0                      ND 0497000B  16                 A  4           1985b</t>
        </is>
      </c>
      <c r="D405" t="inlineStr">
        <is>
          <t>Francis Bacon / Dawn Ades and Andrew Forge; with a note on technique by Andrew Durham.</t>
        </is>
      </c>
      <c r="F405" t="inlineStr">
        <is>
          <t>No</t>
        </is>
      </c>
      <c r="G405" t="inlineStr">
        <is>
          <t>1</t>
        </is>
      </c>
      <c r="H405" t="inlineStr">
        <is>
          <t>No</t>
        </is>
      </c>
      <c r="I405" t="inlineStr">
        <is>
          <t>No</t>
        </is>
      </c>
      <c r="J405" t="inlineStr">
        <is>
          <t>0</t>
        </is>
      </c>
      <c r="K405" t="inlineStr">
        <is>
          <t>Bacon, Francis, 1909-1992.</t>
        </is>
      </c>
      <c r="L405" t="inlineStr">
        <is>
          <t>New York : Harry N. Abrams, 1985.</t>
        </is>
      </c>
      <c r="M405" t="inlineStr">
        <is>
          <t>1985</t>
        </is>
      </c>
      <c r="O405" t="inlineStr">
        <is>
          <t>eng</t>
        </is>
      </c>
      <c r="P405" t="inlineStr">
        <is>
          <t>nyu</t>
        </is>
      </c>
      <c r="R405" t="inlineStr">
        <is>
          <t xml:space="preserve">ND </t>
        </is>
      </c>
      <c r="S405" t="n">
        <v>7</v>
      </c>
      <c r="T405" t="n">
        <v>7</v>
      </c>
      <c r="U405" t="inlineStr">
        <is>
          <t>2000-11-08</t>
        </is>
      </c>
      <c r="V405" t="inlineStr">
        <is>
          <t>2000-11-08</t>
        </is>
      </c>
      <c r="W405" t="inlineStr">
        <is>
          <t>1993-05-28</t>
        </is>
      </c>
      <c r="X405" t="inlineStr">
        <is>
          <t>1993-05-28</t>
        </is>
      </c>
      <c r="Y405" t="n">
        <v>586</v>
      </c>
      <c r="Z405" t="n">
        <v>524</v>
      </c>
      <c r="AA405" t="n">
        <v>525</v>
      </c>
      <c r="AB405" t="n">
        <v>3</v>
      </c>
      <c r="AC405" t="n">
        <v>3</v>
      </c>
      <c r="AD405" t="n">
        <v>13</v>
      </c>
      <c r="AE405" t="n">
        <v>13</v>
      </c>
      <c r="AF405" t="n">
        <v>6</v>
      </c>
      <c r="AG405" t="n">
        <v>6</v>
      </c>
      <c r="AH405" t="n">
        <v>3</v>
      </c>
      <c r="AI405" t="n">
        <v>3</v>
      </c>
      <c r="AJ405" t="n">
        <v>6</v>
      </c>
      <c r="AK405" t="n">
        <v>6</v>
      </c>
      <c r="AL405" t="n">
        <v>2</v>
      </c>
      <c r="AM405" t="n">
        <v>2</v>
      </c>
      <c r="AN405" t="n">
        <v>0</v>
      </c>
      <c r="AO405" t="n">
        <v>0</v>
      </c>
      <c r="AP405" t="inlineStr">
        <is>
          <t>No</t>
        </is>
      </c>
      <c r="AQ405" t="inlineStr">
        <is>
          <t>Yes</t>
        </is>
      </c>
      <c r="AR405">
        <f>HYPERLINK("http://catalog.hathitrust.org/Record/000922302","HathiTrust Record")</f>
        <v/>
      </c>
      <c r="AS405">
        <f>HYPERLINK("https://creighton-primo.hosted.exlibrisgroup.com/primo-explore/search?tab=default_tab&amp;search_scope=EVERYTHING&amp;vid=01CRU&amp;lang=en_US&amp;offset=0&amp;query=any,contains,991000716819702656","Catalog Record")</f>
        <v/>
      </c>
      <c r="AT405">
        <f>HYPERLINK("http://www.worldcat.org/oclc/13582680","WorldCat Record")</f>
        <v/>
      </c>
      <c r="AU405" t="inlineStr">
        <is>
          <t>10792198221:eng</t>
        </is>
      </c>
      <c r="AV405" t="inlineStr">
        <is>
          <t>13582680</t>
        </is>
      </c>
      <c r="AW405" t="inlineStr">
        <is>
          <t>991000716819702656</t>
        </is>
      </c>
      <c r="AX405" t="inlineStr">
        <is>
          <t>991000716819702656</t>
        </is>
      </c>
      <c r="AY405" t="inlineStr">
        <is>
          <t>2266384530002656</t>
        </is>
      </c>
      <c r="AZ405" t="inlineStr">
        <is>
          <t>BOOK</t>
        </is>
      </c>
      <c r="BB405" t="inlineStr">
        <is>
          <t>9780810907140</t>
        </is>
      </c>
      <c r="BC405" t="inlineStr">
        <is>
          <t>32285001668895</t>
        </is>
      </c>
      <c r="BD405" t="inlineStr">
        <is>
          <t>893413613</t>
        </is>
      </c>
    </row>
    <row r="406">
      <c r="A406" t="inlineStr">
        <is>
          <t>No</t>
        </is>
      </c>
      <c r="B406" t="inlineStr">
        <is>
          <t>ND497.B16 A4 1996</t>
        </is>
      </c>
      <c r="C406" t="inlineStr">
        <is>
          <t>0                      ND 0497000B  16                 A  4           1996</t>
        </is>
      </c>
      <c r="D406" t="inlineStr">
        <is>
          <t>Bacon, portraits and self-portraits / introduction by Milan Kundera ; [essay by] France Borel ; [translated from the French by Ruth Taylor and Linda Asher].</t>
        </is>
      </c>
      <c r="F406" t="inlineStr">
        <is>
          <t>No</t>
        </is>
      </c>
      <c r="G406" t="inlineStr">
        <is>
          <t>1</t>
        </is>
      </c>
      <c r="H406" t="inlineStr">
        <is>
          <t>No</t>
        </is>
      </c>
      <c r="I406" t="inlineStr">
        <is>
          <t>No</t>
        </is>
      </c>
      <c r="J406" t="inlineStr">
        <is>
          <t>0</t>
        </is>
      </c>
      <c r="K406" t="inlineStr">
        <is>
          <t>Bacon, Francis, 1909-1992.</t>
        </is>
      </c>
      <c r="L406" t="inlineStr">
        <is>
          <t>London ; New York : Thames and Hudson, 1996.</t>
        </is>
      </c>
      <c r="M406" t="inlineStr">
        <is>
          <t>1996</t>
        </is>
      </c>
      <c r="O406" t="inlineStr">
        <is>
          <t>eng</t>
        </is>
      </c>
      <c r="P406" t="inlineStr">
        <is>
          <t>enk</t>
        </is>
      </c>
      <c r="R406" t="inlineStr">
        <is>
          <t xml:space="preserve">ND </t>
        </is>
      </c>
      <c r="S406" t="n">
        <v>1</v>
      </c>
      <c r="T406" t="n">
        <v>1</v>
      </c>
      <c r="U406" t="inlineStr">
        <is>
          <t>2003-08-27</t>
        </is>
      </c>
      <c r="V406" t="inlineStr">
        <is>
          <t>2003-08-27</t>
        </is>
      </c>
      <c r="W406" t="inlineStr">
        <is>
          <t>2003-08-27</t>
        </is>
      </c>
      <c r="X406" t="inlineStr">
        <is>
          <t>2003-08-27</t>
        </is>
      </c>
      <c r="Y406" t="n">
        <v>208</v>
      </c>
      <c r="Z406" t="n">
        <v>152</v>
      </c>
      <c r="AA406" t="n">
        <v>353</v>
      </c>
      <c r="AB406" t="n">
        <v>2</v>
      </c>
      <c r="AC406" t="n">
        <v>3</v>
      </c>
      <c r="AD406" t="n">
        <v>4</v>
      </c>
      <c r="AE406" t="n">
        <v>15</v>
      </c>
      <c r="AF406" t="n">
        <v>1</v>
      </c>
      <c r="AG406" t="n">
        <v>6</v>
      </c>
      <c r="AH406" t="n">
        <v>2</v>
      </c>
      <c r="AI406" t="n">
        <v>5</v>
      </c>
      <c r="AJ406" t="n">
        <v>0</v>
      </c>
      <c r="AK406" t="n">
        <v>5</v>
      </c>
      <c r="AL406" t="n">
        <v>1</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HYPERLINK("https://creighton-primo.hosted.exlibrisgroup.com/primo-explore/search?tab=default_tab&amp;search_scope=EVERYTHING&amp;vid=01CRU&amp;lang=en_US&amp;offset=0&amp;query=any,contains,991004100989702656","Catalog Record")</f>
        <v/>
      </c>
      <c r="AT406">
        <f>HYPERLINK("http://www.worldcat.org/oclc/36221908","WorldCat Record")</f>
        <v/>
      </c>
      <c r="AU406" t="inlineStr">
        <is>
          <t>1415562353:eng</t>
        </is>
      </c>
      <c r="AV406" t="inlineStr">
        <is>
          <t>36221908</t>
        </is>
      </c>
      <c r="AW406" t="inlineStr">
        <is>
          <t>991004100989702656</t>
        </is>
      </c>
      <c r="AX406" t="inlineStr">
        <is>
          <t>991004100989702656</t>
        </is>
      </c>
      <c r="AY406" t="inlineStr">
        <is>
          <t>2264514910002656</t>
        </is>
      </c>
      <c r="AZ406" t="inlineStr">
        <is>
          <t>BOOK</t>
        </is>
      </c>
      <c r="BB406" t="inlineStr">
        <is>
          <t>9780500092668</t>
        </is>
      </c>
      <c r="BC406" t="inlineStr">
        <is>
          <t>32285004780135</t>
        </is>
      </c>
      <c r="BD406" t="inlineStr">
        <is>
          <t>893253237</t>
        </is>
      </c>
    </row>
    <row r="407">
      <c r="A407" t="inlineStr">
        <is>
          <t>No</t>
        </is>
      </c>
      <c r="B407" t="inlineStr">
        <is>
          <t>ND497.B16 R8 1993</t>
        </is>
      </c>
      <c r="C407" t="inlineStr">
        <is>
          <t>0                      ND 0497000B  16                 R  8           1993</t>
        </is>
      </c>
      <c r="D407" t="inlineStr">
        <is>
          <t>Francis Bacon / John Russell.</t>
        </is>
      </c>
      <c r="F407" t="inlineStr">
        <is>
          <t>No</t>
        </is>
      </c>
      <c r="G407" t="inlineStr">
        <is>
          <t>1</t>
        </is>
      </c>
      <c r="H407" t="inlineStr">
        <is>
          <t>No</t>
        </is>
      </c>
      <c r="I407" t="inlineStr">
        <is>
          <t>No</t>
        </is>
      </c>
      <c r="J407" t="inlineStr">
        <is>
          <t>0</t>
        </is>
      </c>
      <c r="K407" t="inlineStr">
        <is>
          <t>Russell, John, 1919-2008.</t>
        </is>
      </c>
      <c r="L407" t="inlineStr">
        <is>
          <t>London : Thames and Hudson, 1993.</t>
        </is>
      </c>
      <c r="M407" t="inlineStr">
        <is>
          <t>1993</t>
        </is>
      </c>
      <c r="N407" t="inlineStr">
        <is>
          <t>Rev. and updated ed.</t>
        </is>
      </c>
      <c r="O407" t="inlineStr">
        <is>
          <t>eng</t>
        </is>
      </c>
      <c r="P407" t="inlineStr">
        <is>
          <t>enk</t>
        </is>
      </c>
      <c r="Q407" t="inlineStr">
        <is>
          <t>World of art</t>
        </is>
      </c>
      <c r="R407" t="inlineStr">
        <is>
          <t xml:space="preserve">ND </t>
        </is>
      </c>
      <c r="S407" t="n">
        <v>9</v>
      </c>
      <c r="T407" t="n">
        <v>9</v>
      </c>
      <c r="U407" t="inlineStr">
        <is>
          <t>2003-03-18</t>
        </is>
      </c>
      <c r="V407" t="inlineStr">
        <is>
          <t>2003-03-18</t>
        </is>
      </c>
      <c r="W407" t="inlineStr">
        <is>
          <t>1994-05-09</t>
        </is>
      </c>
      <c r="X407" t="inlineStr">
        <is>
          <t>1994-05-09</t>
        </is>
      </c>
      <c r="Y407" t="n">
        <v>455</v>
      </c>
      <c r="Z407" t="n">
        <v>282</v>
      </c>
      <c r="AA407" t="n">
        <v>1065</v>
      </c>
      <c r="AB407" t="n">
        <v>3</v>
      </c>
      <c r="AC407" t="n">
        <v>9</v>
      </c>
      <c r="AD407" t="n">
        <v>9</v>
      </c>
      <c r="AE407" t="n">
        <v>38</v>
      </c>
      <c r="AF407" t="n">
        <v>2</v>
      </c>
      <c r="AG407" t="n">
        <v>11</v>
      </c>
      <c r="AH407" t="n">
        <v>2</v>
      </c>
      <c r="AI407" t="n">
        <v>6</v>
      </c>
      <c r="AJ407" t="n">
        <v>4</v>
      </c>
      <c r="AK407" t="n">
        <v>20</v>
      </c>
      <c r="AL407" t="n">
        <v>2</v>
      </c>
      <c r="AM407" t="n">
        <v>8</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HYPERLINK("https://creighton-primo.hosted.exlibrisgroup.com/primo-explore/search?tab=default_tab&amp;search_scope=EVERYTHING&amp;vid=01CRU&amp;lang=en_US&amp;offset=0&amp;query=any,contains,991002246269702656","Catalog Record")</f>
        <v/>
      </c>
      <c r="AT407">
        <f>HYPERLINK("http://www.worldcat.org/oclc/31604462","WorldCat Record")</f>
        <v/>
      </c>
      <c r="AU407" t="inlineStr">
        <is>
          <t>2044265625:eng</t>
        </is>
      </c>
      <c r="AV407" t="inlineStr">
        <is>
          <t>31604462</t>
        </is>
      </c>
      <c r="AW407" t="inlineStr">
        <is>
          <t>991002246269702656</t>
        </is>
      </c>
      <c r="AX407" t="inlineStr">
        <is>
          <t>991002246269702656</t>
        </is>
      </c>
      <c r="AY407" t="inlineStr">
        <is>
          <t>2256674880002656</t>
        </is>
      </c>
      <c r="AZ407" t="inlineStr">
        <is>
          <t>BOOK</t>
        </is>
      </c>
      <c r="BB407" t="inlineStr">
        <is>
          <t>9780500202715</t>
        </is>
      </c>
      <c r="BC407" t="inlineStr">
        <is>
          <t>32285001879948</t>
        </is>
      </c>
      <c r="BD407" t="inlineStr">
        <is>
          <t>893226614</t>
        </is>
      </c>
    </row>
    <row r="408">
      <c r="A408" t="inlineStr">
        <is>
          <t>No</t>
        </is>
      </c>
      <c r="B408" t="inlineStr">
        <is>
          <t>ND497.B16 S9 1975</t>
        </is>
      </c>
      <c r="C408" t="inlineStr">
        <is>
          <t>0                      ND 0497000B  16                 S  9           1975</t>
        </is>
      </c>
      <c r="D408" t="inlineStr">
        <is>
          <t>Francis Bacon / interviewed by David Sylvester ; with 94 black-and-white illustrations.</t>
        </is>
      </c>
      <c r="F408" t="inlineStr">
        <is>
          <t>No</t>
        </is>
      </c>
      <c r="G408" t="inlineStr">
        <is>
          <t>1</t>
        </is>
      </c>
      <c r="H408" t="inlineStr">
        <is>
          <t>No</t>
        </is>
      </c>
      <c r="I408" t="inlineStr">
        <is>
          <t>No</t>
        </is>
      </c>
      <c r="J408" t="inlineStr">
        <is>
          <t>0</t>
        </is>
      </c>
      <c r="K408" t="inlineStr">
        <is>
          <t>Sylvester, David.</t>
        </is>
      </c>
      <c r="L408" t="inlineStr">
        <is>
          <t>New York : Pantheon Books, [1975]</t>
        </is>
      </c>
      <c r="M408" t="inlineStr">
        <is>
          <t>1975</t>
        </is>
      </c>
      <c r="N408" t="inlineStr">
        <is>
          <t>1st American ed.</t>
        </is>
      </c>
      <c r="O408" t="inlineStr">
        <is>
          <t>eng</t>
        </is>
      </c>
      <c r="P408" t="inlineStr">
        <is>
          <t>nyu</t>
        </is>
      </c>
      <c r="R408" t="inlineStr">
        <is>
          <t xml:space="preserve">ND </t>
        </is>
      </c>
      <c r="S408" t="n">
        <v>6</v>
      </c>
      <c r="T408" t="n">
        <v>6</v>
      </c>
      <c r="U408" t="inlineStr">
        <is>
          <t>1996-02-02</t>
        </is>
      </c>
      <c r="V408" t="inlineStr">
        <is>
          <t>1996-02-02</t>
        </is>
      </c>
      <c r="W408" t="inlineStr">
        <is>
          <t>1990-03-19</t>
        </is>
      </c>
      <c r="X408" t="inlineStr">
        <is>
          <t>1990-03-19</t>
        </is>
      </c>
      <c r="Y408" t="n">
        <v>420</v>
      </c>
      <c r="Z408" t="n">
        <v>403</v>
      </c>
      <c r="AA408" t="n">
        <v>677</v>
      </c>
      <c r="AB408" t="n">
        <v>3</v>
      </c>
      <c r="AC408" t="n">
        <v>6</v>
      </c>
      <c r="AD408" t="n">
        <v>11</v>
      </c>
      <c r="AE408" t="n">
        <v>22</v>
      </c>
      <c r="AF408" t="n">
        <v>4</v>
      </c>
      <c r="AG408" t="n">
        <v>9</v>
      </c>
      <c r="AH408" t="n">
        <v>4</v>
      </c>
      <c r="AI408" t="n">
        <v>4</v>
      </c>
      <c r="AJ408" t="n">
        <v>5</v>
      </c>
      <c r="AK408" t="n">
        <v>9</v>
      </c>
      <c r="AL408" t="n">
        <v>2</v>
      </c>
      <c r="AM408" t="n">
        <v>5</v>
      </c>
      <c r="AN408" t="n">
        <v>0</v>
      </c>
      <c r="AO408" t="n">
        <v>0</v>
      </c>
      <c r="AP408" t="inlineStr">
        <is>
          <t>No</t>
        </is>
      </c>
      <c r="AQ408" t="inlineStr">
        <is>
          <t>Yes</t>
        </is>
      </c>
      <c r="AR408">
        <f>HYPERLINK("http://catalog.hathitrust.org/Record/003514361","HathiTrust Record")</f>
        <v/>
      </c>
      <c r="AS408">
        <f>HYPERLINK("https://creighton-primo.hosted.exlibrisgroup.com/primo-explore/search?tab=default_tab&amp;search_scope=EVERYTHING&amp;vid=01CRU&amp;lang=en_US&amp;offset=0&amp;query=any,contains,991003553109702656","Catalog Record")</f>
        <v/>
      </c>
      <c r="AT408">
        <f>HYPERLINK("http://www.worldcat.org/oclc/1120988","WorldCat Record")</f>
        <v/>
      </c>
      <c r="AU408" t="inlineStr">
        <is>
          <t>4241294991:eng</t>
        </is>
      </c>
      <c r="AV408" t="inlineStr">
        <is>
          <t>1120988</t>
        </is>
      </c>
      <c r="AW408" t="inlineStr">
        <is>
          <t>991003553109702656</t>
        </is>
      </c>
      <c r="AX408" t="inlineStr">
        <is>
          <t>991003553109702656</t>
        </is>
      </c>
      <c r="AY408" t="inlineStr">
        <is>
          <t>2268818170002656</t>
        </is>
      </c>
      <c r="AZ408" t="inlineStr">
        <is>
          <t>BOOK</t>
        </is>
      </c>
      <c r="BB408" t="inlineStr">
        <is>
          <t>9780394497631</t>
        </is>
      </c>
      <c r="BC408" t="inlineStr">
        <is>
          <t>32285000086685</t>
        </is>
      </c>
      <c r="BD408" t="inlineStr">
        <is>
          <t>893518608</t>
        </is>
      </c>
    </row>
    <row r="409">
      <c r="A409" t="inlineStr">
        <is>
          <t>No</t>
        </is>
      </c>
      <c r="B409" t="inlineStr">
        <is>
          <t>ND497.B6 B42</t>
        </is>
      </c>
      <c r="C409" t="inlineStr">
        <is>
          <t>0                      ND 0497000B  6                  B  42</t>
        </is>
      </c>
      <c r="D409" t="inlineStr">
        <is>
          <t>The art of William Blake.</t>
        </is>
      </c>
      <c r="F409" t="inlineStr">
        <is>
          <t>No</t>
        </is>
      </c>
      <c r="G409" t="inlineStr">
        <is>
          <t>1</t>
        </is>
      </c>
      <c r="H409" t="inlineStr">
        <is>
          <t>No</t>
        </is>
      </c>
      <c r="I409" t="inlineStr">
        <is>
          <t>No</t>
        </is>
      </c>
      <c r="J409" t="inlineStr">
        <is>
          <t>0</t>
        </is>
      </c>
      <c r="K409" t="inlineStr">
        <is>
          <t>Blunt, Anthony, 1907-1983.</t>
        </is>
      </c>
      <c r="L409" t="inlineStr">
        <is>
          <t>New York : Columbia University Press, 1959.</t>
        </is>
      </c>
      <c r="M409" t="inlineStr">
        <is>
          <t>1959</t>
        </is>
      </c>
      <c r="O409" t="inlineStr">
        <is>
          <t>eng</t>
        </is>
      </c>
      <c r="P409" t="inlineStr">
        <is>
          <t>nyu</t>
        </is>
      </c>
      <c r="Q409" t="inlineStr">
        <is>
          <t>Bampton lectures in America ; no. 12</t>
        </is>
      </c>
      <c r="R409" t="inlineStr">
        <is>
          <t xml:space="preserve">ND </t>
        </is>
      </c>
      <c r="S409" t="n">
        <v>2</v>
      </c>
      <c r="T409" t="n">
        <v>2</v>
      </c>
      <c r="U409" t="inlineStr">
        <is>
          <t>2008-10-20</t>
        </is>
      </c>
      <c r="V409" t="inlineStr">
        <is>
          <t>2008-10-20</t>
        </is>
      </c>
      <c r="W409" t="inlineStr">
        <is>
          <t>1993-10-26</t>
        </is>
      </c>
      <c r="X409" t="inlineStr">
        <is>
          <t>1993-10-26</t>
        </is>
      </c>
      <c r="Y409" t="n">
        <v>1210</v>
      </c>
      <c r="Z409" t="n">
        <v>1071</v>
      </c>
      <c r="AA409" t="n">
        <v>1091</v>
      </c>
      <c r="AB409" t="n">
        <v>4</v>
      </c>
      <c r="AC409" t="n">
        <v>4</v>
      </c>
      <c r="AD409" t="n">
        <v>39</v>
      </c>
      <c r="AE409" t="n">
        <v>39</v>
      </c>
      <c r="AF409" t="n">
        <v>17</v>
      </c>
      <c r="AG409" t="n">
        <v>17</v>
      </c>
      <c r="AH409" t="n">
        <v>10</v>
      </c>
      <c r="AI409" t="n">
        <v>10</v>
      </c>
      <c r="AJ409" t="n">
        <v>20</v>
      </c>
      <c r="AK409" t="n">
        <v>20</v>
      </c>
      <c r="AL409" t="n">
        <v>3</v>
      </c>
      <c r="AM409" t="n">
        <v>3</v>
      </c>
      <c r="AN409" t="n">
        <v>0</v>
      </c>
      <c r="AO409" t="n">
        <v>0</v>
      </c>
      <c r="AP409" t="inlineStr">
        <is>
          <t>No</t>
        </is>
      </c>
      <c r="AQ409" t="inlineStr">
        <is>
          <t>Yes</t>
        </is>
      </c>
      <c r="AR409">
        <f>HYPERLINK("http://catalog.hathitrust.org/Record/000372576","HathiTrust Record")</f>
        <v/>
      </c>
      <c r="AS409">
        <f>HYPERLINK("https://creighton-primo.hosted.exlibrisgroup.com/primo-explore/search?tab=default_tab&amp;search_scope=EVERYTHING&amp;vid=01CRU&amp;lang=en_US&amp;offset=0&amp;query=any,contains,991002903669702656","Catalog Record")</f>
        <v/>
      </c>
      <c r="AT409">
        <f>HYPERLINK("http://www.worldcat.org/oclc/518425","WorldCat Record")</f>
        <v/>
      </c>
      <c r="AU409" t="inlineStr">
        <is>
          <t>1508579:eng</t>
        </is>
      </c>
      <c r="AV409" t="inlineStr">
        <is>
          <t>518425</t>
        </is>
      </c>
      <c r="AW409" t="inlineStr">
        <is>
          <t>991002903669702656</t>
        </is>
      </c>
      <c r="AX409" t="inlineStr">
        <is>
          <t>991002903669702656</t>
        </is>
      </c>
      <c r="AY409" t="inlineStr">
        <is>
          <t>2255908820002656</t>
        </is>
      </c>
      <c r="AZ409" t="inlineStr">
        <is>
          <t>BOOK</t>
        </is>
      </c>
      <c r="BC409" t="inlineStr">
        <is>
          <t>32285001794956</t>
        </is>
      </c>
      <c r="BD409" t="inlineStr">
        <is>
          <t>893721698</t>
        </is>
      </c>
    </row>
    <row r="410">
      <c r="A410" t="inlineStr">
        <is>
          <t>No</t>
        </is>
      </c>
      <c r="B410" t="inlineStr">
        <is>
          <t>ND497.B6 T28 1990</t>
        </is>
      </c>
      <c r="C410" t="inlineStr">
        <is>
          <t>0                      ND 0497000B  6                  T  28          1990</t>
        </is>
      </c>
      <c r="D410" t="inlineStr">
        <is>
          <t>William Blake, 1757-1827 / Martin Butlin.</t>
        </is>
      </c>
      <c r="F410" t="inlineStr">
        <is>
          <t>No</t>
        </is>
      </c>
      <c r="G410" t="inlineStr">
        <is>
          <t>1</t>
        </is>
      </c>
      <c r="H410" t="inlineStr">
        <is>
          <t>No</t>
        </is>
      </c>
      <c r="I410" t="inlineStr">
        <is>
          <t>No</t>
        </is>
      </c>
      <c r="J410" t="inlineStr">
        <is>
          <t>0</t>
        </is>
      </c>
      <c r="K410" t="inlineStr">
        <is>
          <t>Tate Gallery.</t>
        </is>
      </c>
      <c r="L410" t="inlineStr">
        <is>
          <t>London : Tate Gallery, 1990.</t>
        </is>
      </c>
      <c r="M410" t="inlineStr">
        <is>
          <t>1990</t>
        </is>
      </c>
      <c r="N410" t="inlineStr">
        <is>
          <t>3rd ed.</t>
        </is>
      </c>
      <c r="O410" t="inlineStr">
        <is>
          <t>eng</t>
        </is>
      </c>
      <c r="P410" t="inlineStr">
        <is>
          <t>enk</t>
        </is>
      </c>
      <c r="Q410" t="inlineStr">
        <is>
          <t>Tate Gallery collections ; v. 5</t>
        </is>
      </c>
      <c r="R410" t="inlineStr">
        <is>
          <t xml:space="preserve">ND </t>
        </is>
      </c>
      <c r="S410" t="n">
        <v>6</v>
      </c>
      <c r="T410" t="n">
        <v>6</v>
      </c>
      <c r="U410" t="inlineStr">
        <is>
          <t>2008-10-20</t>
        </is>
      </c>
      <c r="V410" t="inlineStr">
        <is>
          <t>2008-10-20</t>
        </is>
      </c>
      <c r="W410" t="inlineStr">
        <is>
          <t>1992-02-21</t>
        </is>
      </c>
      <c r="X410" t="inlineStr">
        <is>
          <t>1992-02-21</t>
        </is>
      </c>
      <c r="Y410" t="n">
        <v>369</v>
      </c>
      <c r="Z410" t="n">
        <v>295</v>
      </c>
      <c r="AA410" t="n">
        <v>305</v>
      </c>
      <c r="AB410" t="n">
        <v>4</v>
      </c>
      <c r="AC410" t="n">
        <v>4</v>
      </c>
      <c r="AD410" t="n">
        <v>14</v>
      </c>
      <c r="AE410" t="n">
        <v>14</v>
      </c>
      <c r="AF410" t="n">
        <v>3</v>
      </c>
      <c r="AG410" t="n">
        <v>3</v>
      </c>
      <c r="AH410" t="n">
        <v>4</v>
      </c>
      <c r="AI410" t="n">
        <v>4</v>
      </c>
      <c r="AJ410" t="n">
        <v>7</v>
      </c>
      <c r="AK410" t="n">
        <v>7</v>
      </c>
      <c r="AL410" t="n">
        <v>3</v>
      </c>
      <c r="AM410" t="n">
        <v>3</v>
      </c>
      <c r="AN410" t="n">
        <v>0</v>
      </c>
      <c r="AO410" t="n">
        <v>0</v>
      </c>
      <c r="AP410" t="inlineStr">
        <is>
          <t>No</t>
        </is>
      </c>
      <c r="AQ410" t="inlineStr">
        <is>
          <t>Yes</t>
        </is>
      </c>
      <c r="AR410">
        <f>HYPERLINK("http://catalog.hathitrust.org/Record/002464968","HathiTrust Record")</f>
        <v/>
      </c>
      <c r="AS410">
        <f>HYPERLINK("https://creighton-primo.hosted.exlibrisgroup.com/primo-explore/search?tab=default_tab&amp;search_scope=EVERYTHING&amp;vid=01CRU&amp;lang=en_US&amp;offset=0&amp;query=any,contains,991001757809702656","Catalog Record")</f>
        <v/>
      </c>
      <c r="AT410">
        <f>HYPERLINK("http://www.worldcat.org/oclc/22239720","WorldCat Record")</f>
        <v/>
      </c>
      <c r="AU410" t="inlineStr">
        <is>
          <t>10076318021:eng</t>
        </is>
      </c>
      <c r="AV410" t="inlineStr">
        <is>
          <t>22239720</t>
        </is>
      </c>
      <c r="AW410" t="inlineStr">
        <is>
          <t>991001757809702656</t>
        </is>
      </c>
      <c r="AX410" t="inlineStr">
        <is>
          <t>991001757809702656</t>
        </is>
      </c>
      <c r="AY410" t="inlineStr">
        <is>
          <t>2258634020002656</t>
        </is>
      </c>
      <c r="AZ410" t="inlineStr">
        <is>
          <t>BOOK</t>
        </is>
      </c>
      <c r="BB410" t="inlineStr">
        <is>
          <t>9780295969527</t>
        </is>
      </c>
      <c r="BC410" t="inlineStr">
        <is>
          <t>32285000936251</t>
        </is>
      </c>
      <c r="BD410" t="inlineStr">
        <is>
          <t>893340670</t>
        </is>
      </c>
    </row>
    <row r="411">
      <c r="A411" t="inlineStr">
        <is>
          <t>No</t>
        </is>
      </c>
      <c r="B411" t="inlineStr">
        <is>
          <t>ND497.C7 B3 2007</t>
        </is>
      </c>
      <c r="C411" t="inlineStr">
        <is>
          <t>0                      ND 0497000C  7                  B  3           2007</t>
        </is>
      </c>
      <c r="D411" t="inlineStr">
        <is>
          <t>John Constable : a kingdom of his own / Anthony Bailey.</t>
        </is>
      </c>
      <c r="F411" t="inlineStr">
        <is>
          <t>No</t>
        </is>
      </c>
      <c r="G411" t="inlineStr">
        <is>
          <t>1</t>
        </is>
      </c>
      <c r="H411" t="inlineStr">
        <is>
          <t>No</t>
        </is>
      </c>
      <c r="I411" t="inlineStr">
        <is>
          <t>No</t>
        </is>
      </c>
      <c r="J411" t="inlineStr">
        <is>
          <t>0</t>
        </is>
      </c>
      <c r="K411" t="inlineStr">
        <is>
          <t>Bailey, Anthony, 1933-</t>
        </is>
      </c>
      <c r="L411" t="inlineStr">
        <is>
          <t>London : Vintage Books, 2007, c2006.</t>
        </is>
      </c>
      <c r="M411" t="inlineStr">
        <is>
          <t>2007</t>
        </is>
      </c>
      <c r="O411" t="inlineStr">
        <is>
          <t>eng</t>
        </is>
      </c>
      <c r="P411" t="inlineStr">
        <is>
          <t>enk</t>
        </is>
      </c>
      <c r="R411" t="inlineStr">
        <is>
          <t xml:space="preserve">ND </t>
        </is>
      </c>
      <c r="S411" t="n">
        <v>1</v>
      </c>
      <c r="T411" t="n">
        <v>1</v>
      </c>
      <c r="U411" t="inlineStr">
        <is>
          <t>2007-09-18</t>
        </is>
      </c>
      <c r="V411" t="inlineStr">
        <is>
          <t>2007-09-18</t>
        </is>
      </c>
      <c r="W411" t="inlineStr">
        <is>
          <t>2007-09-18</t>
        </is>
      </c>
      <c r="X411" t="inlineStr">
        <is>
          <t>2007-09-18</t>
        </is>
      </c>
      <c r="Y411" t="n">
        <v>230</v>
      </c>
      <c r="Z411" t="n">
        <v>165</v>
      </c>
      <c r="AA411" t="n">
        <v>429</v>
      </c>
      <c r="AB411" t="n">
        <v>2</v>
      </c>
      <c r="AC411" t="n">
        <v>3</v>
      </c>
      <c r="AD411" t="n">
        <v>11</v>
      </c>
      <c r="AE411" t="n">
        <v>16</v>
      </c>
      <c r="AF411" t="n">
        <v>7</v>
      </c>
      <c r="AG411" t="n">
        <v>9</v>
      </c>
      <c r="AH411" t="n">
        <v>3</v>
      </c>
      <c r="AI411" t="n">
        <v>3</v>
      </c>
      <c r="AJ411" t="n">
        <v>4</v>
      </c>
      <c r="AK411" t="n">
        <v>7</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HYPERLINK("https://creighton-primo.hosted.exlibrisgroup.com/primo-explore/search?tab=default_tab&amp;search_scope=EVERYTHING&amp;vid=01CRU&amp;lang=en_US&amp;offset=0&amp;query=any,contains,991005080699702656","Catalog Record")</f>
        <v/>
      </c>
      <c r="AT411">
        <f>HYPERLINK("http://www.worldcat.org/oclc/163615499","WorldCat Record")</f>
        <v/>
      </c>
      <c r="AU411" t="inlineStr">
        <is>
          <t>796461066:eng</t>
        </is>
      </c>
      <c r="AV411" t="inlineStr">
        <is>
          <t>163615499</t>
        </is>
      </c>
      <c r="AW411" t="inlineStr">
        <is>
          <t>991005080699702656</t>
        </is>
      </c>
      <c r="AX411" t="inlineStr">
        <is>
          <t>991005080699702656</t>
        </is>
      </c>
      <c r="AY411" t="inlineStr">
        <is>
          <t>2257864030002656</t>
        </is>
      </c>
      <c r="AZ411" t="inlineStr">
        <is>
          <t>BOOK</t>
        </is>
      </c>
      <c r="BB411" t="inlineStr">
        <is>
          <t>9781844138333</t>
        </is>
      </c>
      <c r="BC411" t="inlineStr">
        <is>
          <t>32285005325179</t>
        </is>
      </c>
      <c r="BD411" t="inlineStr">
        <is>
          <t>893263591</t>
        </is>
      </c>
    </row>
    <row r="412">
      <c r="A412" t="inlineStr">
        <is>
          <t>No</t>
        </is>
      </c>
      <c r="B412" t="inlineStr">
        <is>
          <t>ND497.C7 G33 1968</t>
        </is>
      </c>
      <c r="C412" t="inlineStr">
        <is>
          <t>0                      ND 0497000C  7                  G  33          1968</t>
        </is>
      </c>
      <c r="D412" t="inlineStr">
        <is>
          <t>Constable : the life and work of the artist illustrated with 80 colour plates / Giuseppe Gatt ; [translated from the Italian by Pearl Sanders.]</t>
        </is>
      </c>
      <c r="F412" t="inlineStr">
        <is>
          <t>No</t>
        </is>
      </c>
      <c r="G412" t="inlineStr">
        <is>
          <t>1</t>
        </is>
      </c>
      <c r="H412" t="inlineStr">
        <is>
          <t>No</t>
        </is>
      </c>
      <c r="I412" t="inlineStr">
        <is>
          <t>No</t>
        </is>
      </c>
      <c r="J412" t="inlineStr">
        <is>
          <t>0</t>
        </is>
      </c>
      <c r="K412" t="inlineStr">
        <is>
          <t>Gatt, Giuseppe.</t>
        </is>
      </c>
      <c r="L412" t="inlineStr">
        <is>
          <t>New York : Grosset &amp; Dunlap, [1968]</t>
        </is>
      </c>
      <c r="M412" t="inlineStr">
        <is>
          <t>1968</t>
        </is>
      </c>
      <c r="N412" t="inlineStr">
        <is>
          <t>1st American ed.</t>
        </is>
      </c>
      <c r="O412" t="inlineStr">
        <is>
          <t>eng</t>
        </is>
      </c>
      <c r="P412" t="inlineStr">
        <is>
          <t>nyu</t>
        </is>
      </c>
      <c r="R412" t="inlineStr">
        <is>
          <t xml:space="preserve">ND </t>
        </is>
      </c>
      <c r="S412" t="n">
        <v>1</v>
      </c>
      <c r="T412" t="n">
        <v>1</v>
      </c>
      <c r="U412" t="inlineStr">
        <is>
          <t>2005-08-03</t>
        </is>
      </c>
      <c r="V412" t="inlineStr">
        <is>
          <t>2005-08-03</t>
        </is>
      </c>
      <c r="W412" t="inlineStr">
        <is>
          <t>2005-08-03</t>
        </is>
      </c>
      <c r="X412" t="inlineStr">
        <is>
          <t>2005-08-03</t>
        </is>
      </c>
      <c r="Y412" t="n">
        <v>50</v>
      </c>
      <c r="Z412" t="n">
        <v>49</v>
      </c>
      <c r="AA412" t="n">
        <v>49</v>
      </c>
      <c r="AB412" t="n">
        <v>2</v>
      </c>
      <c r="AC412" t="n">
        <v>2</v>
      </c>
      <c r="AD412" t="n">
        <v>1</v>
      </c>
      <c r="AE412" t="n">
        <v>1</v>
      </c>
      <c r="AF412" t="n">
        <v>0</v>
      </c>
      <c r="AG412" t="n">
        <v>0</v>
      </c>
      <c r="AH412" t="n">
        <v>0</v>
      </c>
      <c r="AI412" t="n">
        <v>0</v>
      </c>
      <c r="AJ412" t="n">
        <v>0</v>
      </c>
      <c r="AK412" t="n">
        <v>0</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HYPERLINK("https://creighton-primo.hosted.exlibrisgroup.com/primo-explore/search?tab=default_tab&amp;search_scope=EVERYTHING&amp;vid=01CRU&amp;lang=en_US&amp;offset=0&amp;query=any,contains,991004627099702656","Catalog Record")</f>
        <v/>
      </c>
      <c r="AT412">
        <f>HYPERLINK("http://www.worldcat.org/oclc/2306826","WorldCat Record")</f>
        <v/>
      </c>
      <c r="AU412" t="inlineStr">
        <is>
          <t>8907654661:eng</t>
        </is>
      </c>
      <c r="AV412" t="inlineStr">
        <is>
          <t>2306826</t>
        </is>
      </c>
      <c r="AW412" t="inlineStr">
        <is>
          <t>991004627099702656</t>
        </is>
      </c>
      <c r="AX412" t="inlineStr">
        <is>
          <t>991004627099702656</t>
        </is>
      </c>
      <c r="AY412" t="inlineStr">
        <is>
          <t>2266207160002656</t>
        </is>
      </c>
      <c r="AZ412" t="inlineStr">
        <is>
          <t>BOOK</t>
        </is>
      </c>
      <c r="BC412" t="inlineStr">
        <is>
          <t>32285005099105</t>
        </is>
      </c>
      <c r="BD412" t="inlineStr">
        <is>
          <t>893706637</t>
        </is>
      </c>
    </row>
    <row r="413">
      <c r="A413" t="inlineStr">
        <is>
          <t>No</t>
        </is>
      </c>
      <c r="B413" t="inlineStr">
        <is>
          <t>ND497.D32 A65</t>
        </is>
      </c>
      <c r="C413" t="inlineStr">
        <is>
          <t>0                      ND 0497000D  32                 A  65</t>
        </is>
      </c>
      <c r="D413" t="inlineStr">
        <is>
          <t>Francis Danby: varieties of poetic landscape.</t>
        </is>
      </c>
      <c r="F413" t="inlineStr">
        <is>
          <t>No</t>
        </is>
      </c>
      <c r="G413" t="inlineStr">
        <is>
          <t>1</t>
        </is>
      </c>
      <c r="H413" t="inlineStr">
        <is>
          <t>No</t>
        </is>
      </c>
      <c r="I413" t="inlineStr">
        <is>
          <t>No</t>
        </is>
      </c>
      <c r="J413" t="inlineStr">
        <is>
          <t>0</t>
        </is>
      </c>
      <c r="K413" t="inlineStr">
        <is>
          <t>Adams, Eric.</t>
        </is>
      </c>
      <c r="L413" t="inlineStr">
        <is>
          <t>New Haven, Published for the Paul Mellon Centre for Studies in British Art by Yale University Press, 1973.</t>
        </is>
      </c>
      <c r="M413" t="inlineStr">
        <is>
          <t>1973</t>
        </is>
      </c>
      <c r="O413" t="inlineStr">
        <is>
          <t>eng</t>
        </is>
      </c>
      <c r="P413" t="inlineStr">
        <is>
          <t>ctu</t>
        </is>
      </c>
      <c r="Q413" t="inlineStr">
        <is>
          <t>Studies in British art</t>
        </is>
      </c>
      <c r="R413" t="inlineStr">
        <is>
          <t xml:space="preserve">ND </t>
        </is>
      </c>
      <c r="S413" t="n">
        <v>0</v>
      </c>
      <c r="T413" t="n">
        <v>0</v>
      </c>
      <c r="U413" t="inlineStr">
        <is>
          <t>2005-06-29</t>
        </is>
      </c>
      <c r="V413" t="inlineStr">
        <is>
          <t>2005-06-29</t>
        </is>
      </c>
      <c r="W413" t="inlineStr">
        <is>
          <t>1997-07-28</t>
        </is>
      </c>
      <c r="X413" t="inlineStr">
        <is>
          <t>1997-07-28</t>
        </is>
      </c>
      <c r="Y413" t="n">
        <v>494</v>
      </c>
      <c r="Z413" t="n">
        <v>356</v>
      </c>
      <c r="AA413" t="n">
        <v>358</v>
      </c>
      <c r="AB413" t="n">
        <v>3</v>
      </c>
      <c r="AC413" t="n">
        <v>3</v>
      </c>
      <c r="AD413" t="n">
        <v>10</v>
      </c>
      <c r="AE413" t="n">
        <v>10</v>
      </c>
      <c r="AF413" t="n">
        <v>3</v>
      </c>
      <c r="AG413" t="n">
        <v>3</v>
      </c>
      <c r="AH413" t="n">
        <v>2</v>
      </c>
      <c r="AI413" t="n">
        <v>2</v>
      </c>
      <c r="AJ413" t="n">
        <v>5</v>
      </c>
      <c r="AK413" t="n">
        <v>5</v>
      </c>
      <c r="AL413" t="n">
        <v>2</v>
      </c>
      <c r="AM413" t="n">
        <v>2</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HYPERLINK("https://creighton-primo.hosted.exlibrisgroup.com/primo-explore/search?tab=default_tab&amp;search_scope=EVERYTHING&amp;vid=01CRU&amp;lang=en_US&amp;offset=0&amp;query=any,contains,991003240269702656","Catalog Record")</f>
        <v/>
      </c>
      <c r="AT413">
        <f>HYPERLINK("http://www.worldcat.org/oclc/763433","WorldCat Record")</f>
        <v/>
      </c>
      <c r="AU413" t="inlineStr">
        <is>
          <t>1646321:eng</t>
        </is>
      </c>
      <c r="AV413" t="inlineStr">
        <is>
          <t>763433</t>
        </is>
      </c>
      <c r="AW413" t="inlineStr">
        <is>
          <t>991003240269702656</t>
        </is>
      </c>
      <c r="AX413" t="inlineStr">
        <is>
          <t>991003240269702656</t>
        </is>
      </c>
      <c r="AY413" t="inlineStr">
        <is>
          <t>2266587330002656</t>
        </is>
      </c>
      <c r="AZ413" t="inlineStr">
        <is>
          <t>BOOK</t>
        </is>
      </c>
      <c r="BB413" t="inlineStr">
        <is>
          <t>9780300015386</t>
        </is>
      </c>
      <c r="BC413" t="inlineStr">
        <is>
          <t>32285002967338</t>
        </is>
      </c>
      <c r="BD413" t="inlineStr">
        <is>
          <t>893793442</t>
        </is>
      </c>
    </row>
    <row r="414">
      <c r="A414" t="inlineStr">
        <is>
          <t>No</t>
        </is>
      </c>
      <c r="B414" t="inlineStr">
        <is>
          <t>ND497.F83 S66</t>
        </is>
      </c>
      <c r="C414" t="inlineStr">
        <is>
          <t>0                      ND 0497000F  83                 S  66</t>
        </is>
      </c>
      <c r="D414" t="inlineStr">
        <is>
          <t>Roger Fry, art and life / Frances Spalding.</t>
        </is>
      </c>
      <c r="F414" t="inlineStr">
        <is>
          <t>No</t>
        </is>
      </c>
      <c r="G414" t="inlineStr">
        <is>
          <t>1</t>
        </is>
      </c>
      <c r="H414" t="inlineStr">
        <is>
          <t>No</t>
        </is>
      </c>
      <c r="I414" t="inlineStr">
        <is>
          <t>No</t>
        </is>
      </c>
      <c r="J414" t="inlineStr">
        <is>
          <t>0</t>
        </is>
      </c>
      <c r="K414" t="inlineStr">
        <is>
          <t>Spalding, Frances, 1950-</t>
        </is>
      </c>
      <c r="L414" t="inlineStr">
        <is>
          <t>Berkeley : University of California Press, c1980.</t>
        </is>
      </c>
      <c r="M414" t="inlineStr">
        <is>
          <t>1980</t>
        </is>
      </c>
      <c r="O414" t="inlineStr">
        <is>
          <t>eng</t>
        </is>
      </c>
      <c r="P414" t="inlineStr">
        <is>
          <t>cau</t>
        </is>
      </c>
      <c r="R414" t="inlineStr">
        <is>
          <t xml:space="preserve">ND </t>
        </is>
      </c>
      <c r="S414" t="n">
        <v>2</v>
      </c>
      <c r="T414" t="n">
        <v>2</v>
      </c>
      <c r="U414" t="inlineStr">
        <is>
          <t>1993-11-03</t>
        </is>
      </c>
      <c r="V414" t="inlineStr">
        <is>
          <t>1993-11-03</t>
        </is>
      </c>
      <c r="W414" t="inlineStr">
        <is>
          <t>1993-05-21</t>
        </is>
      </c>
      <c r="X414" t="inlineStr">
        <is>
          <t>1993-05-21</t>
        </is>
      </c>
      <c r="Y414" t="n">
        <v>553</v>
      </c>
      <c r="Z414" t="n">
        <v>484</v>
      </c>
      <c r="AA414" t="n">
        <v>550</v>
      </c>
      <c r="AB414" t="n">
        <v>3</v>
      </c>
      <c r="AC414" t="n">
        <v>4</v>
      </c>
      <c r="AD414" t="n">
        <v>25</v>
      </c>
      <c r="AE414" t="n">
        <v>30</v>
      </c>
      <c r="AF414" t="n">
        <v>10</v>
      </c>
      <c r="AG414" t="n">
        <v>10</v>
      </c>
      <c r="AH414" t="n">
        <v>9</v>
      </c>
      <c r="AI414" t="n">
        <v>11</v>
      </c>
      <c r="AJ414" t="n">
        <v>11</v>
      </c>
      <c r="AK414" t="n">
        <v>13</v>
      </c>
      <c r="AL414" t="n">
        <v>2</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HYPERLINK("https://creighton-primo.hosted.exlibrisgroup.com/primo-explore/search?tab=default_tab&amp;search_scope=EVERYTHING&amp;vid=01CRU&amp;lang=en_US&amp;offset=0&amp;query=any,contains,991005001779702656","Catalog Record")</f>
        <v/>
      </c>
      <c r="AT414">
        <f>HYPERLINK("http://www.worldcat.org/oclc/6554125","WorldCat Record")</f>
        <v/>
      </c>
      <c r="AU414" t="inlineStr">
        <is>
          <t>155302948:eng</t>
        </is>
      </c>
      <c r="AV414" t="inlineStr">
        <is>
          <t>6554125</t>
        </is>
      </c>
      <c r="AW414" t="inlineStr">
        <is>
          <t>991005001779702656</t>
        </is>
      </c>
      <c r="AX414" t="inlineStr">
        <is>
          <t>991005001779702656</t>
        </is>
      </c>
      <c r="AY414" t="inlineStr">
        <is>
          <t>2256454020002656</t>
        </is>
      </c>
      <c r="AZ414" t="inlineStr">
        <is>
          <t>BOOK</t>
        </is>
      </c>
      <c r="BB414" t="inlineStr">
        <is>
          <t>9780520041264</t>
        </is>
      </c>
      <c r="BC414" t="inlineStr">
        <is>
          <t>32285001691640</t>
        </is>
      </c>
      <c r="BD414" t="inlineStr">
        <is>
          <t>893594334</t>
        </is>
      </c>
    </row>
    <row r="415">
      <c r="A415" t="inlineStr">
        <is>
          <t>No</t>
        </is>
      </c>
      <c r="B415" t="inlineStr">
        <is>
          <t>ND497.G2 L4</t>
        </is>
      </c>
      <c r="C415" t="inlineStr">
        <is>
          <t>0                      ND 0497000G  2                  L  4</t>
        </is>
      </c>
      <c r="D415" t="inlineStr">
        <is>
          <t>The world of Gainsborough, 1727-1788. By Jonathan Norton Leonard and the editors of Time-Life Books.</t>
        </is>
      </c>
      <c r="F415" t="inlineStr">
        <is>
          <t>No</t>
        </is>
      </c>
      <c r="G415" t="inlineStr">
        <is>
          <t>1</t>
        </is>
      </c>
      <c r="H415" t="inlineStr">
        <is>
          <t>No</t>
        </is>
      </c>
      <c r="I415" t="inlineStr">
        <is>
          <t>No</t>
        </is>
      </c>
      <c r="J415" t="inlineStr">
        <is>
          <t>0</t>
        </is>
      </c>
      <c r="K415" t="inlineStr">
        <is>
          <t>Leonard, Jonathan Norton, 1903-1975.</t>
        </is>
      </c>
      <c r="L415" t="inlineStr">
        <is>
          <t>New York, Time-Life Books [1969]</t>
        </is>
      </c>
      <c r="M415" t="inlineStr">
        <is>
          <t>1969</t>
        </is>
      </c>
      <c r="O415" t="inlineStr">
        <is>
          <t>eng</t>
        </is>
      </c>
      <c r="P415" t="inlineStr">
        <is>
          <t>nyu</t>
        </is>
      </c>
      <c r="Q415" t="inlineStr">
        <is>
          <t>Time-Life library of art</t>
        </is>
      </c>
      <c r="R415" t="inlineStr">
        <is>
          <t xml:space="preserve">ND </t>
        </is>
      </c>
      <c r="S415" t="n">
        <v>6</v>
      </c>
      <c r="T415" t="n">
        <v>6</v>
      </c>
      <c r="U415" t="inlineStr">
        <is>
          <t>2000-11-09</t>
        </is>
      </c>
      <c r="V415" t="inlineStr">
        <is>
          <t>2000-11-09</t>
        </is>
      </c>
      <c r="W415" t="inlineStr">
        <is>
          <t>1997-07-28</t>
        </is>
      </c>
      <c r="X415" t="inlineStr">
        <is>
          <t>1997-07-28</t>
        </is>
      </c>
      <c r="Y415" t="n">
        <v>2434</v>
      </c>
      <c r="Z415" t="n">
        <v>2292</v>
      </c>
      <c r="AA415" t="n">
        <v>2314</v>
      </c>
      <c r="AB415" t="n">
        <v>19</v>
      </c>
      <c r="AC415" t="n">
        <v>19</v>
      </c>
      <c r="AD415" t="n">
        <v>40</v>
      </c>
      <c r="AE415" t="n">
        <v>40</v>
      </c>
      <c r="AF415" t="n">
        <v>13</v>
      </c>
      <c r="AG415" t="n">
        <v>13</v>
      </c>
      <c r="AH415" t="n">
        <v>9</v>
      </c>
      <c r="AI415" t="n">
        <v>9</v>
      </c>
      <c r="AJ415" t="n">
        <v>18</v>
      </c>
      <c r="AK415" t="n">
        <v>18</v>
      </c>
      <c r="AL415" t="n">
        <v>9</v>
      </c>
      <c r="AM415" t="n">
        <v>9</v>
      </c>
      <c r="AN415" t="n">
        <v>0</v>
      </c>
      <c r="AO415" t="n">
        <v>0</v>
      </c>
      <c r="AP415" t="inlineStr">
        <is>
          <t>No</t>
        </is>
      </c>
      <c r="AQ415" t="inlineStr">
        <is>
          <t>Yes</t>
        </is>
      </c>
      <c r="AR415">
        <f>HYPERLINK("http://catalog.hathitrust.org/Record/000371201","HathiTrust Record")</f>
        <v/>
      </c>
      <c r="AS415">
        <f>HYPERLINK("https://creighton-primo.hosted.exlibrisgroup.com/primo-explore/search?tab=default_tab&amp;search_scope=EVERYTHING&amp;vid=01CRU&amp;lang=en_US&amp;offset=0&amp;query=any,contains,991001374899702656","Catalog Record")</f>
        <v/>
      </c>
      <c r="AT415">
        <f>HYPERLINK("http://www.worldcat.org/oclc/224686","WorldCat Record")</f>
        <v/>
      </c>
      <c r="AU415" t="inlineStr">
        <is>
          <t>3029059941:eng</t>
        </is>
      </c>
      <c r="AV415" t="inlineStr">
        <is>
          <t>224686</t>
        </is>
      </c>
      <c r="AW415" t="inlineStr">
        <is>
          <t>991001374899702656</t>
        </is>
      </c>
      <c r="AX415" t="inlineStr">
        <is>
          <t>991001374899702656</t>
        </is>
      </c>
      <c r="AY415" t="inlineStr">
        <is>
          <t>2263578620002656</t>
        </is>
      </c>
      <c r="AZ415" t="inlineStr">
        <is>
          <t>BOOK</t>
        </is>
      </c>
      <c r="BC415" t="inlineStr">
        <is>
          <t>32285002967346</t>
        </is>
      </c>
      <c r="BD415" t="inlineStr">
        <is>
          <t>893225810</t>
        </is>
      </c>
    </row>
    <row r="416">
      <c r="A416" t="inlineStr">
        <is>
          <t>No</t>
        </is>
      </c>
      <c r="B416" t="inlineStr">
        <is>
          <t>ND497.G2 P67 2002</t>
        </is>
      </c>
      <c r="C416" t="inlineStr">
        <is>
          <t>0                      ND 0497000G  2                  P  67          2002</t>
        </is>
      </c>
      <c r="D416" t="inlineStr">
        <is>
          <t>Thomas Gainsborough / Martin Postle.</t>
        </is>
      </c>
      <c r="F416" t="inlineStr">
        <is>
          <t>No</t>
        </is>
      </c>
      <c r="G416" t="inlineStr">
        <is>
          <t>1</t>
        </is>
      </c>
      <c r="H416" t="inlineStr">
        <is>
          <t>No</t>
        </is>
      </c>
      <c r="I416" t="inlineStr">
        <is>
          <t>No</t>
        </is>
      </c>
      <c r="J416" t="inlineStr">
        <is>
          <t>0</t>
        </is>
      </c>
      <c r="K416" t="inlineStr">
        <is>
          <t>Postle, Martin.</t>
        </is>
      </c>
      <c r="L416" t="inlineStr">
        <is>
          <t>Princeton, N.J. : Princeton University Press, 2002.</t>
        </is>
      </c>
      <c r="M416" t="inlineStr">
        <is>
          <t>2002</t>
        </is>
      </c>
      <c r="O416" t="inlineStr">
        <is>
          <t>eng</t>
        </is>
      </c>
      <c r="P416" t="inlineStr">
        <is>
          <t>nju</t>
        </is>
      </c>
      <c r="Q416" t="inlineStr">
        <is>
          <t>British artists</t>
        </is>
      </c>
      <c r="R416" t="inlineStr">
        <is>
          <t xml:space="preserve">ND </t>
        </is>
      </c>
      <c r="S416" t="n">
        <v>2</v>
      </c>
      <c r="T416" t="n">
        <v>2</v>
      </c>
      <c r="U416" t="inlineStr">
        <is>
          <t>2003-07-29</t>
        </is>
      </c>
      <c r="V416" t="inlineStr">
        <is>
          <t>2003-07-29</t>
        </is>
      </c>
      <c r="W416" t="inlineStr">
        <is>
          <t>2003-07-29</t>
        </is>
      </c>
      <c r="X416" t="inlineStr">
        <is>
          <t>2003-07-29</t>
        </is>
      </c>
      <c r="Y416" t="n">
        <v>217</v>
      </c>
      <c r="Z416" t="n">
        <v>192</v>
      </c>
      <c r="AA416" t="n">
        <v>222</v>
      </c>
      <c r="AB416" t="n">
        <v>2</v>
      </c>
      <c r="AC416" t="n">
        <v>2</v>
      </c>
      <c r="AD416" t="n">
        <v>11</v>
      </c>
      <c r="AE416" t="n">
        <v>11</v>
      </c>
      <c r="AF416" t="n">
        <v>4</v>
      </c>
      <c r="AG416" t="n">
        <v>4</v>
      </c>
      <c r="AH416" t="n">
        <v>4</v>
      </c>
      <c r="AI416" t="n">
        <v>4</v>
      </c>
      <c r="AJ416" t="n">
        <v>5</v>
      </c>
      <c r="AK416" t="n">
        <v>5</v>
      </c>
      <c r="AL416" t="n">
        <v>1</v>
      </c>
      <c r="AM416" t="n">
        <v>1</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HYPERLINK("https://creighton-primo.hosted.exlibrisgroup.com/primo-explore/search?tab=default_tab&amp;search_scope=EVERYTHING&amp;vid=01CRU&amp;lang=en_US&amp;offset=0&amp;query=any,contains,991004087589702656","Catalog Record")</f>
        <v/>
      </c>
      <c r="AT416">
        <f>HYPERLINK("http://www.worldcat.org/oclc/51730946","WorldCat Record")</f>
        <v/>
      </c>
      <c r="AU416" t="inlineStr">
        <is>
          <t>3856226077:eng</t>
        </is>
      </c>
      <c r="AV416" t="inlineStr">
        <is>
          <t>51730946</t>
        </is>
      </c>
      <c r="AW416" t="inlineStr">
        <is>
          <t>991004087589702656</t>
        </is>
      </c>
      <c r="AX416" t="inlineStr">
        <is>
          <t>991004087589702656</t>
        </is>
      </c>
      <c r="AY416" t="inlineStr">
        <is>
          <t>2263551160002656</t>
        </is>
      </c>
      <c r="AZ416" t="inlineStr">
        <is>
          <t>BOOK</t>
        </is>
      </c>
      <c r="BB416" t="inlineStr">
        <is>
          <t>9780691114590</t>
        </is>
      </c>
      <c r="BC416" t="inlineStr">
        <is>
          <t>32285004757372</t>
        </is>
      </c>
      <c r="BD416" t="inlineStr">
        <is>
          <t>893324908</t>
        </is>
      </c>
    </row>
    <row r="417">
      <c r="A417" t="inlineStr">
        <is>
          <t>No</t>
        </is>
      </c>
      <c r="B417" t="inlineStr">
        <is>
          <t>ND497.G2 W3 1966</t>
        </is>
      </c>
      <c r="C417" t="inlineStr">
        <is>
          <t>0                      ND 0497000G  2                  W  3           1966</t>
        </is>
      </c>
      <c r="D417" t="inlineStr">
        <is>
          <t>Gainsborough, [by] Ellis Waterhouse.</t>
        </is>
      </c>
      <c r="F417" t="inlineStr">
        <is>
          <t>No</t>
        </is>
      </c>
      <c r="G417" t="inlineStr">
        <is>
          <t>1</t>
        </is>
      </c>
      <c r="H417" t="inlineStr">
        <is>
          <t>No</t>
        </is>
      </c>
      <c r="I417" t="inlineStr">
        <is>
          <t>No</t>
        </is>
      </c>
      <c r="J417" t="inlineStr">
        <is>
          <t>0</t>
        </is>
      </c>
      <c r="K417" t="inlineStr">
        <is>
          <t>Waterhouse, Ellis Kirkham, 1905-1985.</t>
        </is>
      </c>
      <c r="L417" t="inlineStr">
        <is>
          <t>London, Spring Books, 1966.</t>
        </is>
      </c>
      <c r="M417" t="inlineStr">
        <is>
          <t>1966</t>
        </is>
      </c>
      <c r="N417" t="inlineStr">
        <is>
          <t>[New ed.]</t>
        </is>
      </c>
      <c r="O417" t="inlineStr">
        <is>
          <t>eng</t>
        </is>
      </c>
      <c r="P417" t="inlineStr">
        <is>
          <t>enk</t>
        </is>
      </c>
      <c r="R417" t="inlineStr">
        <is>
          <t xml:space="preserve">ND </t>
        </is>
      </c>
      <c r="S417" t="n">
        <v>4</v>
      </c>
      <c r="T417" t="n">
        <v>4</v>
      </c>
      <c r="U417" t="inlineStr">
        <is>
          <t>2000-11-09</t>
        </is>
      </c>
      <c r="V417" t="inlineStr">
        <is>
          <t>2000-11-09</t>
        </is>
      </c>
      <c r="W417" t="inlineStr">
        <is>
          <t>1992-02-07</t>
        </is>
      </c>
      <c r="X417" t="inlineStr">
        <is>
          <t>1992-02-07</t>
        </is>
      </c>
      <c r="Y417" t="n">
        <v>455</v>
      </c>
      <c r="Z417" t="n">
        <v>393</v>
      </c>
      <c r="AA417" t="n">
        <v>655</v>
      </c>
      <c r="AB417" t="n">
        <v>4</v>
      </c>
      <c r="AC417" t="n">
        <v>5</v>
      </c>
      <c r="AD417" t="n">
        <v>15</v>
      </c>
      <c r="AE417" t="n">
        <v>19</v>
      </c>
      <c r="AF417" t="n">
        <v>6</v>
      </c>
      <c r="AG417" t="n">
        <v>8</v>
      </c>
      <c r="AH417" t="n">
        <v>2</v>
      </c>
      <c r="AI417" t="n">
        <v>3</v>
      </c>
      <c r="AJ417" t="n">
        <v>8</v>
      </c>
      <c r="AK417" t="n">
        <v>9</v>
      </c>
      <c r="AL417" t="n">
        <v>2</v>
      </c>
      <c r="AM417" t="n">
        <v>3</v>
      </c>
      <c r="AN417" t="n">
        <v>0</v>
      </c>
      <c r="AO417" t="n">
        <v>0</v>
      </c>
      <c r="AP417" t="inlineStr">
        <is>
          <t>No</t>
        </is>
      </c>
      <c r="AQ417" t="inlineStr">
        <is>
          <t>Yes</t>
        </is>
      </c>
      <c r="AR417">
        <f>HYPERLINK("http://catalog.hathitrust.org/Record/007124614","HathiTrust Record")</f>
        <v/>
      </c>
      <c r="AS417">
        <f>HYPERLINK("https://creighton-primo.hosted.exlibrisgroup.com/primo-explore/search?tab=default_tab&amp;search_scope=EVERYTHING&amp;vid=01CRU&amp;lang=en_US&amp;offset=0&amp;query=any,contains,991001157819702656","Catalog Record")</f>
        <v/>
      </c>
      <c r="AT417">
        <f>HYPERLINK("http://www.worldcat.org/oclc/186019","WorldCat Record")</f>
        <v/>
      </c>
      <c r="AU417" t="inlineStr">
        <is>
          <t>2070196023:eng</t>
        </is>
      </c>
      <c r="AV417" t="inlineStr">
        <is>
          <t>186019</t>
        </is>
      </c>
      <c r="AW417" t="inlineStr">
        <is>
          <t>991001157819702656</t>
        </is>
      </c>
      <c r="AX417" t="inlineStr">
        <is>
          <t>991001157819702656</t>
        </is>
      </c>
      <c r="AY417" t="inlineStr">
        <is>
          <t>2269498840002656</t>
        </is>
      </c>
      <c r="AZ417" t="inlineStr">
        <is>
          <t>BOOK</t>
        </is>
      </c>
      <c r="BC417" t="inlineStr">
        <is>
          <t>32285000945690</t>
        </is>
      </c>
      <c r="BD417" t="inlineStr">
        <is>
          <t>893866012</t>
        </is>
      </c>
    </row>
    <row r="418">
      <c r="A418" t="inlineStr">
        <is>
          <t>No</t>
        </is>
      </c>
      <c r="B418" t="inlineStr">
        <is>
          <t>ND497.H7 Q4 1955a</t>
        </is>
      </c>
      <c r="C418" t="inlineStr">
        <is>
          <t>0                      ND 0497000H  7                  Q  4           1955a</t>
        </is>
      </c>
      <c r="D418" t="inlineStr">
        <is>
          <t>Hogarth's progress.</t>
        </is>
      </c>
      <c r="F418" t="inlineStr">
        <is>
          <t>No</t>
        </is>
      </c>
      <c r="G418" t="inlineStr">
        <is>
          <t>1</t>
        </is>
      </c>
      <c r="H418" t="inlineStr">
        <is>
          <t>No</t>
        </is>
      </c>
      <c r="I418" t="inlineStr">
        <is>
          <t>No</t>
        </is>
      </c>
      <c r="J418" t="inlineStr">
        <is>
          <t>0</t>
        </is>
      </c>
      <c r="K418" t="inlineStr">
        <is>
          <t>Quennell, Peter, 1905-1993.</t>
        </is>
      </c>
      <c r="L418" t="inlineStr">
        <is>
          <t>New York : Viking Press, 1955.</t>
        </is>
      </c>
      <c r="M418" t="inlineStr">
        <is>
          <t>1955</t>
        </is>
      </c>
      <c r="O418" t="inlineStr">
        <is>
          <t>eng</t>
        </is>
      </c>
      <c r="P418" t="inlineStr">
        <is>
          <t>nyu</t>
        </is>
      </c>
      <c r="R418" t="inlineStr">
        <is>
          <t xml:space="preserve">ND </t>
        </is>
      </c>
      <c r="S418" t="n">
        <v>2</v>
      </c>
      <c r="T418" t="n">
        <v>2</v>
      </c>
      <c r="U418" t="inlineStr">
        <is>
          <t>1993-06-03</t>
        </is>
      </c>
      <c r="V418" t="inlineStr">
        <is>
          <t>1993-06-03</t>
        </is>
      </c>
      <c r="W418" t="inlineStr">
        <is>
          <t>1993-05-26</t>
        </is>
      </c>
      <c r="X418" t="inlineStr">
        <is>
          <t>1993-05-26</t>
        </is>
      </c>
      <c r="Y418" t="n">
        <v>837</v>
      </c>
      <c r="Z418" t="n">
        <v>799</v>
      </c>
      <c r="AA418" t="n">
        <v>881</v>
      </c>
      <c r="AB418" t="n">
        <v>7</v>
      </c>
      <c r="AC418" t="n">
        <v>7</v>
      </c>
      <c r="AD418" t="n">
        <v>35</v>
      </c>
      <c r="AE418" t="n">
        <v>39</v>
      </c>
      <c r="AF418" t="n">
        <v>13</v>
      </c>
      <c r="AG418" t="n">
        <v>15</v>
      </c>
      <c r="AH418" t="n">
        <v>7</v>
      </c>
      <c r="AI418" t="n">
        <v>8</v>
      </c>
      <c r="AJ418" t="n">
        <v>18</v>
      </c>
      <c r="AK418" t="n">
        <v>20</v>
      </c>
      <c r="AL418" t="n">
        <v>5</v>
      </c>
      <c r="AM418" t="n">
        <v>5</v>
      </c>
      <c r="AN418" t="n">
        <v>0</v>
      </c>
      <c r="AO418" t="n">
        <v>0</v>
      </c>
      <c r="AP418" t="inlineStr">
        <is>
          <t>No</t>
        </is>
      </c>
      <c r="AQ418" t="inlineStr">
        <is>
          <t>Yes</t>
        </is>
      </c>
      <c r="AR418">
        <f>HYPERLINK("http://catalog.hathitrust.org/Record/000372239","HathiTrust Record")</f>
        <v/>
      </c>
      <c r="AS418">
        <f>HYPERLINK("https://creighton-primo.hosted.exlibrisgroup.com/primo-explore/search?tab=default_tab&amp;search_scope=EVERYTHING&amp;vid=01CRU&amp;lang=en_US&amp;offset=0&amp;query=any,contains,991002561899702656","Catalog Record")</f>
        <v/>
      </c>
      <c r="AT418">
        <f>HYPERLINK("http://www.worldcat.org/oclc/371896","WorldCat Record")</f>
        <v/>
      </c>
      <c r="AU418" t="inlineStr">
        <is>
          <t>50472440:eng</t>
        </is>
      </c>
      <c r="AV418" t="inlineStr">
        <is>
          <t>371896</t>
        </is>
      </c>
      <c r="AW418" t="inlineStr">
        <is>
          <t>991002561899702656</t>
        </is>
      </c>
      <c r="AX418" t="inlineStr">
        <is>
          <t>991002561899702656</t>
        </is>
      </c>
      <c r="AY418" t="inlineStr">
        <is>
          <t>2259955970002656</t>
        </is>
      </c>
      <c r="AZ418" t="inlineStr">
        <is>
          <t>BOOK</t>
        </is>
      </c>
      <c r="BC418" t="inlineStr">
        <is>
          <t>32285001583995</t>
        </is>
      </c>
      <c r="BD418" t="inlineStr">
        <is>
          <t>893609996</t>
        </is>
      </c>
    </row>
    <row r="419">
      <c r="A419" t="inlineStr">
        <is>
          <t>No</t>
        </is>
      </c>
      <c r="B419" t="inlineStr">
        <is>
          <t>ND497.K47 K5</t>
        </is>
      </c>
      <c r="C419" t="inlineStr">
        <is>
          <t>0                      ND 0497000K  47                 K  5</t>
        </is>
      </c>
      <c r="D419" t="inlineStr">
        <is>
          <t>Sir Godfrey Kneller and his times, 1646-1723, being a review of English portraiture of the period.</t>
        </is>
      </c>
      <c r="F419" t="inlineStr">
        <is>
          <t>No</t>
        </is>
      </c>
      <c r="G419" t="inlineStr">
        <is>
          <t>1</t>
        </is>
      </c>
      <c r="H419" t="inlineStr">
        <is>
          <t>No</t>
        </is>
      </c>
      <c r="I419" t="inlineStr">
        <is>
          <t>No</t>
        </is>
      </c>
      <c r="J419" t="inlineStr">
        <is>
          <t>0</t>
        </is>
      </c>
      <c r="K419" t="inlineStr">
        <is>
          <t>Killanin, Michael Morris, Baron, 1914-1999.</t>
        </is>
      </c>
      <c r="L419" t="inlineStr">
        <is>
          <t>London, New York, Batsford [1948]</t>
        </is>
      </c>
      <c r="M419" t="inlineStr">
        <is>
          <t>1948</t>
        </is>
      </c>
      <c r="O419" t="inlineStr">
        <is>
          <t>eng</t>
        </is>
      </c>
      <c r="P419" t="inlineStr">
        <is>
          <t>enk</t>
        </is>
      </c>
      <c r="R419" t="inlineStr">
        <is>
          <t xml:space="preserve">ND </t>
        </is>
      </c>
      <c r="S419" t="n">
        <v>1</v>
      </c>
      <c r="T419" t="n">
        <v>1</v>
      </c>
      <c r="U419" t="inlineStr">
        <is>
          <t>1997-06-11</t>
        </is>
      </c>
      <c r="V419" t="inlineStr">
        <is>
          <t>1997-06-11</t>
        </is>
      </c>
      <c r="W419" t="inlineStr">
        <is>
          <t>1997-06-11</t>
        </is>
      </c>
      <c r="X419" t="inlineStr">
        <is>
          <t>1997-06-11</t>
        </is>
      </c>
      <c r="Y419" t="n">
        <v>345</v>
      </c>
      <c r="Z419" t="n">
        <v>270</v>
      </c>
      <c r="AA419" t="n">
        <v>271</v>
      </c>
      <c r="AB419" t="n">
        <v>2</v>
      </c>
      <c r="AC419" t="n">
        <v>2</v>
      </c>
      <c r="AD419" t="n">
        <v>15</v>
      </c>
      <c r="AE419" t="n">
        <v>15</v>
      </c>
      <c r="AF419" t="n">
        <v>5</v>
      </c>
      <c r="AG419" t="n">
        <v>5</v>
      </c>
      <c r="AH419" t="n">
        <v>3</v>
      </c>
      <c r="AI419" t="n">
        <v>3</v>
      </c>
      <c r="AJ419" t="n">
        <v>10</v>
      </c>
      <c r="AK419" t="n">
        <v>10</v>
      </c>
      <c r="AL419" t="n">
        <v>1</v>
      </c>
      <c r="AM419" t="n">
        <v>1</v>
      </c>
      <c r="AN419" t="n">
        <v>0</v>
      </c>
      <c r="AO419" t="n">
        <v>0</v>
      </c>
      <c r="AP419" t="inlineStr">
        <is>
          <t>No</t>
        </is>
      </c>
      <c r="AQ419" t="inlineStr">
        <is>
          <t>Yes</t>
        </is>
      </c>
      <c r="AR419">
        <f>HYPERLINK("http://catalog.hathitrust.org/Record/000372803","HathiTrust Record")</f>
        <v/>
      </c>
      <c r="AS419">
        <f>HYPERLINK("https://creighton-primo.hosted.exlibrisgroup.com/primo-explore/search?tab=default_tab&amp;search_scope=EVERYTHING&amp;vid=01CRU&amp;lang=en_US&amp;offset=0&amp;query=any,contains,991003657459702656","Catalog Record")</f>
        <v/>
      </c>
      <c r="AT419">
        <f>HYPERLINK("http://www.worldcat.org/oclc/1263366","WorldCat Record")</f>
        <v/>
      </c>
      <c r="AU419" t="inlineStr">
        <is>
          <t>889573653:eng</t>
        </is>
      </c>
      <c r="AV419" t="inlineStr">
        <is>
          <t>1263366</t>
        </is>
      </c>
      <c r="AW419" t="inlineStr">
        <is>
          <t>991003657459702656</t>
        </is>
      </c>
      <c r="AX419" t="inlineStr">
        <is>
          <t>991003657459702656</t>
        </is>
      </c>
      <c r="AY419" t="inlineStr">
        <is>
          <t>2262273710002656</t>
        </is>
      </c>
      <c r="AZ419" t="inlineStr">
        <is>
          <t>BOOK</t>
        </is>
      </c>
      <c r="BC419" t="inlineStr">
        <is>
          <t>32285002804408</t>
        </is>
      </c>
      <c r="BD419" t="inlineStr">
        <is>
          <t>893623730</t>
        </is>
      </c>
    </row>
    <row r="420">
      <c r="A420" t="inlineStr">
        <is>
          <t>No</t>
        </is>
      </c>
      <c r="B420" t="inlineStr">
        <is>
          <t>ND497.M6 M6</t>
        </is>
      </c>
      <c r="C420" t="inlineStr">
        <is>
          <t>0                      ND 0497000M  6                  M  6</t>
        </is>
      </c>
      <c r="D420" t="inlineStr">
        <is>
          <t>Sir John Everett Millais / by Geoffroy Millais.</t>
        </is>
      </c>
      <c r="F420" t="inlineStr">
        <is>
          <t>No</t>
        </is>
      </c>
      <c r="G420" t="inlineStr">
        <is>
          <t>1</t>
        </is>
      </c>
      <c r="H420" t="inlineStr">
        <is>
          <t>No</t>
        </is>
      </c>
      <c r="I420" t="inlineStr">
        <is>
          <t>No</t>
        </is>
      </c>
      <c r="J420" t="inlineStr">
        <is>
          <t>0</t>
        </is>
      </c>
      <c r="K420" t="inlineStr">
        <is>
          <t>Millais, Geoffroy.</t>
        </is>
      </c>
      <c r="L420" t="inlineStr">
        <is>
          <t>London : Academy Editions, c1979.</t>
        </is>
      </c>
      <c r="M420" t="inlineStr">
        <is>
          <t>1979</t>
        </is>
      </c>
      <c r="O420" t="inlineStr">
        <is>
          <t>eng</t>
        </is>
      </c>
      <c r="P420" t="inlineStr">
        <is>
          <t>enk</t>
        </is>
      </c>
      <c r="R420" t="inlineStr">
        <is>
          <t xml:space="preserve">ND </t>
        </is>
      </c>
      <c r="S420" t="n">
        <v>5</v>
      </c>
      <c r="T420" t="n">
        <v>5</v>
      </c>
      <c r="U420" t="inlineStr">
        <is>
          <t>2002-01-16</t>
        </is>
      </c>
      <c r="V420" t="inlineStr">
        <is>
          <t>2002-01-16</t>
        </is>
      </c>
      <c r="W420" t="inlineStr">
        <is>
          <t>1990-07-30</t>
        </is>
      </c>
      <c r="X420" t="inlineStr">
        <is>
          <t>1990-07-30</t>
        </is>
      </c>
      <c r="Y420" t="n">
        <v>296</v>
      </c>
      <c r="Z420" t="n">
        <v>160</v>
      </c>
      <c r="AA420" t="n">
        <v>161</v>
      </c>
      <c r="AB420" t="n">
        <v>2</v>
      </c>
      <c r="AC420" t="n">
        <v>2</v>
      </c>
      <c r="AD420" t="n">
        <v>3</v>
      </c>
      <c r="AE420" t="n">
        <v>3</v>
      </c>
      <c r="AF420" t="n">
        <v>1</v>
      </c>
      <c r="AG420" t="n">
        <v>1</v>
      </c>
      <c r="AH420" t="n">
        <v>1</v>
      </c>
      <c r="AI420" t="n">
        <v>1</v>
      </c>
      <c r="AJ420" t="n">
        <v>1</v>
      </c>
      <c r="AK420" t="n">
        <v>1</v>
      </c>
      <c r="AL420" t="n">
        <v>1</v>
      </c>
      <c r="AM420" t="n">
        <v>1</v>
      </c>
      <c r="AN420" t="n">
        <v>0</v>
      </c>
      <c r="AO420" t="n">
        <v>0</v>
      </c>
      <c r="AP420" t="inlineStr">
        <is>
          <t>No</t>
        </is>
      </c>
      <c r="AQ420" t="inlineStr">
        <is>
          <t>Yes</t>
        </is>
      </c>
      <c r="AR420">
        <f>HYPERLINK("http://catalog.hathitrust.org/Record/000029061","HathiTrust Record")</f>
        <v/>
      </c>
      <c r="AS420">
        <f>HYPERLINK("https://creighton-primo.hosted.exlibrisgroup.com/primo-explore/search?tab=default_tab&amp;search_scope=EVERYTHING&amp;vid=01CRU&amp;lang=en_US&amp;offset=0&amp;query=any,contains,991004874699702656","Catalog Record")</f>
        <v/>
      </c>
      <c r="AT420">
        <f>HYPERLINK("http://www.worldcat.org/oclc/5778424","WorldCat Record")</f>
        <v/>
      </c>
      <c r="AU420" t="inlineStr">
        <is>
          <t>2591125496:eng</t>
        </is>
      </c>
      <c r="AV420" t="inlineStr">
        <is>
          <t>5778424</t>
        </is>
      </c>
      <c r="AW420" t="inlineStr">
        <is>
          <t>991004874699702656</t>
        </is>
      </c>
      <c r="AX420" t="inlineStr">
        <is>
          <t>991004874699702656</t>
        </is>
      </c>
      <c r="AY420" t="inlineStr">
        <is>
          <t>2258880950002656</t>
        </is>
      </c>
      <c r="AZ420" t="inlineStr">
        <is>
          <t>BOOK</t>
        </is>
      </c>
      <c r="BB420" t="inlineStr">
        <is>
          <t>9780856704468</t>
        </is>
      </c>
      <c r="BC420" t="inlineStr">
        <is>
          <t>32285000229459</t>
        </is>
      </c>
      <c r="BD420" t="inlineStr">
        <is>
          <t>893606557</t>
        </is>
      </c>
    </row>
    <row r="421">
      <c r="A421" t="inlineStr">
        <is>
          <t>No</t>
        </is>
      </c>
      <c r="B421" t="inlineStr">
        <is>
          <t>ND497.P59 C67 1986</t>
        </is>
      </c>
      <c r="C421" t="inlineStr">
        <is>
          <t>0                      ND 0497000P  59                 C  67          1986</t>
        </is>
      </c>
      <c r="D421" t="inlineStr">
        <is>
          <t>Nicholas Pocock, 1740-1821 / David Cordingly.</t>
        </is>
      </c>
      <c r="F421" t="inlineStr">
        <is>
          <t>No</t>
        </is>
      </c>
      <c r="G421" t="inlineStr">
        <is>
          <t>1</t>
        </is>
      </c>
      <c r="H421" t="inlineStr">
        <is>
          <t>No</t>
        </is>
      </c>
      <c r="I421" t="inlineStr">
        <is>
          <t>No</t>
        </is>
      </c>
      <c r="J421" t="inlineStr">
        <is>
          <t>0</t>
        </is>
      </c>
      <c r="K421" t="inlineStr">
        <is>
          <t>Cordingly, David.</t>
        </is>
      </c>
      <c r="L421" t="inlineStr">
        <is>
          <t>Annapolis, Md. : Naval Institute Press ; London : Conway Maritime Press in association with the National Maritime Museum, 1986.</t>
        </is>
      </c>
      <c r="M421" t="inlineStr">
        <is>
          <t>1986</t>
        </is>
      </c>
      <c r="O421" t="inlineStr">
        <is>
          <t>eng</t>
        </is>
      </c>
      <c r="P421" t="inlineStr">
        <is>
          <t>mdu</t>
        </is>
      </c>
      <c r="Q421" t="inlineStr">
        <is>
          <t>Conway's marine artists ; 1</t>
        </is>
      </c>
      <c r="R421" t="inlineStr">
        <is>
          <t xml:space="preserve">ND </t>
        </is>
      </c>
      <c r="S421" t="n">
        <v>1</v>
      </c>
      <c r="T421" t="n">
        <v>1</v>
      </c>
      <c r="U421" t="inlineStr">
        <is>
          <t>2007-03-06</t>
        </is>
      </c>
      <c r="V421" t="inlineStr">
        <is>
          <t>2007-03-06</t>
        </is>
      </c>
      <c r="W421" t="inlineStr">
        <is>
          <t>2007-03-06</t>
        </is>
      </c>
      <c r="X421" t="inlineStr">
        <is>
          <t>2007-03-06</t>
        </is>
      </c>
      <c r="Y421" t="n">
        <v>105</v>
      </c>
      <c r="Z421" t="n">
        <v>94</v>
      </c>
      <c r="AA421" t="n">
        <v>138</v>
      </c>
      <c r="AB421" t="n">
        <v>1</v>
      </c>
      <c r="AC421" t="n">
        <v>2</v>
      </c>
      <c r="AD421" t="n">
        <v>2</v>
      </c>
      <c r="AE421" t="n">
        <v>3</v>
      </c>
      <c r="AF421" t="n">
        <v>1</v>
      </c>
      <c r="AG421" t="n">
        <v>1</v>
      </c>
      <c r="AH421" t="n">
        <v>1</v>
      </c>
      <c r="AI421" t="n">
        <v>1</v>
      </c>
      <c r="AJ421" t="n">
        <v>1</v>
      </c>
      <c r="AK421" t="n">
        <v>1</v>
      </c>
      <c r="AL421" t="n">
        <v>0</v>
      </c>
      <c r="AM421" t="n">
        <v>1</v>
      </c>
      <c r="AN421" t="n">
        <v>0</v>
      </c>
      <c r="AO421" t="n">
        <v>0</v>
      </c>
      <c r="AP421" t="inlineStr">
        <is>
          <t>No</t>
        </is>
      </c>
      <c r="AQ421" t="inlineStr">
        <is>
          <t>Yes</t>
        </is>
      </c>
      <c r="AR421">
        <f>HYPERLINK("http://catalog.hathitrust.org/Record/008512233","HathiTrust Record")</f>
        <v/>
      </c>
      <c r="AS421">
        <f>HYPERLINK("https://creighton-primo.hosted.exlibrisgroup.com/primo-explore/search?tab=default_tab&amp;search_scope=EVERYTHING&amp;vid=01CRU&amp;lang=en_US&amp;offset=0&amp;query=any,contains,991005047619702656","Catalog Record")</f>
        <v/>
      </c>
      <c r="AT421">
        <f>HYPERLINK("http://www.worldcat.org/oclc/14687896","WorldCat Record")</f>
        <v/>
      </c>
      <c r="AU421" t="inlineStr">
        <is>
          <t>8938486:eng</t>
        </is>
      </c>
      <c r="AV421" t="inlineStr">
        <is>
          <t>14687896</t>
        </is>
      </c>
      <c r="AW421" t="inlineStr">
        <is>
          <t>991005047619702656</t>
        </is>
      </c>
      <c r="AX421" t="inlineStr">
        <is>
          <t>991005047619702656</t>
        </is>
      </c>
      <c r="AY421" t="inlineStr">
        <is>
          <t>2261722600002656</t>
        </is>
      </c>
      <c r="AZ421" t="inlineStr">
        <is>
          <t>BOOK</t>
        </is>
      </c>
      <c r="BB421" t="inlineStr">
        <is>
          <t>9780870219931</t>
        </is>
      </c>
      <c r="BC421" t="inlineStr">
        <is>
          <t>32285005280341</t>
        </is>
      </c>
      <c r="BD421" t="inlineStr">
        <is>
          <t>893722716</t>
        </is>
      </c>
    </row>
    <row r="422">
      <c r="A422" t="inlineStr">
        <is>
          <t>No</t>
        </is>
      </c>
      <c r="B422" t="inlineStr">
        <is>
          <t>ND497.R4 W3 1973</t>
        </is>
      </c>
      <c r="C422" t="inlineStr">
        <is>
          <t>0                      ND 0497000R  4                  W  3           1973</t>
        </is>
      </c>
      <c r="D422" t="inlineStr">
        <is>
          <t>Reynolds [by] Ellis Waterhouse.</t>
        </is>
      </c>
      <c r="F422" t="inlineStr">
        <is>
          <t>No</t>
        </is>
      </c>
      <c r="G422" t="inlineStr">
        <is>
          <t>1</t>
        </is>
      </c>
      <c r="H422" t="inlineStr">
        <is>
          <t>No</t>
        </is>
      </c>
      <c r="I422" t="inlineStr">
        <is>
          <t>No</t>
        </is>
      </c>
      <c r="J422" t="inlineStr">
        <is>
          <t>0</t>
        </is>
      </c>
      <c r="K422" t="inlineStr">
        <is>
          <t>Reynolds, Joshua, Sir, 1723-1792.</t>
        </is>
      </c>
      <c r="L422" t="inlineStr">
        <is>
          <t>[New York] Phaidon; [distributed by Praeger, 1973]</t>
        </is>
      </c>
      <c r="M422" t="inlineStr">
        <is>
          <t>1973</t>
        </is>
      </c>
      <c r="O422" t="inlineStr">
        <is>
          <t>eng</t>
        </is>
      </c>
      <c r="P422" t="inlineStr">
        <is>
          <t>nyu</t>
        </is>
      </c>
      <c r="R422" t="inlineStr">
        <is>
          <t xml:space="preserve">ND </t>
        </is>
      </c>
      <c r="S422" t="n">
        <v>5</v>
      </c>
      <c r="T422" t="n">
        <v>5</v>
      </c>
      <c r="U422" t="inlineStr">
        <is>
          <t>2000-09-25</t>
        </is>
      </c>
      <c r="V422" t="inlineStr">
        <is>
          <t>2000-09-25</t>
        </is>
      </c>
      <c r="W422" t="inlineStr">
        <is>
          <t>1992-02-07</t>
        </is>
      </c>
      <c r="X422" t="inlineStr">
        <is>
          <t>1992-02-07</t>
        </is>
      </c>
      <c r="Y422" t="n">
        <v>872</v>
      </c>
      <c r="Z422" t="n">
        <v>664</v>
      </c>
      <c r="AA422" t="n">
        <v>669</v>
      </c>
      <c r="AB422" t="n">
        <v>5</v>
      </c>
      <c r="AC422" t="n">
        <v>5</v>
      </c>
      <c r="AD422" t="n">
        <v>21</v>
      </c>
      <c r="AE422" t="n">
        <v>21</v>
      </c>
      <c r="AF422" t="n">
        <v>10</v>
      </c>
      <c r="AG422" t="n">
        <v>10</v>
      </c>
      <c r="AH422" t="n">
        <v>3</v>
      </c>
      <c r="AI422" t="n">
        <v>3</v>
      </c>
      <c r="AJ422" t="n">
        <v>9</v>
      </c>
      <c r="AK422" t="n">
        <v>9</v>
      </c>
      <c r="AL422" t="n">
        <v>3</v>
      </c>
      <c r="AM422" t="n">
        <v>3</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HYPERLINK("https://creighton-primo.hosted.exlibrisgroup.com/primo-explore/search?tab=default_tab&amp;search_scope=EVERYTHING&amp;vid=01CRU&amp;lang=en_US&amp;offset=0&amp;query=any,contains,991003221819702656","Catalog Record")</f>
        <v/>
      </c>
      <c r="AT422">
        <f>HYPERLINK("http://www.worldcat.org/oclc/746898","WorldCat Record")</f>
        <v/>
      </c>
      <c r="AU422" t="inlineStr">
        <is>
          <t>2260931679:eng</t>
        </is>
      </c>
      <c r="AV422" t="inlineStr">
        <is>
          <t>746898</t>
        </is>
      </c>
      <c r="AW422" t="inlineStr">
        <is>
          <t>991003221819702656</t>
        </is>
      </c>
      <c r="AX422" t="inlineStr">
        <is>
          <t>991003221819702656</t>
        </is>
      </c>
      <c r="AY422" t="inlineStr">
        <is>
          <t>2255538340002656</t>
        </is>
      </c>
      <c r="AZ422" t="inlineStr">
        <is>
          <t>BOOK</t>
        </is>
      </c>
      <c r="BB422" t="inlineStr">
        <is>
          <t>9780714815190</t>
        </is>
      </c>
      <c r="BC422" t="inlineStr">
        <is>
          <t>32285000945708</t>
        </is>
      </c>
      <c r="BD422" t="inlineStr">
        <is>
          <t>893686316</t>
        </is>
      </c>
    </row>
    <row r="423">
      <c r="A423" t="inlineStr">
        <is>
          <t>No</t>
        </is>
      </c>
      <c r="B423" t="inlineStr">
        <is>
          <t>ND497.R8 A9 1995</t>
        </is>
      </c>
      <c r="C423" t="inlineStr">
        <is>
          <t>0                      ND 0497000R  8                  A  9           1995</t>
        </is>
      </c>
      <c r="D423" t="inlineStr">
        <is>
          <t>Dante Gabriel Rossetti / Russell Ash.</t>
        </is>
      </c>
      <c r="F423" t="inlineStr">
        <is>
          <t>No</t>
        </is>
      </c>
      <c r="G423" t="inlineStr">
        <is>
          <t>1</t>
        </is>
      </c>
      <c r="H423" t="inlineStr">
        <is>
          <t>No</t>
        </is>
      </c>
      <c r="I423" t="inlineStr">
        <is>
          <t>No</t>
        </is>
      </c>
      <c r="J423" t="inlineStr">
        <is>
          <t>0</t>
        </is>
      </c>
      <c r="K423" t="inlineStr">
        <is>
          <t>Ash, Russell.</t>
        </is>
      </c>
      <c r="L423" t="inlineStr">
        <is>
          <t>New York : H.N. Abrams, 1995.</t>
        </is>
      </c>
      <c r="M423" t="inlineStr">
        <is>
          <t>1995</t>
        </is>
      </c>
      <c r="O423" t="inlineStr">
        <is>
          <t>eng</t>
        </is>
      </c>
      <c r="P423" t="inlineStr">
        <is>
          <t>nyu</t>
        </is>
      </c>
      <c r="R423" t="inlineStr">
        <is>
          <t xml:space="preserve">ND </t>
        </is>
      </c>
      <c r="S423" t="n">
        <v>4</v>
      </c>
      <c r="T423" t="n">
        <v>4</v>
      </c>
      <c r="U423" t="inlineStr">
        <is>
          <t>2005-03-15</t>
        </is>
      </c>
      <c r="V423" t="inlineStr">
        <is>
          <t>2005-03-15</t>
        </is>
      </c>
      <c r="W423" t="inlineStr">
        <is>
          <t>1996-06-24</t>
        </is>
      </c>
      <c r="X423" t="inlineStr">
        <is>
          <t>1996-06-24</t>
        </is>
      </c>
      <c r="Y423" t="n">
        <v>476</v>
      </c>
      <c r="Z423" t="n">
        <v>428</v>
      </c>
      <c r="AA423" t="n">
        <v>438</v>
      </c>
      <c r="AB423" t="n">
        <v>3</v>
      </c>
      <c r="AC423" t="n">
        <v>3</v>
      </c>
      <c r="AD423" t="n">
        <v>14</v>
      </c>
      <c r="AE423" t="n">
        <v>14</v>
      </c>
      <c r="AF423" t="n">
        <v>5</v>
      </c>
      <c r="AG423" t="n">
        <v>5</v>
      </c>
      <c r="AH423" t="n">
        <v>3</v>
      </c>
      <c r="AI423" t="n">
        <v>3</v>
      </c>
      <c r="AJ423" t="n">
        <v>9</v>
      </c>
      <c r="AK423" t="n">
        <v>9</v>
      </c>
      <c r="AL423" t="n">
        <v>2</v>
      </c>
      <c r="AM423" t="n">
        <v>2</v>
      </c>
      <c r="AN423" t="n">
        <v>0</v>
      </c>
      <c r="AO423" t="n">
        <v>0</v>
      </c>
      <c r="AP423" t="inlineStr">
        <is>
          <t>No</t>
        </is>
      </c>
      <c r="AQ423" t="inlineStr">
        <is>
          <t>Yes</t>
        </is>
      </c>
      <c r="AR423">
        <f>HYPERLINK("http://catalog.hathitrust.org/Record/004557133","HathiTrust Record")</f>
        <v/>
      </c>
      <c r="AS423">
        <f>HYPERLINK("https://creighton-primo.hosted.exlibrisgroup.com/primo-explore/search?tab=default_tab&amp;search_scope=EVERYTHING&amp;vid=01CRU&amp;lang=en_US&amp;offset=0&amp;query=any,contains,991002475329702656","Catalog Record")</f>
        <v/>
      </c>
      <c r="AT423">
        <f>HYPERLINK("http://www.worldcat.org/oclc/32236211","WorldCat Record")</f>
        <v/>
      </c>
      <c r="AU423" t="inlineStr">
        <is>
          <t>2070275029:eng</t>
        </is>
      </c>
      <c r="AV423" t="inlineStr">
        <is>
          <t>32236211</t>
        </is>
      </c>
      <c r="AW423" t="inlineStr">
        <is>
          <t>991002475329702656</t>
        </is>
      </c>
      <c r="AX423" t="inlineStr">
        <is>
          <t>991002475329702656</t>
        </is>
      </c>
      <c r="AY423" t="inlineStr">
        <is>
          <t>2266325460002656</t>
        </is>
      </c>
      <c r="AZ423" t="inlineStr">
        <is>
          <t>BOOK</t>
        </is>
      </c>
      <c r="BB423" t="inlineStr">
        <is>
          <t>9780810937840</t>
        </is>
      </c>
      <c r="BC423" t="inlineStr">
        <is>
          <t>32285002172483</t>
        </is>
      </c>
      <c r="BD423" t="inlineStr">
        <is>
          <t>893245227</t>
        </is>
      </c>
    </row>
    <row r="424">
      <c r="A424" t="inlineStr">
        <is>
          <t>No</t>
        </is>
      </c>
      <c r="B424" t="inlineStr">
        <is>
          <t>ND497.R8 R8 1970</t>
        </is>
      </c>
      <c r="C424" t="inlineStr">
        <is>
          <t>0                      ND 0497000R  8                  R  8           1970</t>
        </is>
      </c>
      <c r="D424" t="inlineStr">
        <is>
          <t>Dante Gabriel Rossetti as designer and writer. Notes by William Michael Rossetti, including a prose paraphrase of The house of life. London, New York, Cassell, 1889.</t>
        </is>
      </c>
      <c r="F424" t="inlineStr">
        <is>
          <t>No</t>
        </is>
      </c>
      <c r="G424" t="inlineStr">
        <is>
          <t>1</t>
        </is>
      </c>
      <c r="H424" t="inlineStr">
        <is>
          <t>No</t>
        </is>
      </c>
      <c r="I424" t="inlineStr">
        <is>
          <t>No</t>
        </is>
      </c>
      <c r="J424" t="inlineStr">
        <is>
          <t>0</t>
        </is>
      </c>
      <c r="K424" t="inlineStr">
        <is>
          <t>Rossetti, William Michael, 1829-1919.</t>
        </is>
      </c>
      <c r="L424" t="inlineStr">
        <is>
          <t>[New York, AMS Press, 1970]</t>
        </is>
      </c>
      <c r="M424" t="inlineStr">
        <is>
          <t>1970</t>
        </is>
      </c>
      <c r="O424" t="inlineStr">
        <is>
          <t>eng</t>
        </is>
      </c>
      <c r="P424" t="inlineStr">
        <is>
          <t>nyu</t>
        </is>
      </c>
      <c r="R424" t="inlineStr">
        <is>
          <t xml:space="preserve">ND </t>
        </is>
      </c>
      <c r="S424" t="n">
        <v>1</v>
      </c>
      <c r="T424" t="n">
        <v>1</v>
      </c>
      <c r="U424" t="inlineStr">
        <is>
          <t>1999-01-11</t>
        </is>
      </c>
      <c r="V424" t="inlineStr">
        <is>
          <t>1999-01-11</t>
        </is>
      </c>
      <c r="W424" t="inlineStr">
        <is>
          <t>1997-07-28</t>
        </is>
      </c>
      <c r="X424" t="inlineStr">
        <is>
          <t>1997-07-28</t>
        </is>
      </c>
      <c r="Y424" t="n">
        <v>128</v>
      </c>
      <c r="Z424" t="n">
        <v>109</v>
      </c>
      <c r="AA424" t="n">
        <v>308</v>
      </c>
      <c r="AB424" t="n">
        <v>2</v>
      </c>
      <c r="AC424" t="n">
        <v>4</v>
      </c>
      <c r="AD424" t="n">
        <v>4</v>
      </c>
      <c r="AE424" t="n">
        <v>15</v>
      </c>
      <c r="AF424" t="n">
        <v>2</v>
      </c>
      <c r="AG424" t="n">
        <v>3</v>
      </c>
      <c r="AH424" t="n">
        <v>0</v>
      </c>
      <c r="AI424" t="n">
        <v>3</v>
      </c>
      <c r="AJ424" t="n">
        <v>1</v>
      </c>
      <c r="AK424" t="n">
        <v>7</v>
      </c>
      <c r="AL424" t="n">
        <v>1</v>
      </c>
      <c r="AM424" t="n">
        <v>3</v>
      </c>
      <c r="AN424" t="n">
        <v>0</v>
      </c>
      <c r="AO424" t="n">
        <v>0</v>
      </c>
      <c r="AP424" t="inlineStr">
        <is>
          <t>No</t>
        </is>
      </c>
      <c r="AQ424" t="inlineStr">
        <is>
          <t>Yes</t>
        </is>
      </c>
      <c r="AR424">
        <f>HYPERLINK("http://catalog.hathitrust.org/Record/004504342","HathiTrust Record")</f>
        <v/>
      </c>
      <c r="AS424">
        <f>HYPERLINK("https://creighton-primo.hosted.exlibrisgroup.com/primo-explore/search?tab=default_tab&amp;search_scope=EVERYTHING&amp;vid=01CRU&amp;lang=en_US&amp;offset=0&amp;query=any,contains,991000885789702656","Catalog Record")</f>
        <v/>
      </c>
      <c r="AT424">
        <f>HYPERLINK("http://www.worldcat.org/oclc/152944","WorldCat Record")</f>
        <v/>
      </c>
      <c r="AU424" t="inlineStr">
        <is>
          <t>1862373050:eng</t>
        </is>
      </c>
      <c r="AV424" t="inlineStr">
        <is>
          <t>152944</t>
        </is>
      </c>
      <c r="AW424" t="inlineStr">
        <is>
          <t>991000885789702656</t>
        </is>
      </c>
      <c r="AX424" t="inlineStr">
        <is>
          <t>991000885789702656</t>
        </is>
      </c>
      <c r="AY424" t="inlineStr">
        <is>
          <t>2271814570002656</t>
        </is>
      </c>
      <c r="AZ424" t="inlineStr">
        <is>
          <t>BOOK</t>
        </is>
      </c>
      <c r="BB424" t="inlineStr">
        <is>
          <t>9780404054298</t>
        </is>
      </c>
      <c r="BC424" t="inlineStr">
        <is>
          <t>32285002967643</t>
        </is>
      </c>
      <c r="BD424" t="inlineStr">
        <is>
          <t>893225407</t>
        </is>
      </c>
    </row>
    <row r="425">
      <c r="A425" t="inlineStr">
        <is>
          <t>No</t>
        </is>
      </c>
      <c r="B425" t="inlineStr">
        <is>
          <t>ND497.S48 S56 1988</t>
        </is>
      </c>
      <c r="C425" t="inlineStr">
        <is>
          <t>0                      ND 0497000S  48                 S  56          1988</t>
        </is>
      </c>
      <c r="D425" t="inlineStr">
        <is>
          <t>Walter Sickert / Richard Shone.</t>
        </is>
      </c>
      <c r="F425" t="inlineStr">
        <is>
          <t>No</t>
        </is>
      </c>
      <c r="G425" t="inlineStr">
        <is>
          <t>1</t>
        </is>
      </c>
      <c r="H425" t="inlineStr">
        <is>
          <t>No</t>
        </is>
      </c>
      <c r="I425" t="inlineStr">
        <is>
          <t>No</t>
        </is>
      </c>
      <c r="J425" t="inlineStr">
        <is>
          <t>0</t>
        </is>
      </c>
      <c r="K425" t="inlineStr">
        <is>
          <t>Shone, Richard.</t>
        </is>
      </c>
      <c r="L425" t="inlineStr">
        <is>
          <t>Oxford : Phaidon, 1988.</t>
        </is>
      </c>
      <c r="M425" t="inlineStr">
        <is>
          <t>1988</t>
        </is>
      </c>
      <c r="O425" t="inlineStr">
        <is>
          <t>eng</t>
        </is>
      </c>
      <c r="P425" t="inlineStr">
        <is>
          <t>enk</t>
        </is>
      </c>
      <c r="R425" t="inlineStr">
        <is>
          <t xml:space="preserve">ND </t>
        </is>
      </c>
      <c r="S425" t="n">
        <v>1</v>
      </c>
      <c r="T425" t="n">
        <v>1</v>
      </c>
      <c r="U425" t="inlineStr">
        <is>
          <t>2002-04-08</t>
        </is>
      </c>
      <c r="V425" t="inlineStr">
        <is>
          <t>2002-04-08</t>
        </is>
      </c>
      <c r="W425" t="inlineStr">
        <is>
          <t>1989-11-16</t>
        </is>
      </c>
      <c r="X425" t="inlineStr">
        <is>
          <t>1989-11-16</t>
        </is>
      </c>
      <c r="Y425" t="n">
        <v>282</v>
      </c>
      <c r="Z425" t="n">
        <v>123</v>
      </c>
      <c r="AA425" t="n">
        <v>125</v>
      </c>
      <c r="AB425" t="n">
        <v>2</v>
      </c>
      <c r="AC425" t="n">
        <v>2</v>
      </c>
      <c r="AD425" t="n">
        <v>4</v>
      </c>
      <c r="AE425" t="n">
        <v>4</v>
      </c>
      <c r="AF425" t="n">
        <v>2</v>
      </c>
      <c r="AG425" t="n">
        <v>2</v>
      </c>
      <c r="AH425" t="n">
        <v>0</v>
      </c>
      <c r="AI425" t="n">
        <v>0</v>
      </c>
      <c r="AJ425" t="n">
        <v>3</v>
      </c>
      <c r="AK425" t="n">
        <v>3</v>
      </c>
      <c r="AL425" t="n">
        <v>1</v>
      </c>
      <c r="AM425" t="n">
        <v>1</v>
      </c>
      <c r="AN425" t="n">
        <v>0</v>
      </c>
      <c r="AO425" t="n">
        <v>0</v>
      </c>
      <c r="AP425" t="inlineStr">
        <is>
          <t>No</t>
        </is>
      </c>
      <c r="AQ425" t="inlineStr">
        <is>
          <t>Yes</t>
        </is>
      </c>
      <c r="AR425">
        <f>HYPERLINK("http://catalog.hathitrust.org/Record/000944887","HathiTrust Record")</f>
        <v/>
      </c>
      <c r="AS425">
        <f>HYPERLINK("https://creighton-primo.hosted.exlibrisgroup.com/primo-explore/search?tab=default_tab&amp;search_scope=EVERYTHING&amp;vid=01CRU&amp;lang=en_US&amp;offset=0&amp;query=any,contains,991001166759702656","Catalog Record")</f>
        <v/>
      </c>
      <c r="AT425">
        <f>HYPERLINK("http://www.worldcat.org/oclc/23868372","WorldCat Record")</f>
        <v/>
      </c>
      <c r="AU425" t="inlineStr">
        <is>
          <t>20210764:eng</t>
        </is>
      </c>
      <c r="AV425" t="inlineStr">
        <is>
          <t>23868372</t>
        </is>
      </c>
      <c r="AW425" t="inlineStr">
        <is>
          <t>991001166759702656</t>
        </is>
      </c>
      <c r="AX425" t="inlineStr">
        <is>
          <t>991001166759702656</t>
        </is>
      </c>
      <c r="AY425" t="inlineStr">
        <is>
          <t>2271146670002656</t>
        </is>
      </c>
      <c r="AZ425" t="inlineStr">
        <is>
          <t>BOOK</t>
        </is>
      </c>
      <c r="BB425" t="inlineStr">
        <is>
          <t>9780714824796</t>
        </is>
      </c>
      <c r="BC425" t="inlineStr">
        <is>
          <t>32285000013200</t>
        </is>
      </c>
      <c r="BD425" t="inlineStr">
        <is>
          <t>893496877</t>
        </is>
      </c>
    </row>
    <row r="426">
      <c r="A426" t="inlineStr">
        <is>
          <t>No</t>
        </is>
      </c>
      <c r="B426" t="inlineStr">
        <is>
          <t>ND497.S75 B45 1999</t>
        </is>
      </c>
      <c r="C426" t="inlineStr">
        <is>
          <t>0                      ND 0497000S  75                 B  45          1999</t>
        </is>
      </c>
      <c r="D426" t="inlineStr">
        <is>
          <t>Stanley Spencer / Keith Bell.</t>
        </is>
      </c>
      <c r="F426" t="inlineStr">
        <is>
          <t>No</t>
        </is>
      </c>
      <c r="G426" t="inlineStr">
        <is>
          <t>1</t>
        </is>
      </c>
      <c r="H426" t="inlineStr">
        <is>
          <t>No</t>
        </is>
      </c>
      <c r="I426" t="inlineStr">
        <is>
          <t>No</t>
        </is>
      </c>
      <c r="J426" t="inlineStr">
        <is>
          <t>0</t>
        </is>
      </c>
      <c r="K426" t="inlineStr">
        <is>
          <t>Bell, Keith.</t>
        </is>
      </c>
      <c r="L426" t="inlineStr">
        <is>
          <t>London : Phaidon, 1999.</t>
        </is>
      </c>
      <c r="M426" t="inlineStr">
        <is>
          <t>1999</t>
        </is>
      </c>
      <c r="N426" t="inlineStr">
        <is>
          <t>Abridged pbk. ed.</t>
        </is>
      </c>
      <c r="O426" t="inlineStr">
        <is>
          <t>eng</t>
        </is>
      </c>
      <c r="P426" t="inlineStr">
        <is>
          <t>enk</t>
        </is>
      </c>
      <c r="R426" t="inlineStr">
        <is>
          <t xml:space="preserve">ND </t>
        </is>
      </c>
      <c r="S426" t="n">
        <v>1</v>
      </c>
      <c r="T426" t="n">
        <v>1</v>
      </c>
      <c r="U426" t="inlineStr">
        <is>
          <t>2003-08-19</t>
        </is>
      </c>
      <c r="V426" t="inlineStr">
        <is>
          <t>2003-08-19</t>
        </is>
      </c>
      <c r="W426" t="inlineStr">
        <is>
          <t>2003-08-19</t>
        </is>
      </c>
      <c r="X426" t="inlineStr">
        <is>
          <t>2003-08-19</t>
        </is>
      </c>
      <c r="Y426" t="n">
        <v>214</v>
      </c>
      <c r="Z426" t="n">
        <v>105</v>
      </c>
      <c r="AA426" t="n">
        <v>105</v>
      </c>
      <c r="AB426" t="n">
        <v>2</v>
      </c>
      <c r="AC426" t="n">
        <v>2</v>
      </c>
      <c r="AD426" t="n">
        <v>5</v>
      </c>
      <c r="AE426" t="n">
        <v>5</v>
      </c>
      <c r="AF426" t="n">
        <v>1</v>
      </c>
      <c r="AG426" t="n">
        <v>1</v>
      </c>
      <c r="AH426" t="n">
        <v>1</v>
      </c>
      <c r="AI426" t="n">
        <v>1</v>
      </c>
      <c r="AJ426" t="n">
        <v>2</v>
      </c>
      <c r="AK426" t="n">
        <v>2</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HYPERLINK("https://creighton-primo.hosted.exlibrisgroup.com/primo-explore/search?tab=default_tab&amp;search_scope=EVERYTHING&amp;vid=01CRU&amp;lang=en_US&amp;offset=0&amp;query=any,contains,991004101209702656","Catalog Record")</f>
        <v/>
      </c>
      <c r="AT426">
        <f>HYPERLINK("http://www.worldcat.org/oclc/41466978","WorldCat Record")</f>
        <v/>
      </c>
      <c r="AU426" t="inlineStr">
        <is>
          <t>2261098009:eng</t>
        </is>
      </c>
      <c r="AV426" t="inlineStr">
        <is>
          <t>41466978</t>
        </is>
      </c>
      <c r="AW426" t="inlineStr">
        <is>
          <t>991004101209702656</t>
        </is>
      </c>
      <c r="AX426" t="inlineStr">
        <is>
          <t>991004101209702656</t>
        </is>
      </c>
      <c r="AY426" t="inlineStr">
        <is>
          <t>2271512780002656</t>
        </is>
      </c>
      <c r="AZ426" t="inlineStr">
        <is>
          <t>BOOK</t>
        </is>
      </c>
      <c r="BB426" t="inlineStr">
        <is>
          <t>9780714838908</t>
        </is>
      </c>
      <c r="BC426" t="inlineStr">
        <is>
          <t>32285004759956</t>
        </is>
      </c>
      <c r="BD426" t="inlineStr">
        <is>
          <t>893535813</t>
        </is>
      </c>
    </row>
    <row r="427">
      <c r="A427" t="inlineStr">
        <is>
          <t>No</t>
        </is>
      </c>
      <c r="B427" t="inlineStr">
        <is>
          <t>ND497.T8 C85 1990</t>
        </is>
      </c>
      <c r="C427" t="inlineStr">
        <is>
          <t>0                      ND 0497000T  8                  C  85          1990</t>
        </is>
      </c>
      <c r="D427" t="inlineStr">
        <is>
          <t>Discovering Turner / Robert Cumming.</t>
        </is>
      </c>
      <c r="F427" t="inlineStr">
        <is>
          <t>No</t>
        </is>
      </c>
      <c r="G427" t="inlineStr">
        <is>
          <t>1</t>
        </is>
      </c>
      <c r="H427" t="inlineStr">
        <is>
          <t>No</t>
        </is>
      </c>
      <c r="I427" t="inlineStr">
        <is>
          <t>No</t>
        </is>
      </c>
      <c r="J427" t="inlineStr">
        <is>
          <t>0</t>
        </is>
      </c>
      <c r="K427" t="inlineStr">
        <is>
          <t>Cumming, Robert, 1943-</t>
        </is>
      </c>
      <c r="L427" t="inlineStr">
        <is>
          <t>London : Tate Gallery, 1990.</t>
        </is>
      </c>
      <c r="M427" t="inlineStr">
        <is>
          <t>1990</t>
        </is>
      </c>
      <c r="O427" t="inlineStr">
        <is>
          <t>eng</t>
        </is>
      </c>
      <c r="P427" t="inlineStr">
        <is>
          <t>enk</t>
        </is>
      </c>
      <c r="R427" t="inlineStr">
        <is>
          <t xml:space="preserve">ND </t>
        </is>
      </c>
      <c r="S427" t="n">
        <v>2</v>
      </c>
      <c r="T427" t="n">
        <v>2</v>
      </c>
      <c r="U427" t="inlineStr">
        <is>
          <t>1999-09-07</t>
        </is>
      </c>
      <c r="V427" t="inlineStr">
        <is>
          <t>1999-09-07</t>
        </is>
      </c>
      <c r="W427" t="inlineStr">
        <is>
          <t>1991-07-10</t>
        </is>
      </c>
      <c r="X427" t="inlineStr">
        <is>
          <t>1991-07-10</t>
        </is>
      </c>
      <c r="Y427" t="n">
        <v>130</v>
      </c>
      <c r="Z427" t="n">
        <v>103</v>
      </c>
      <c r="AA427" t="n">
        <v>105</v>
      </c>
      <c r="AB427" t="n">
        <v>2</v>
      </c>
      <c r="AC427" t="n">
        <v>2</v>
      </c>
      <c r="AD427" t="n">
        <v>3</v>
      </c>
      <c r="AE427" t="n">
        <v>3</v>
      </c>
      <c r="AF427" t="n">
        <v>0</v>
      </c>
      <c r="AG427" t="n">
        <v>0</v>
      </c>
      <c r="AH427" t="n">
        <v>1</v>
      </c>
      <c r="AI427" t="n">
        <v>1</v>
      </c>
      <c r="AJ427" t="n">
        <v>2</v>
      </c>
      <c r="AK427" t="n">
        <v>2</v>
      </c>
      <c r="AL427" t="n">
        <v>1</v>
      </c>
      <c r="AM427" t="n">
        <v>1</v>
      </c>
      <c r="AN427" t="n">
        <v>0</v>
      </c>
      <c r="AO427" t="n">
        <v>0</v>
      </c>
      <c r="AP427" t="inlineStr">
        <is>
          <t>No</t>
        </is>
      </c>
      <c r="AQ427" t="inlineStr">
        <is>
          <t>Yes</t>
        </is>
      </c>
      <c r="AR427">
        <f>HYPERLINK("http://catalog.hathitrust.org/Record/002426422","HathiTrust Record")</f>
        <v/>
      </c>
      <c r="AS427">
        <f>HYPERLINK("https://creighton-primo.hosted.exlibrisgroup.com/primo-explore/search?tab=default_tab&amp;search_scope=EVERYTHING&amp;vid=01CRU&amp;lang=en_US&amp;offset=0&amp;query=any,contains,991001801069702656","Catalog Record")</f>
        <v/>
      </c>
      <c r="AT427">
        <f>HYPERLINK("http://www.worldcat.org/oclc/22633910","WorldCat Record")</f>
        <v/>
      </c>
      <c r="AU427" t="inlineStr">
        <is>
          <t>24422723:eng</t>
        </is>
      </c>
      <c r="AV427" t="inlineStr">
        <is>
          <t>22633910</t>
        </is>
      </c>
      <c r="AW427" t="inlineStr">
        <is>
          <t>991001801069702656</t>
        </is>
      </c>
      <c r="AX427" t="inlineStr">
        <is>
          <t>991001801069702656</t>
        </is>
      </c>
      <c r="AY427" t="inlineStr">
        <is>
          <t>2268567140002656</t>
        </is>
      </c>
      <c r="AZ427" t="inlineStr">
        <is>
          <t>BOOK</t>
        </is>
      </c>
      <c r="BB427" t="inlineStr">
        <is>
          <t>9781854370396</t>
        </is>
      </c>
      <c r="BC427" t="inlineStr">
        <is>
          <t>32285000660604</t>
        </is>
      </c>
      <c r="BD427" t="inlineStr">
        <is>
          <t>893690927</t>
        </is>
      </c>
    </row>
    <row r="428">
      <c r="A428" t="inlineStr">
        <is>
          <t>No</t>
        </is>
      </c>
      <c r="B428" t="inlineStr">
        <is>
          <t>ND497.T8 H42 1975b</t>
        </is>
      </c>
      <c r="C428" t="inlineStr">
        <is>
          <t>0                      ND 0497000T  8                  H  42          1975b</t>
        </is>
      </c>
      <c r="D428" t="inlineStr">
        <is>
          <t>Turner : paintings, watercolors, prints &amp; drawings / [text by] Luke Herrmann.</t>
        </is>
      </c>
      <c r="F428" t="inlineStr">
        <is>
          <t>No</t>
        </is>
      </c>
      <c r="G428" t="inlineStr">
        <is>
          <t>1</t>
        </is>
      </c>
      <c r="H428" t="inlineStr">
        <is>
          <t>No</t>
        </is>
      </c>
      <c r="I428" t="inlineStr">
        <is>
          <t>No</t>
        </is>
      </c>
      <c r="J428" t="inlineStr">
        <is>
          <t>0</t>
        </is>
      </c>
      <c r="K428" t="inlineStr">
        <is>
          <t>Turner, J. M. W. (Joseph Mallord William), 1775-1851.</t>
        </is>
      </c>
      <c r="L428" t="inlineStr">
        <is>
          <t>Boston : New York Graphic Society, 1975.</t>
        </is>
      </c>
      <c r="M428" t="inlineStr">
        <is>
          <t>1975</t>
        </is>
      </c>
      <c r="O428" t="inlineStr">
        <is>
          <t>eng</t>
        </is>
      </c>
      <c r="P428" t="inlineStr">
        <is>
          <t>mau</t>
        </is>
      </c>
      <c r="R428" t="inlineStr">
        <is>
          <t xml:space="preserve">ND </t>
        </is>
      </c>
      <c r="S428" t="n">
        <v>3</v>
      </c>
      <c r="T428" t="n">
        <v>3</v>
      </c>
      <c r="U428" t="inlineStr">
        <is>
          <t>1999-01-17</t>
        </is>
      </c>
      <c r="V428" t="inlineStr">
        <is>
          <t>1999-01-17</t>
        </is>
      </c>
      <c r="W428" t="inlineStr">
        <is>
          <t>1994-08-22</t>
        </is>
      </c>
      <c r="X428" t="inlineStr">
        <is>
          <t>1994-08-22</t>
        </is>
      </c>
      <c r="Y428" t="n">
        <v>840</v>
      </c>
      <c r="Z428" t="n">
        <v>806</v>
      </c>
      <c r="AA428" t="n">
        <v>821</v>
      </c>
      <c r="AB428" t="n">
        <v>4</v>
      </c>
      <c r="AC428" t="n">
        <v>5</v>
      </c>
      <c r="AD428" t="n">
        <v>24</v>
      </c>
      <c r="AE428" t="n">
        <v>26</v>
      </c>
      <c r="AF428" t="n">
        <v>13</v>
      </c>
      <c r="AG428" t="n">
        <v>13</v>
      </c>
      <c r="AH428" t="n">
        <v>4</v>
      </c>
      <c r="AI428" t="n">
        <v>4</v>
      </c>
      <c r="AJ428" t="n">
        <v>7</v>
      </c>
      <c r="AK428" t="n">
        <v>8</v>
      </c>
      <c r="AL428" t="n">
        <v>3</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HYPERLINK("https://creighton-primo.hosted.exlibrisgroup.com/primo-explore/search?tab=default_tab&amp;search_scope=EVERYTHING&amp;vid=01CRU&amp;lang=en_US&amp;offset=0&amp;query=any,contains,991003897949702656","Catalog Record")</f>
        <v/>
      </c>
      <c r="AT428">
        <f>HYPERLINK("http://www.worldcat.org/oclc/1816748","WorldCat Record")</f>
        <v/>
      </c>
      <c r="AU428" t="inlineStr">
        <is>
          <t>5609539610:eng</t>
        </is>
      </c>
      <c r="AV428" t="inlineStr">
        <is>
          <t>1816748</t>
        </is>
      </c>
      <c r="AW428" t="inlineStr">
        <is>
          <t>991003897949702656</t>
        </is>
      </c>
      <c r="AX428" t="inlineStr">
        <is>
          <t>991003897949702656</t>
        </is>
      </c>
      <c r="AY428" t="inlineStr">
        <is>
          <t>2270225850002656</t>
        </is>
      </c>
      <c r="AZ428" t="inlineStr">
        <is>
          <t>BOOK</t>
        </is>
      </c>
      <c r="BB428" t="inlineStr">
        <is>
          <t>9780821206577</t>
        </is>
      </c>
      <c r="BC428" t="inlineStr">
        <is>
          <t>32285001938256</t>
        </is>
      </c>
      <c r="BD428" t="inlineStr">
        <is>
          <t>893617971</t>
        </is>
      </c>
    </row>
    <row r="429">
      <c r="A429" t="inlineStr">
        <is>
          <t>No</t>
        </is>
      </c>
      <c r="B429" t="inlineStr">
        <is>
          <t>ND497.T8 T37 1989</t>
        </is>
      </c>
      <c r="C429" t="inlineStr">
        <is>
          <t>0                      ND 0497000T  8                  T  37          1989</t>
        </is>
      </c>
      <c r="D429" t="inlineStr">
        <is>
          <t>Turner : the second decade : watercolours and drawings from the Turner Bequest, 1800-1810 / Robert Upstone.</t>
        </is>
      </c>
      <c r="F429" t="inlineStr">
        <is>
          <t>No</t>
        </is>
      </c>
      <c r="G429" t="inlineStr">
        <is>
          <t>1</t>
        </is>
      </c>
      <c r="H429" t="inlineStr">
        <is>
          <t>No</t>
        </is>
      </c>
      <c r="I429" t="inlineStr">
        <is>
          <t>No</t>
        </is>
      </c>
      <c r="J429" t="inlineStr">
        <is>
          <t>0</t>
        </is>
      </c>
      <c r="K429" t="inlineStr">
        <is>
          <t>Tate Gallery.</t>
        </is>
      </c>
      <c r="L429" t="inlineStr">
        <is>
          <t>London : Tate Gallery, c1989.</t>
        </is>
      </c>
      <c r="M429" t="inlineStr">
        <is>
          <t>1989</t>
        </is>
      </c>
      <c r="O429" t="inlineStr">
        <is>
          <t>eng</t>
        </is>
      </c>
      <c r="P429" t="inlineStr">
        <is>
          <t>enk</t>
        </is>
      </c>
      <c r="R429" t="inlineStr">
        <is>
          <t xml:space="preserve">ND </t>
        </is>
      </c>
      <c r="S429" t="n">
        <v>3</v>
      </c>
      <c r="T429" t="n">
        <v>3</v>
      </c>
      <c r="U429" t="inlineStr">
        <is>
          <t>1999-09-07</t>
        </is>
      </c>
      <c r="V429" t="inlineStr">
        <is>
          <t>1999-09-07</t>
        </is>
      </c>
      <c r="W429" t="inlineStr">
        <is>
          <t>1992-05-26</t>
        </is>
      </c>
      <c r="X429" t="inlineStr">
        <is>
          <t>1992-05-26</t>
        </is>
      </c>
      <c r="Y429" t="n">
        <v>271</v>
      </c>
      <c r="Z429" t="n">
        <v>176</v>
      </c>
      <c r="AA429" t="n">
        <v>183</v>
      </c>
      <c r="AB429" t="n">
        <v>2</v>
      </c>
      <c r="AC429" t="n">
        <v>2</v>
      </c>
      <c r="AD429" t="n">
        <v>3</v>
      </c>
      <c r="AE429" t="n">
        <v>3</v>
      </c>
      <c r="AF429" t="n">
        <v>0</v>
      </c>
      <c r="AG429" t="n">
        <v>0</v>
      </c>
      <c r="AH429" t="n">
        <v>0</v>
      </c>
      <c r="AI429" t="n">
        <v>0</v>
      </c>
      <c r="AJ429" t="n">
        <v>3</v>
      </c>
      <c r="AK429" t="n">
        <v>3</v>
      </c>
      <c r="AL429" t="n">
        <v>0</v>
      </c>
      <c r="AM429" t="n">
        <v>0</v>
      </c>
      <c r="AN429" t="n">
        <v>0</v>
      </c>
      <c r="AO429" t="n">
        <v>0</v>
      </c>
      <c r="AP429" t="inlineStr">
        <is>
          <t>No</t>
        </is>
      </c>
      <c r="AQ429" t="inlineStr">
        <is>
          <t>Yes</t>
        </is>
      </c>
      <c r="AR429">
        <f>HYPERLINK("http://catalog.hathitrust.org/Record/001814428","HathiTrust Record")</f>
        <v/>
      </c>
      <c r="AS429">
        <f>HYPERLINK("https://creighton-primo.hosted.exlibrisgroup.com/primo-explore/search?tab=default_tab&amp;search_scope=EVERYTHING&amp;vid=01CRU&amp;lang=en_US&amp;offset=0&amp;query=any,contains,991001687659702656","Catalog Record")</f>
        <v/>
      </c>
      <c r="AT429">
        <f>HYPERLINK("http://www.worldcat.org/oclc/28291066","WorldCat Record")</f>
        <v/>
      </c>
      <c r="AU429" t="inlineStr">
        <is>
          <t>3857250197:eng</t>
        </is>
      </c>
      <c r="AV429" t="inlineStr">
        <is>
          <t>28291066</t>
        </is>
      </c>
      <c r="AW429" t="inlineStr">
        <is>
          <t>991001687659702656</t>
        </is>
      </c>
      <c r="AX429" t="inlineStr">
        <is>
          <t>991001687659702656</t>
        </is>
      </c>
      <c r="AY429" t="inlineStr">
        <is>
          <t>2272235650002656</t>
        </is>
      </c>
      <c r="AZ429" t="inlineStr">
        <is>
          <t>BOOK</t>
        </is>
      </c>
      <c r="BB429" t="inlineStr">
        <is>
          <t>9781854370068</t>
        </is>
      </c>
      <c r="BC429" t="inlineStr">
        <is>
          <t>32285001118461</t>
        </is>
      </c>
      <c r="BD429" t="inlineStr">
        <is>
          <t>893785312</t>
        </is>
      </c>
    </row>
    <row r="430">
      <c r="A430" t="inlineStr">
        <is>
          <t>No</t>
        </is>
      </c>
      <c r="B430" t="inlineStr">
        <is>
          <t>ND497.W3 C5</t>
        </is>
      </c>
      <c r="C430" t="inlineStr">
        <is>
          <t>0                      ND 0497000W  3                  C  5</t>
        </is>
      </c>
      <c r="D430" t="inlineStr">
        <is>
          <t>G.F. Watts / by G.K. Chesterton.</t>
        </is>
      </c>
      <c r="F430" t="inlineStr">
        <is>
          <t>No</t>
        </is>
      </c>
      <c r="G430" t="inlineStr">
        <is>
          <t>1</t>
        </is>
      </c>
      <c r="H430" t="inlineStr">
        <is>
          <t>No</t>
        </is>
      </c>
      <c r="I430" t="inlineStr">
        <is>
          <t>No</t>
        </is>
      </c>
      <c r="J430" t="inlineStr">
        <is>
          <t>0</t>
        </is>
      </c>
      <c r="K430" t="inlineStr">
        <is>
          <t>Chesterton, G. K. (Gilbert Keith), 1874-1936.</t>
        </is>
      </c>
      <c r="L430" t="inlineStr">
        <is>
          <t>London : Duckworth ; New York : E.P. Dutton, 1904.</t>
        </is>
      </c>
      <c r="M430" t="inlineStr">
        <is>
          <t>1904</t>
        </is>
      </c>
      <c r="O430" t="inlineStr">
        <is>
          <t>eng</t>
        </is>
      </c>
      <c r="P430" t="inlineStr">
        <is>
          <t>enk</t>
        </is>
      </c>
      <c r="Q430" t="inlineStr">
        <is>
          <t>The Popular library of art</t>
        </is>
      </c>
      <c r="R430" t="inlineStr">
        <is>
          <t xml:space="preserve">ND </t>
        </is>
      </c>
      <c r="S430" t="n">
        <v>4</v>
      </c>
      <c r="T430" t="n">
        <v>4</v>
      </c>
      <c r="U430" t="inlineStr">
        <is>
          <t>1999-12-23</t>
        </is>
      </c>
      <c r="V430" t="inlineStr">
        <is>
          <t>1999-12-23</t>
        </is>
      </c>
      <c r="W430" t="inlineStr">
        <is>
          <t>1997-07-28</t>
        </is>
      </c>
      <c r="X430" t="inlineStr">
        <is>
          <t>1997-07-28</t>
        </is>
      </c>
      <c r="Y430" t="n">
        <v>251</v>
      </c>
      <c r="Z430" t="n">
        <v>193</v>
      </c>
      <c r="AA430" t="n">
        <v>457</v>
      </c>
      <c r="AB430" t="n">
        <v>2</v>
      </c>
      <c r="AC430" t="n">
        <v>3</v>
      </c>
      <c r="AD430" t="n">
        <v>14</v>
      </c>
      <c r="AE430" t="n">
        <v>27</v>
      </c>
      <c r="AF430" t="n">
        <v>4</v>
      </c>
      <c r="AG430" t="n">
        <v>10</v>
      </c>
      <c r="AH430" t="n">
        <v>4</v>
      </c>
      <c r="AI430" t="n">
        <v>6</v>
      </c>
      <c r="AJ430" t="n">
        <v>12</v>
      </c>
      <c r="AK430" t="n">
        <v>19</v>
      </c>
      <c r="AL430" t="n">
        <v>0</v>
      </c>
      <c r="AM430" t="n">
        <v>1</v>
      </c>
      <c r="AN430" t="n">
        <v>0</v>
      </c>
      <c r="AO430" t="n">
        <v>0</v>
      </c>
      <c r="AP430" t="inlineStr">
        <is>
          <t>Yes</t>
        </is>
      </c>
      <c r="AQ430" t="inlineStr">
        <is>
          <t>No</t>
        </is>
      </c>
      <c r="AR430">
        <f>HYPERLINK("http://catalog.hathitrust.org/Record/000374470","HathiTrust Record")</f>
        <v/>
      </c>
      <c r="AS430">
        <f>HYPERLINK("https://creighton-primo.hosted.exlibrisgroup.com/primo-explore/search?tab=default_tab&amp;search_scope=EVERYTHING&amp;vid=01CRU&amp;lang=en_US&amp;offset=0&amp;query=any,contains,991002087309702656","Catalog Record")</f>
        <v/>
      </c>
      <c r="AT430">
        <f>HYPERLINK("http://www.worldcat.org/oclc/26773336","WorldCat Record")</f>
        <v/>
      </c>
      <c r="AU430" t="inlineStr">
        <is>
          <t>1599075:eng</t>
        </is>
      </c>
      <c r="AV430" t="inlineStr">
        <is>
          <t>26773336</t>
        </is>
      </c>
      <c r="AW430" t="inlineStr">
        <is>
          <t>991002087309702656</t>
        </is>
      </c>
      <c r="AX430" t="inlineStr">
        <is>
          <t>991002087309702656</t>
        </is>
      </c>
      <c r="AY430" t="inlineStr">
        <is>
          <t>2262872210002656</t>
        </is>
      </c>
      <c r="AZ430" t="inlineStr">
        <is>
          <t>BOOK</t>
        </is>
      </c>
      <c r="BC430" t="inlineStr">
        <is>
          <t>32285002967684</t>
        </is>
      </c>
      <c r="BD430" t="inlineStr">
        <is>
          <t>893352149</t>
        </is>
      </c>
    </row>
    <row r="431">
      <c r="A431" t="inlineStr">
        <is>
          <t>No</t>
        </is>
      </c>
      <c r="B431" t="inlineStr">
        <is>
          <t>ND497.W8 E33 1990</t>
        </is>
      </c>
      <c r="C431" t="inlineStr">
        <is>
          <t>0                      ND 0497000W  8                  E  33          1990</t>
        </is>
      </c>
      <c r="D431" t="inlineStr">
        <is>
          <t>Wright of Derby / Judy Egerton.</t>
        </is>
      </c>
      <c r="F431" t="inlineStr">
        <is>
          <t>No</t>
        </is>
      </c>
      <c r="G431" t="inlineStr">
        <is>
          <t>1</t>
        </is>
      </c>
      <c r="H431" t="inlineStr">
        <is>
          <t>No</t>
        </is>
      </c>
      <c r="I431" t="inlineStr">
        <is>
          <t>No</t>
        </is>
      </c>
      <c r="J431" t="inlineStr">
        <is>
          <t>0</t>
        </is>
      </c>
      <c r="K431" t="inlineStr">
        <is>
          <t>Egerton, Judy.</t>
        </is>
      </c>
      <c r="L431" t="inlineStr">
        <is>
          <t>New York : Metropolitan Museum of Art ; London : Tate Gallery Publications, 1990.</t>
        </is>
      </c>
      <c r="M431" t="inlineStr">
        <is>
          <t>1990</t>
        </is>
      </c>
      <c r="O431" t="inlineStr">
        <is>
          <t>eng</t>
        </is>
      </c>
      <c r="P431" t="inlineStr">
        <is>
          <t>nyu</t>
        </is>
      </c>
      <c r="R431" t="inlineStr">
        <is>
          <t xml:space="preserve">ND </t>
        </is>
      </c>
      <c r="S431" t="n">
        <v>1</v>
      </c>
      <c r="T431" t="n">
        <v>1</v>
      </c>
      <c r="U431" t="inlineStr">
        <is>
          <t>2010-06-10</t>
        </is>
      </c>
      <c r="V431" t="inlineStr">
        <is>
          <t>2010-06-10</t>
        </is>
      </c>
      <c r="W431" t="inlineStr">
        <is>
          <t>2010-06-10</t>
        </is>
      </c>
      <c r="X431" t="inlineStr">
        <is>
          <t>2010-06-10</t>
        </is>
      </c>
      <c r="Y431" t="n">
        <v>250</v>
      </c>
      <c r="Z431" t="n">
        <v>237</v>
      </c>
      <c r="AA431" t="n">
        <v>325</v>
      </c>
      <c r="AB431" t="n">
        <v>3</v>
      </c>
      <c r="AC431" t="n">
        <v>4</v>
      </c>
      <c r="AD431" t="n">
        <v>9</v>
      </c>
      <c r="AE431" t="n">
        <v>14</v>
      </c>
      <c r="AF431" t="n">
        <v>3</v>
      </c>
      <c r="AG431" t="n">
        <v>5</v>
      </c>
      <c r="AH431" t="n">
        <v>4</v>
      </c>
      <c r="AI431" t="n">
        <v>5</v>
      </c>
      <c r="AJ431" t="n">
        <v>4</v>
      </c>
      <c r="AK431" t="n">
        <v>7</v>
      </c>
      <c r="AL431" t="n">
        <v>1</v>
      </c>
      <c r="AM431" t="n">
        <v>2</v>
      </c>
      <c r="AN431" t="n">
        <v>0</v>
      </c>
      <c r="AO431" t="n">
        <v>0</v>
      </c>
      <c r="AP431" t="inlineStr">
        <is>
          <t>No</t>
        </is>
      </c>
      <c r="AQ431" t="inlineStr">
        <is>
          <t>Yes</t>
        </is>
      </c>
      <c r="AR431">
        <f>HYPERLINK("http://catalog.hathitrust.org/Record/002501002","HathiTrust Record")</f>
        <v/>
      </c>
      <c r="AS431">
        <f>HYPERLINK("https://creighton-primo.hosted.exlibrisgroup.com/primo-explore/search?tab=default_tab&amp;search_scope=EVERYTHING&amp;vid=01CRU&amp;lang=en_US&amp;offset=0&amp;query=any,contains,991000007809702656","Catalog Record")</f>
        <v/>
      </c>
      <c r="AT431">
        <f>HYPERLINK("http://www.worldcat.org/oclc/23071932","WorldCat Record")</f>
        <v/>
      </c>
      <c r="AU431" t="inlineStr">
        <is>
          <t>321322887:eng</t>
        </is>
      </c>
      <c r="AV431" t="inlineStr">
        <is>
          <t>23071932</t>
        </is>
      </c>
      <c r="AW431" t="inlineStr">
        <is>
          <t>991000007809702656</t>
        </is>
      </c>
      <c r="AX431" t="inlineStr">
        <is>
          <t>991000007809702656</t>
        </is>
      </c>
      <c r="AY431" t="inlineStr">
        <is>
          <t>2255661740002656</t>
        </is>
      </c>
      <c r="AZ431" t="inlineStr">
        <is>
          <t>BOOK</t>
        </is>
      </c>
      <c r="BC431" t="inlineStr">
        <is>
          <t>32285005587794</t>
        </is>
      </c>
      <c r="BD431" t="inlineStr">
        <is>
          <t>893871315</t>
        </is>
      </c>
    </row>
    <row r="432">
      <c r="A432" t="inlineStr">
        <is>
          <t>No</t>
        </is>
      </c>
      <c r="B432" t="inlineStr">
        <is>
          <t>ND50 .J33</t>
        </is>
      </c>
      <c r="C432" t="inlineStr">
        <is>
          <t>0                      ND 0050000J  33</t>
        </is>
      </c>
      <c r="D432" t="inlineStr">
        <is>
          <t>The picture history of painting, from cave painting to modern times / [by] H. W. Janson &amp; Dora Jane Janson.</t>
        </is>
      </c>
      <c r="F432" t="inlineStr">
        <is>
          <t>No</t>
        </is>
      </c>
      <c r="G432" t="inlineStr">
        <is>
          <t>1</t>
        </is>
      </c>
      <c r="H432" t="inlineStr">
        <is>
          <t>No</t>
        </is>
      </c>
      <c r="I432" t="inlineStr">
        <is>
          <t>No</t>
        </is>
      </c>
      <c r="J432" t="inlineStr">
        <is>
          <t>0</t>
        </is>
      </c>
      <c r="K432" t="inlineStr">
        <is>
          <t>Janson, H. W. (Horst Woldemar), 1913-1982.</t>
        </is>
      </c>
      <c r="L432" t="inlineStr">
        <is>
          <t>New York : H. N. Abrams, [1957]</t>
        </is>
      </c>
      <c r="M432" t="inlineStr">
        <is>
          <t>1957</t>
        </is>
      </c>
      <c r="N432" t="inlineStr">
        <is>
          <t>[1st ed.]</t>
        </is>
      </c>
      <c r="O432" t="inlineStr">
        <is>
          <t>eng</t>
        </is>
      </c>
      <c r="P432" t="inlineStr">
        <is>
          <t>nyu</t>
        </is>
      </c>
      <c r="R432" t="inlineStr">
        <is>
          <t xml:space="preserve">ND </t>
        </is>
      </c>
      <c r="S432" t="n">
        <v>2</v>
      </c>
      <c r="T432" t="n">
        <v>2</v>
      </c>
      <c r="U432" t="inlineStr">
        <is>
          <t>1993-11-12</t>
        </is>
      </c>
      <c r="V432" t="inlineStr">
        <is>
          <t>1993-11-12</t>
        </is>
      </c>
      <c r="W432" t="inlineStr">
        <is>
          <t>1992-09-14</t>
        </is>
      </c>
      <c r="X432" t="inlineStr">
        <is>
          <t>1992-09-14</t>
        </is>
      </c>
      <c r="Y432" t="n">
        <v>1705</v>
      </c>
      <c r="Z432" t="n">
        <v>1613</v>
      </c>
      <c r="AA432" t="n">
        <v>1679</v>
      </c>
      <c r="AB432" t="n">
        <v>13</v>
      </c>
      <c r="AC432" t="n">
        <v>14</v>
      </c>
      <c r="AD432" t="n">
        <v>49</v>
      </c>
      <c r="AE432" t="n">
        <v>49</v>
      </c>
      <c r="AF432" t="n">
        <v>18</v>
      </c>
      <c r="AG432" t="n">
        <v>18</v>
      </c>
      <c r="AH432" t="n">
        <v>10</v>
      </c>
      <c r="AI432" t="n">
        <v>10</v>
      </c>
      <c r="AJ432" t="n">
        <v>23</v>
      </c>
      <c r="AK432" t="n">
        <v>23</v>
      </c>
      <c r="AL432" t="n">
        <v>8</v>
      </c>
      <c r="AM432" t="n">
        <v>8</v>
      </c>
      <c r="AN432" t="n">
        <v>0</v>
      </c>
      <c r="AO432" t="n">
        <v>0</v>
      </c>
      <c r="AP432" t="inlineStr">
        <is>
          <t>No</t>
        </is>
      </c>
      <c r="AQ432" t="inlineStr">
        <is>
          <t>No</t>
        </is>
      </c>
      <c r="AR432">
        <f>HYPERLINK("http://catalog.hathitrust.org/Record/000345416","HathiTrust Record")</f>
        <v/>
      </c>
      <c r="AS432">
        <f>HYPERLINK("https://creighton-primo.hosted.exlibrisgroup.com/primo-explore/search?tab=default_tab&amp;search_scope=EVERYTHING&amp;vid=01CRU&amp;lang=en_US&amp;offset=0&amp;query=any,contains,991002902429702656","Catalog Record")</f>
        <v/>
      </c>
      <c r="AT432">
        <f>HYPERLINK("http://www.worldcat.org/oclc/517894","WorldCat Record")</f>
        <v/>
      </c>
      <c r="AU432" t="inlineStr">
        <is>
          <t>4783335468:eng</t>
        </is>
      </c>
      <c r="AV432" t="inlineStr">
        <is>
          <t>517894</t>
        </is>
      </c>
      <c r="AW432" t="inlineStr">
        <is>
          <t>991002902429702656</t>
        </is>
      </c>
      <c r="AX432" t="inlineStr">
        <is>
          <t>991002902429702656</t>
        </is>
      </c>
      <c r="AY432" t="inlineStr">
        <is>
          <t>2254721170002656</t>
        </is>
      </c>
      <c r="AZ432" t="inlineStr">
        <is>
          <t>BOOK</t>
        </is>
      </c>
      <c r="BC432" t="inlineStr">
        <is>
          <t>32285001299873</t>
        </is>
      </c>
      <c r="BD432" t="inlineStr">
        <is>
          <t>893809718</t>
        </is>
      </c>
    </row>
    <row r="433">
      <c r="A433" t="inlineStr">
        <is>
          <t>No</t>
        </is>
      </c>
      <c r="B433" t="inlineStr">
        <is>
          <t>ND50 .P5313 1974</t>
        </is>
      </c>
      <c r="C433" t="inlineStr">
        <is>
          <t>0                      ND 0050000P  5313        1974</t>
        </is>
      </c>
      <c r="D433" t="inlineStr">
        <is>
          <t>Painting through the eighteenth century / by Terisio Pignatti ; [translated from the Italian by Helen Barolini].</t>
        </is>
      </c>
      <c r="F433" t="inlineStr">
        <is>
          <t>No</t>
        </is>
      </c>
      <c r="G433" t="inlineStr">
        <is>
          <t>1</t>
        </is>
      </c>
      <c r="H433" t="inlineStr">
        <is>
          <t>No</t>
        </is>
      </c>
      <c r="I433" t="inlineStr">
        <is>
          <t>No</t>
        </is>
      </c>
      <c r="J433" t="inlineStr">
        <is>
          <t>0</t>
        </is>
      </c>
      <c r="K433" t="inlineStr">
        <is>
          <t>Pignatti, Terisio, 1920-2004.</t>
        </is>
      </c>
      <c r="L433" t="inlineStr">
        <is>
          <t>New York : Newsweek Books, c1974.</t>
        </is>
      </c>
      <c r="M433" t="inlineStr">
        <is>
          <t>1974</t>
        </is>
      </c>
      <c r="O433" t="inlineStr">
        <is>
          <t>eng</t>
        </is>
      </c>
      <c r="P433" t="inlineStr">
        <is>
          <t>nyu</t>
        </is>
      </c>
      <c r="Q433" t="inlineStr">
        <is>
          <t>World of culture</t>
        </is>
      </c>
      <c r="R433" t="inlineStr">
        <is>
          <t xml:space="preserve">ND </t>
        </is>
      </c>
      <c r="S433" t="n">
        <v>5</v>
      </c>
      <c r="T433" t="n">
        <v>5</v>
      </c>
      <c r="U433" t="inlineStr">
        <is>
          <t>1996-03-27</t>
        </is>
      </c>
      <c r="V433" t="inlineStr">
        <is>
          <t>1996-03-27</t>
        </is>
      </c>
      <c r="W433" t="inlineStr">
        <is>
          <t>1994-06-07</t>
        </is>
      </c>
      <c r="X433" t="inlineStr">
        <is>
          <t>1994-06-07</t>
        </is>
      </c>
      <c r="Y433" t="n">
        <v>731</v>
      </c>
      <c r="Z433" t="n">
        <v>674</v>
      </c>
      <c r="AA433" t="n">
        <v>678</v>
      </c>
      <c r="AB433" t="n">
        <v>6</v>
      </c>
      <c r="AC433" t="n">
        <v>6</v>
      </c>
      <c r="AD433" t="n">
        <v>20</v>
      </c>
      <c r="AE433" t="n">
        <v>20</v>
      </c>
      <c r="AF433" t="n">
        <v>7</v>
      </c>
      <c r="AG433" t="n">
        <v>7</v>
      </c>
      <c r="AH433" t="n">
        <v>2</v>
      </c>
      <c r="AI433" t="n">
        <v>2</v>
      </c>
      <c r="AJ433" t="n">
        <v>11</v>
      </c>
      <c r="AK433" t="n">
        <v>11</v>
      </c>
      <c r="AL433" t="n">
        <v>4</v>
      </c>
      <c r="AM433" t="n">
        <v>4</v>
      </c>
      <c r="AN433" t="n">
        <v>0</v>
      </c>
      <c r="AO433" t="n">
        <v>0</v>
      </c>
      <c r="AP433" t="inlineStr">
        <is>
          <t>No</t>
        </is>
      </c>
      <c r="AQ433" t="inlineStr">
        <is>
          <t>Yes</t>
        </is>
      </c>
      <c r="AR433">
        <f>HYPERLINK("http://catalog.hathitrust.org/Record/008511146","HathiTrust Record")</f>
        <v/>
      </c>
      <c r="AS433">
        <f>HYPERLINK("https://creighton-primo.hosted.exlibrisgroup.com/primo-explore/search?tab=default_tab&amp;search_scope=EVERYTHING&amp;vid=01CRU&amp;lang=en_US&amp;offset=0&amp;query=any,contains,991003526169702656","Catalog Record")</f>
        <v/>
      </c>
      <c r="AT433">
        <f>HYPERLINK("http://www.worldcat.org/oclc/1089239","WorldCat Record")</f>
        <v/>
      </c>
      <c r="AU433" t="inlineStr">
        <is>
          <t>763560627:eng</t>
        </is>
      </c>
      <c r="AV433" t="inlineStr">
        <is>
          <t>1089239</t>
        </is>
      </c>
      <c r="AW433" t="inlineStr">
        <is>
          <t>991003526169702656</t>
        </is>
      </c>
      <c r="AX433" t="inlineStr">
        <is>
          <t>991003526169702656</t>
        </is>
      </c>
      <c r="AY433" t="inlineStr">
        <is>
          <t>2272494980002656</t>
        </is>
      </c>
      <c r="AZ433" t="inlineStr">
        <is>
          <t>BOOK</t>
        </is>
      </c>
      <c r="BB433" t="inlineStr">
        <is>
          <t>9780882251059</t>
        </is>
      </c>
      <c r="BC433" t="inlineStr">
        <is>
          <t>32285001916005</t>
        </is>
      </c>
      <c r="BD433" t="inlineStr">
        <is>
          <t>893410372</t>
        </is>
      </c>
    </row>
    <row r="434">
      <c r="A434" t="inlineStr">
        <is>
          <t>No</t>
        </is>
      </c>
      <c r="B434" t="inlineStr">
        <is>
          <t>ND50.D3 S5</t>
        </is>
      </c>
      <c r="C434" t="inlineStr">
        <is>
          <t>0                      ND 0050000D  3                  S  5</t>
        </is>
      </c>
      <c r="D434" t="inlineStr">
        <is>
          <t>Six centuries of painting / by Randall Davies.</t>
        </is>
      </c>
      <c r="F434" t="inlineStr">
        <is>
          <t>No</t>
        </is>
      </c>
      <c r="G434" t="inlineStr">
        <is>
          <t>1</t>
        </is>
      </c>
      <c r="H434" t="inlineStr">
        <is>
          <t>No</t>
        </is>
      </c>
      <c r="I434" t="inlineStr">
        <is>
          <t>No</t>
        </is>
      </c>
      <c r="J434" t="inlineStr">
        <is>
          <t>0</t>
        </is>
      </c>
      <c r="K434" t="inlineStr">
        <is>
          <t>Davies, Randall, 1866-1946.</t>
        </is>
      </c>
      <c r="L434" t="inlineStr">
        <is>
          <t>New York : Dodge Pub. Co., [1914]</t>
        </is>
      </c>
      <c r="M434" t="inlineStr">
        <is>
          <t>1914</t>
        </is>
      </c>
      <c r="O434" t="inlineStr">
        <is>
          <t>eng</t>
        </is>
      </c>
      <c r="P434" t="inlineStr">
        <is>
          <t>nyu</t>
        </is>
      </c>
      <c r="R434" t="inlineStr">
        <is>
          <t xml:space="preserve">ND </t>
        </is>
      </c>
      <c r="S434" t="n">
        <v>2</v>
      </c>
      <c r="T434" t="n">
        <v>2</v>
      </c>
      <c r="U434" t="inlineStr">
        <is>
          <t>1994-10-31</t>
        </is>
      </c>
      <c r="V434" t="inlineStr">
        <is>
          <t>1994-10-31</t>
        </is>
      </c>
      <c r="W434" t="inlineStr">
        <is>
          <t>1992-02-05</t>
        </is>
      </c>
      <c r="X434" t="inlineStr">
        <is>
          <t>1992-02-05</t>
        </is>
      </c>
      <c r="Y434" t="n">
        <v>122</v>
      </c>
      <c r="Z434" t="n">
        <v>110</v>
      </c>
      <c r="AA434" t="n">
        <v>195</v>
      </c>
      <c r="AB434" t="n">
        <v>4</v>
      </c>
      <c r="AC434" t="n">
        <v>4</v>
      </c>
      <c r="AD434" t="n">
        <v>4</v>
      </c>
      <c r="AE434" t="n">
        <v>4</v>
      </c>
      <c r="AF434" t="n">
        <v>0</v>
      </c>
      <c r="AG434" t="n">
        <v>0</v>
      </c>
      <c r="AH434" t="n">
        <v>1</v>
      </c>
      <c r="AI434" t="n">
        <v>1</v>
      </c>
      <c r="AJ434" t="n">
        <v>1</v>
      </c>
      <c r="AK434" t="n">
        <v>1</v>
      </c>
      <c r="AL434" t="n">
        <v>2</v>
      </c>
      <c r="AM434" t="n">
        <v>2</v>
      </c>
      <c r="AN434" t="n">
        <v>0</v>
      </c>
      <c r="AO434" t="n">
        <v>0</v>
      </c>
      <c r="AP434" t="inlineStr">
        <is>
          <t>Yes</t>
        </is>
      </c>
      <c r="AQ434" t="inlineStr">
        <is>
          <t>No</t>
        </is>
      </c>
      <c r="AR434">
        <f>HYPERLINK("http://catalog.hathitrust.org/Record/000346352","HathiTrust Record")</f>
        <v/>
      </c>
      <c r="AS434">
        <f>HYPERLINK("https://creighton-primo.hosted.exlibrisgroup.com/primo-explore/search?tab=default_tab&amp;search_scope=EVERYTHING&amp;vid=01CRU&amp;lang=en_US&amp;offset=0&amp;query=any,contains,991004097009702656","Catalog Record")</f>
        <v/>
      </c>
      <c r="AT434">
        <f>HYPERLINK("http://www.worldcat.org/oclc/2360981","WorldCat Record")</f>
        <v/>
      </c>
      <c r="AU434" t="inlineStr">
        <is>
          <t>4202139:eng</t>
        </is>
      </c>
      <c r="AV434" t="inlineStr">
        <is>
          <t>2360981</t>
        </is>
      </c>
      <c r="AW434" t="inlineStr">
        <is>
          <t>991004097009702656</t>
        </is>
      </c>
      <c r="AX434" t="inlineStr">
        <is>
          <t>991004097009702656</t>
        </is>
      </c>
      <c r="AY434" t="inlineStr">
        <is>
          <t>2270938380002656</t>
        </is>
      </c>
      <c r="AZ434" t="inlineStr">
        <is>
          <t>BOOK</t>
        </is>
      </c>
      <c r="BC434" t="inlineStr">
        <is>
          <t>32285000945203</t>
        </is>
      </c>
      <c r="BD434" t="inlineStr">
        <is>
          <t>893593265</t>
        </is>
      </c>
    </row>
    <row r="435">
      <c r="A435" t="inlineStr">
        <is>
          <t>No</t>
        </is>
      </c>
      <c r="B435" t="inlineStr">
        <is>
          <t>ND511.5.K55 C65</t>
        </is>
      </c>
      <c r="C435" t="inlineStr">
        <is>
          <t>0                      ND 0511500K  55                 C  65</t>
        </is>
      </c>
      <c r="D435" t="inlineStr">
        <is>
          <t>Gustav Klimt / Alessandra Comini.</t>
        </is>
      </c>
      <c r="F435" t="inlineStr">
        <is>
          <t>No</t>
        </is>
      </c>
      <c r="G435" t="inlineStr">
        <is>
          <t>1</t>
        </is>
      </c>
      <c r="H435" t="inlineStr">
        <is>
          <t>No</t>
        </is>
      </c>
      <c r="I435" t="inlineStr">
        <is>
          <t>No</t>
        </is>
      </c>
      <c r="J435" t="inlineStr">
        <is>
          <t>0</t>
        </is>
      </c>
      <c r="K435" t="inlineStr">
        <is>
          <t>Klimt, Gustav, 1862-1918.</t>
        </is>
      </c>
      <c r="L435" t="inlineStr">
        <is>
          <t>New York : G. Braziller, 1975.</t>
        </is>
      </c>
      <c r="M435" t="inlineStr">
        <is>
          <t>1975</t>
        </is>
      </c>
      <c r="O435" t="inlineStr">
        <is>
          <t>eng</t>
        </is>
      </c>
      <c r="P435" t="inlineStr">
        <is>
          <t>nyu</t>
        </is>
      </c>
      <c r="R435" t="inlineStr">
        <is>
          <t xml:space="preserve">ND </t>
        </is>
      </c>
      <c r="S435" t="n">
        <v>11</v>
      </c>
      <c r="T435" t="n">
        <v>11</v>
      </c>
      <c r="U435" t="inlineStr">
        <is>
          <t>2008-03-13</t>
        </is>
      </c>
      <c r="V435" t="inlineStr">
        <is>
          <t>2008-03-13</t>
        </is>
      </c>
      <c r="W435" t="inlineStr">
        <is>
          <t>1992-11-07</t>
        </is>
      </c>
      <c r="X435" t="inlineStr">
        <is>
          <t>1992-11-07</t>
        </is>
      </c>
      <c r="Y435" t="n">
        <v>879</v>
      </c>
      <c r="Z435" t="n">
        <v>807</v>
      </c>
      <c r="AA435" t="n">
        <v>863</v>
      </c>
      <c r="AB435" t="n">
        <v>4</v>
      </c>
      <c r="AC435" t="n">
        <v>4</v>
      </c>
      <c r="AD435" t="n">
        <v>25</v>
      </c>
      <c r="AE435" t="n">
        <v>26</v>
      </c>
      <c r="AF435" t="n">
        <v>11</v>
      </c>
      <c r="AG435" t="n">
        <v>11</v>
      </c>
      <c r="AH435" t="n">
        <v>6</v>
      </c>
      <c r="AI435" t="n">
        <v>7</v>
      </c>
      <c r="AJ435" t="n">
        <v>16</v>
      </c>
      <c r="AK435" t="n">
        <v>16</v>
      </c>
      <c r="AL435" t="n">
        <v>1</v>
      </c>
      <c r="AM435" t="n">
        <v>1</v>
      </c>
      <c r="AN435" t="n">
        <v>0</v>
      </c>
      <c r="AO435" t="n">
        <v>0</v>
      </c>
      <c r="AP435" t="inlineStr">
        <is>
          <t>No</t>
        </is>
      </c>
      <c r="AQ435" t="inlineStr">
        <is>
          <t>Yes</t>
        </is>
      </c>
      <c r="AR435">
        <f>HYPERLINK("http://catalog.hathitrust.org/Record/000686236","HathiTrust Record")</f>
        <v/>
      </c>
      <c r="AS435">
        <f>HYPERLINK("https://creighton-primo.hosted.exlibrisgroup.com/primo-explore/search?tab=default_tab&amp;search_scope=EVERYTHING&amp;vid=01CRU&amp;lang=en_US&amp;offset=0&amp;query=any,contains,991003937209702656","Catalog Record")</f>
        <v/>
      </c>
      <c r="AT435">
        <f>HYPERLINK("http://www.worldcat.org/oclc/1917749","WorldCat Record")</f>
        <v/>
      </c>
      <c r="AU435" t="inlineStr">
        <is>
          <t>374315169:eng</t>
        </is>
      </c>
      <c r="AV435" t="inlineStr">
        <is>
          <t>1917749</t>
        </is>
      </c>
      <c r="AW435" t="inlineStr">
        <is>
          <t>991003937209702656</t>
        </is>
      </c>
      <c r="AX435" t="inlineStr">
        <is>
          <t>991003937209702656</t>
        </is>
      </c>
      <c r="AY435" t="inlineStr">
        <is>
          <t>2259289910002656</t>
        </is>
      </c>
      <c r="AZ435" t="inlineStr">
        <is>
          <t>BOOK</t>
        </is>
      </c>
      <c r="BB435" t="inlineStr">
        <is>
          <t>9780807608050</t>
        </is>
      </c>
      <c r="BC435" t="inlineStr">
        <is>
          <t>32285001383362</t>
        </is>
      </c>
      <c r="BD435" t="inlineStr">
        <is>
          <t>893253034</t>
        </is>
      </c>
    </row>
    <row r="436">
      <c r="A436" t="inlineStr">
        <is>
          <t>No</t>
        </is>
      </c>
      <c r="B436" t="inlineStr">
        <is>
          <t>ND511.5.K55 D613 1988</t>
        </is>
      </c>
      <c r="C436" t="inlineStr">
        <is>
          <t>0                      ND 0511500K  55                 D  613         1988</t>
        </is>
      </c>
      <c r="D436" t="inlineStr">
        <is>
          <t>Gustav Klimt landscapes / with an essay by Johannes Dobai and a biography of Gustav Klimt ; translated from the German by Ewald Osers.</t>
        </is>
      </c>
      <c r="F436" t="inlineStr">
        <is>
          <t>No</t>
        </is>
      </c>
      <c r="G436" t="inlineStr">
        <is>
          <t>1</t>
        </is>
      </c>
      <c r="H436" t="inlineStr">
        <is>
          <t>No</t>
        </is>
      </c>
      <c r="I436" t="inlineStr">
        <is>
          <t>No</t>
        </is>
      </c>
      <c r="J436" t="inlineStr">
        <is>
          <t>0</t>
        </is>
      </c>
      <c r="K436" t="inlineStr">
        <is>
          <t>Klimt, Gustav, 1862-1918.</t>
        </is>
      </c>
      <c r="L436" t="inlineStr">
        <is>
          <t>Boston : Little, Brown and Co., c1988.</t>
        </is>
      </c>
      <c r="M436" t="inlineStr">
        <is>
          <t>1988</t>
        </is>
      </c>
      <c r="N436" t="inlineStr">
        <is>
          <t>1st U.S. ed.</t>
        </is>
      </c>
      <c r="O436" t="inlineStr">
        <is>
          <t>eng</t>
        </is>
      </c>
      <c r="P436" t="inlineStr">
        <is>
          <t>mau</t>
        </is>
      </c>
      <c r="R436" t="inlineStr">
        <is>
          <t xml:space="preserve">ND </t>
        </is>
      </c>
      <c r="S436" t="n">
        <v>7</v>
      </c>
      <c r="T436" t="n">
        <v>7</v>
      </c>
      <c r="U436" t="inlineStr">
        <is>
          <t>2000-03-20</t>
        </is>
      </c>
      <c r="V436" t="inlineStr">
        <is>
          <t>2000-03-20</t>
        </is>
      </c>
      <c r="W436" t="inlineStr">
        <is>
          <t>1993-11-16</t>
        </is>
      </c>
      <c r="X436" t="inlineStr">
        <is>
          <t>1993-11-16</t>
        </is>
      </c>
      <c r="Y436" t="n">
        <v>254</v>
      </c>
      <c r="Z436" t="n">
        <v>239</v>
      </c>
      <c r="AA436" t="n">
        <v>275</v>
      </c>
      <c r="AB436" t="n">
        <v>2</v>
      </c>
      <c r="AC436" t="n">
        <v>2</v>
      </c>
      <c r="AD436" t="n">
        <v>10</v>
      </c>
      <c r="AE436" t="n">
        <v>11</v>
      </c>
      <c r="AF436" t="n">
        <v>5</v>
      </c>
      <c r="AG436" t="n">
        <v>5</v>
      </c>
      <c r="AH436" t="n">
        <v>3</v>
      </c>
      <c r="AI436" t="n">
        <v>3</v>
      </c>
      <c r="AJ436" t="n">
        <v>4</v>
      </c>
      <c r="AK436" t="n">
        <v>5</v>
      </c>
      <c r="AL436" t="n">
        <v>1</v>
      </c>
      <c r="AM436" t="n">
        <v>1</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HYPERLINK("https://creighton-primo.hosted.exlibrisgroup.com/primo-explore/search?tab=default_tab&amp;search_scope=EVERYTHING&amp;vid=01CRU&amp;lang=en_US&amp;offset=0&amp;query=any,contains,991001358919702656","Catalog Record")</f>
        <v/>
      </c>
      <c r="AT436">
        <f>HYPERLINK("http://www.worldcat.org/oclc/18516024","WorldCat Record")</f>
        <v/>
      </c>
      <c r="AU436" t="inlineStr">
        <is>
          <t>4241699987:eng</t>
        </is>
      </c>
      <c r="AV436" t="inlineStr">
        <is>
          <t>18516024</t>
        </is>
      </c>
      <c r="AW436" t="inlineStr">
        <is>
          <t>991001358919702656</t>
        </is>
      </c>
      <c r="AX436" t="inlineStr">
        <is>
          <t>991001358919702656</t>
        </is>
      </c>
      <c r="AY436" t="inlineStr">
        <is>
          <t>2269249110002656</t>
        </is>
      </c>
      <c r="AZ436" t="inlineStr">
        <is>
          <t>BOOK</t>
        </is>
      </c>
      <c r="BB436" t="inlineStr">
        <is>
          <t>9780821216880</t>
        </is>
      </c>
      <c r="BC436" t="inlineStr">
        <is>
          <t>32285001798775</t>
        </is>
      </c>
      <c r="BD436" t="inlineStr">
        <is>
          <t>893334276</t>
        </is>
      </c>
    </row>
    <row r="437">
      <c r="A437" t="inlineStr">
        <is>
          <t>No</t>
        </is>
      </c>
      <c r="B437" t="inlineStr">
        <is>
          <t>ND511.5.K6 A4 1991b</t>
        </is>
      </c>
      <c r="C437" t="inlineStr">
        <is>
          <t>0                      ND 0511500K  6                  A  4           1991b</t>
        </is>
      </c>
      <c r="D437" t="inlineStr">
        <is>
          <t>Oskar Kokoschka / edited by Klaus Albrecht Schröder and Johann Winkler ; with essays by Christoph Asendorf ... [et al.] ; [translated from the German by David Britt].</t>
        </is>
      </c>
      <c r="F437" t="inlineStr">
        <is>
          <t>No</t>
        </is>
      </c>
      <c r="G437" t="inlineStr">
        <is>
          <t>1</t>
        </is>
      </c>
      <c r="H437" t="inlineStr">
        <is>
          <t>No</t>
        </is>
      </c>
      <c r="I437" t="inlineStr">
        <is>
          <t>No</t>
        </is>
      </c>
      <c r="J437" t="inlineStr">
        <is>
          <t>0</t>
        </is>
      </c>
      <c r="K437" t="inlineStr">
        <is>
          <t>Kokoschka, Oskar, 1886-1980.</t>
        </is>
      </c>
      <c r="L437" t="inlineStr">
        <is>
          <t>Munich : Prestel-Verlag ; New York : Distributed in the USA by te Neues Pub., c1991.</t>
        </is>
      </c>
      <c r="M437" t="inlineStr">
        <is>
          <t>1991</t>
        </is>
      </c>
      <c r="O437" t="inlineStr">
        <is>
          <t>eng</t>
        </is>
      </c>
      <c r="P437" t="inlineStr">
        <is>
          <t xml:space="preserve">gw </t>
        </is>
      </c>
      <c r="R437" t="inlineStr">
        <is>
          <t xml:space="preserve">ND </t>
        </is>
      </c>
      <c r="S437" t="n">
        <v>12</v>
      </c>
      <c r="T437" t="n">
        <v>12</v>
      </c>
      <c r="U437" t="inlineStr">
        <is>
          <t>1999-12-10</t>
        </is>
      </c>
      <c r="V437" t="inlineStr">
        <is>
          <t>1999-12-10</t>
        </is>
      </c>
      <c r="W437" t="inlineStr">
        <is>
          <t>1992-10-27</t>
        </is>
      </c>
      <c r="X437" t="inlineStr">
        <is>
          <t>1992-10-27</t>
        </is>
      </c>
      <c r="Y437" t="n">
        <v>509</v>
      </c>
      <c r="Z437" t="n">
        <v>417</v>
      </c>
      <c r="AA437" t="n">
        <v>421</v>
      </c>
      <c r="AB437" t="n">
        <v>3</v>
      </c>
      <c r="AC437" t="n">
        <v>3</v>
      </c>
      <c r="AD437" t="n">
        <v>19</v>
      </c>
      <c r="AE437" t="n">
        <v>19</v>
      </c>
      <c r="AF437" t="n">
        <v>8</v>
      </c>
      <c r="AG437" t="n">
        <v>8</v>
      </c>
      <c r="AH437" t="n">
        <v>5</v>
      </c>
      <c r="AI437" t="n">
        <v>5</v>
      </c>
      <c r="AJ437" t="n">
        <v>5</v>
      </c>
      <c r="AK437" t="n">
        <v>5</v>
      </c>
      <c r="AL437" t="n">
        <v>2</v>
      </c>
      <c r="AM437" t="n">
        <v>2</v>
      </c>
      <c r="AN437" t="n">
        <v>0</v>
      </c>
      <c r="AO437" t="n">
        <v>0</v>
      </c>
      <c r="AP437" t="inlineStr">
        <is>
          <t>No</t>
        </is>
      </c>
      <c r="AQ437" t="inlineStr">
        <is>
          <t>Yes</t>
        </is>
      </c>
      <c r="AR437">
        <f>HYPERLINK("http://catalog.hathitrust.org/Record/002528969","HathiTrust Record")</f>
        <v/>
      </c>
      <c r="AS437">
        <f>HYPERLINK("https://creighton-primo.hosted.exlibrisgroup.com/primo-explore/search?tab=default_tab&amp;search_scope=EVERYTHING&amp;vid=01CRU&amp;lang=en_US&amp;offset=0&amp;query=any,contains,991001977159702656","Catalog Record")</f>
        <v/>
      </c>
      <c r="AT437">
        <f>HYPERLINK("http://www.worldcat.org/oclc/25060453","WorldCat Record")</f>
        <v/>
      </c>
      <c r="AU437" t="inlineStr">
        <is>
          <t>3768990593:eng</t>
        </is>
      </c>
      <c r="AV437" t="inlineStr">
        <is>
          <t>25060453</t>
        </is>
      </c>
      <c r="AW437" t="inlineStr">
        <is>
          <t>991001977159702656</t>
        </is>
      </c>
      <c r="AX437" t="inlineStr">
        <is>
          <t>991001977159702656</t>
        </is>
      </c>
      <c r="AY437" t="inlineStr">
        <is>
          <t>2262936400002656</t>
        </is>
      </c>
      <c r="AZ437" t="inlineStr">
        <is>
          <t>BOOK</t>
        </is>
      </c>
      <c r="BB437" t="inlineStr">
        <is>
          <t>9783791311326</t>
        </is>
      </c>
      <c r="BC437" t="inlineStr">
        <is>
          <t>32285001319697</t>
        </is>
      </c>
      <c r="BD437" t="inlineStr">
        <is>
          <t>893791911</t>
        </is>
      </c>
    </row>
    <row r="438">
      <c r="A438" t="inlineStr">
        <is>
          <t>No</t>
        </is>
      </c>
      <c r="B438" t="inlineStr">
        <is>
          <t>ND511.5.S3 C64</t>
        </is>
      </c>
      <c r="C438" t="inlineStr">
        <is>
          <t>0                      ND 0511500S  3                  C  64</t>
        </is>
      </c>
      <c r="D438" t="inlineStr">
        <is>
          <t>Egon Schiele / Alessandra Comini.</t>
        </is>
      </c>
      <c r="F438" t="inlineStr">
        <is>
          <t>No</t>
        </is>
      </c>
      <c r="G438" t="inlineStr">
        <is>
          <t>1</t>
        </is>
      </c>
      <c r="H438" t="inlineStr">
        <is>
          <t>No</t>
        </is>
      </c>
      <c r="I438" t="inlineStr">
        <is>
          <t>No</t>
        </is>
      </c>
      <c r="J438" t="inlineStr">
        <is>
          <t>0</t>
        </is>
      </c>
      <c r="K438" t="inlineStr">
        <is>
          <t>Schiele, Egon, 1890-1918.</t>
        </is>
      </c>
      <c r="L438" t="inlineStr">
        <is>
          <t>New York : G. Braziller, 1976.</t>
        </is>
      </c>
      <c r="M438" t="inlineStr">
        <is>
          <t>1976</t>
        </is>
      </c>
      <c r="O438" t="inlineStr">
        <is>
          <t>eng</t>
        </is>
      </c>
      <c r="P438" t="inlineStr">
        <is>
          <t>nyu</t>
        </is>
      </c>
      <c r="R438" t="inlineStr">
        <is>
          <t xml:space="preserve">ND </t>
        </is>
      </c>
      <c r="S438" t="n">
        <v>7</v>
      </c>
      <c r="T438" t="n">
        <v>7</v>
      </c>
      <c r="U438" t="inlineStr">
        <is>
          <t>2005-01-28</t>
        </is>
      </c>
      <c r="V438" t="inlineStr">
        <is>
          <t>2005-01-28</t>
        </is>
      </c>
      <c r="W438" t="inlineStr">
        <is>
          <t>1994-05-20</t>
        </is>
      </c>
      <c r="X438" t="inlineStr">
        <is>
          <t>1994-05-20</t>
        </is>
      </c>
      <c r="Y438" t="n">
        <v>752</v>
      </c>
      <c r="Z438" t="n">
        <v>673</v>
      </c>
      <c r="AA438" t="n">
        <v>684</v>
      </c>
      <c r="AB438" t="n">
        <v>3</v>
      </c>
      <c r="AC438" t="n">
        <v>3</v>
      </c>
      <c r="AD438" t="n">
        <v>22</v>
      </c>
      <c r="AE438" t="n">
        <v>22</v>
      </c>
      <c r="AF438" t="n">
        <v>10</v>
      </c>
      <c r="AG438" t="n">
        <v>10</v>
      </c>
      <c r="AH438" t="n">
        <v>5</v>
      </c>
      <c r="AI438" t="n">
        <v>5</v>
      </c>
      <c r="AJ438" t="n">
        <v>12</v>
      </c>
      <c r="AK438" t="n">
        <v>12</v>
      </c>
      <c r="AL438" t="n">
        <v>2</v>
      </c>
      <c r="AM438" t="n">
        <v>2</v>
      </c>
      <c r="AN438" t="n">
        <v>0</v>
      </c>
      <c r="AO438" t="n">
        <v>0</v>
      </c>
      <c r="AP438" t="inlineStr">
        <is>
          <t>No</t>
        </is>
      </c>
      <c r="AQ438" t="inlineStr">
        <is>
          <t>Yes</t>
        </is>
      </c>
      <c r="AR438">
        <f>HYPERLINK("http://catalog.hathitrust.org/Record/000695752","HathiTrust Record")</f>
        <v/>
      </c>
      <c r="AS438">
        <f>HYPERLINK("https://creighton-primo.hosted.exlibrisgroup.com/primo-explore/search?tab=default_tab&amp;search_scope=EVERYTHING&amp;vid=01CRU&amp;lang=en_US&amp;offset=0&amp;query=any,contains,991003972399702656","Catalog Record")</f>
        <v/>
      </c>
      <c r="AT438">
        <f>HYPERLINK("http://www.worldcat.org/oclc/1993184","WorldCat Record")</f>
        <v/>
      </c>
      <c r="AU438" t="inlineStr">
        <is>
          <t>5585548181:eng</t>
        </is>
      </c>
      <c r="AV438" t="inlineStr">
        <is>
          <t>1993184</t>
        </is>
      </c>
      <c r="AW438" t="inlineStr">
        <is>
          <t>991003972399702656</t>
        </is>
      </c>
      <c r="AX438" t="inlineStr">
        <is>
          <t>991003972399702656</t>
        </is>
      </c>
      <c r="AY438" t="inlineStr">
        <is>
          <t>2263095870002656</t>
        </is>
      </c>
      <c r="AZ438" t="inlineStr">
        <is>
          <t>BOOK</t>
        </is>
      </c>
      <c r="BB438" t="inlineStr">
        <is>
          <t>9780807608197</t>
        </is>
      </c>
      <c r="BC438" t="inlineStr">
        <is>
          <t>32285001911394</t>
        </is>
      </c>
      <c r="BD438" t="inlineStr">
        <is>
          <t>893888172</t>
        </is>
      </c>
    </row>
    <row r="439">
      <c r="A439" t="inlineStr">
        <is>
          <t>No</t>
        </is>
      </c>
      <c r="B439" t="inlineStr">
        <is>
          <t>ND541 .A6</t>
        </is>
      </c>
      <c r="C439" t="inlineStr">
        <is>
          <t>0                      ND 0541000A  6</t>
        </is>
      </c>
      <c r="D439" t="inlineStr">
        <is>
          <t>Eighteenth century French art / translated from the Italian by Terry Peppiatt.</t>
        </is>
      </c>
      <c r="F439" t="inlineStr">
        <is>
          <t>No</t>
        </is>
      </c>
      <c r="G439" t="inlineStr">
        <is>
          <t>1</t>
        </is>
      </c>
      <c r="H439" t="inlineStr">
        <is>
          <t>No</t>
        </is>
      </c>
      <c r="I439" t="inlineStr">
        <is>
          <t>No</t>
        </is>
      </c>
      <c r="J439" t="inlineStr">
        <is>
          <t>0</t>
        </is>
      </c>
      <c r="K439" t="inlineStr">
        <is>
          <t>Apra, Nietta.</t>
        </is>
      </c>
      <c r="L439" t="inlineStr">
        <is>
          <t>Milano : Arti grafiche ricordi, [c1963]</t>
        </is>
      </c>
      <c r="M439" t="inlineStr">
        <is>
          <t>1963</t>
        </is>
      </c>
      <c r="O439" t="inlineStr">
        <is>
          <t>eng</t>
        </is>
      </c>
      <c r="P439" t="inlineStr">
        <is>
          <t xml:space="preserve">it </t>
        </is>
      </c>
      <c r="Q439" t="inlineStr">
        <is>
          <t>World painting</t>
        </is>
      </c>
      <c r="R439" t="inlineStr">
        <is>
          <t xml:space="preserve">ND </t>
        </is>
      </c>
      <c r="S439" t="n">
        <v>9</v>
      </c>
      <c r="T439" t="n">
        <v>9</v>
      </c>
      <c r="U439" t="inlineStr">
        <is>
          <t>2000-03-28</t>
        </is>
      </c>
      <c r="V439" t="inlineStr">
        <is>
          <t>2000-03-28</t>
        </is>
      </c>
      <c r="W439" t="inlineStr">
        <is>
          <t>1994-09-29</t>
        </is>
      </c>
      <c r="X439" t="inlineStr">
        <is>
          <t>1994-09-29</t>
        </is>
      </c>
      <c r="Y439" t="n">
        <v>106</v>
      </c>
      <c r="Z439" t="n">
        <v>100</v>
      </c>
      <c r="AA439" t="n">
        <v>100</v>
      </c>
      <c r="AB439" t="n">
        <v>2</v>
      </c>
      <c r="AC439" t="n">
        <v>2</v>
      </c>
      <c r="AD439" t="n">
        <v>2</v>
      </c>
      <c r="AE439" t="n">
        <v>2</v>
      </c>
      <c r="AF439" t="n">
        <v>1</v>
      </c>
      <c r="AG439" t="n">
        <v>1</v>
      </c>
      <c r="AH439" t="n">
        <v>0</v>
      </c>
      <c r="AI439" t="n">
        <v>0</v>
      </c>
      <c r="AJ439" t="n">
        <v>0</v>
      </c>
      <c r="AK439" t="n">
        <v>0</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HYPERLINK("https://creighton-primo.hosted.exlibrisgroup.com/primo-explore/search?tab=default_tab&amp;search_scope=EVERYTHING&amp;vid=01CRU&amp;lang=en_US&amp;offset=0&amp;query=any,contains,991003918589702656","Catalog Record")</f>
        <v/>
      </c>
      <c r="AT439">
        <f>HYPERLINK("http://www.worldcat.org/oclc/1864577","WorldCat Record")</f>
        <v/>
      </c>
      <c r="AU439" t="inlineStr">
        <is>
          <t>325387770:eng</t>
        </is>
      </c>
      <c r="AV439" t="inlineStr">
        <is>
          <t>1864577</t>
        </is>
      </c>
      <c r="AW439" t="inlineStr">
        <is>
          <t>991003918589702656</t>
        </is>
      </c>
      <c r="AX439" t="inlineStr">
        <is>
          <t>991003918589702656</t>
        </is>
      </c>
      <c r="AY439" t="inlineStr">
        <is>
          <t>2263717260002656</t>
        </is>
      </c>
      <c r="AZ439" t="inlineStr">
        <is>
          <t>BOOK</t>
        </is>
      </c>
      <c r="BC439" t="inlineStr">
        <is>
          <t>32285005291447</t>
        </is>
      </c>
      <c r="BD439" t="inlineStr">
        <is>
          <t>893353111</t>
        </is>
      </c>
    </row>
    <row r="440">
      <c r="A440" t="inlineStr">
        <is>
          <t>No</t>
        </is>
      </c>
      <c r="B440" t="inlineStr">
        <is>
          <t>ND541 .W5 1936</t>
        </is>
      </c>
      <c r="C440" t="inlineStr">
        <is>
          <t>0                      ND 0541000W  5           1936</t>
        </is>
      </c>
      <c r="D440" t="inlineStr">
        <is>
          <t>French painting, by R. H. Wilenski.</t>
        </is>
      </c>
      <c r="F440" t="inlineStr">
        <is>
          <t>No</t>
        </is>
      </c>
      <c r="G440" t="inlineStr">
        <is>
          <t>1</t>
        </is>
      </c>
      <c r="H440" t="inlineStr">
        <is>
          <t>No</t>
        </is>
      </c>
      <c r="I440" t="inlineStr">
        <is>
          <t>No</t>
        </is>
      </c>
      <c r="J440" t="inlineStr">
        <is>
          <t>0</t>
        </is>
      </c>
      <c r="K440" t="inlineStr">
        <is>
          <t>Wilenski, R. H. (Reginald Howard), 1887-1975.</t>
        </is>
      </c>
      <c r="L440" t="inlineStr">
        <is>
          <t>Boston, Hale, Cushman &amp; Flint, [1936]</t>
        </is>
      </c>
      <c r="M440" t="inlineStr">
        <is>
          <t>1936</t>
        </is>
      </c>
      <c r="O440" t="inlineStr">
        <is>
          <t>eng</t>
        </is>
      </c>
      <c r="P440" t="inlineStr">
        <is>
          <t>mau</t>
        </is>
      </c>
      <c r="R440" t="inlineStr">
        <is>
          <t xml:space="preserve">ND </t>
        </is>
      </c>
      <c r="S440" t="n">
        <v>3</v>
      </c>
      <c r="T440" t="n">
        <v>3</v>
      </c>
      <c r="U440" t="inlineStr">
        <is>
          <t>2008-03-13</t>
        </is>
      </c>
      <c r="V440" t="inlineStr">
        <is>
          <t>2008-03-13</t>
        </is>
      </c>
      <c r="W440" t="inlineStr">
        <is>
          <t>1997-07-29</t>
        </is>
      </c>
      <c r="X440" t="inlineStr">
        <is>
          <t>1997-07-29</t>
        </is>
      </c>
      <c r="Y440" t="n">
        <v>166</v>
      </c>
      <c r="Z440" t="n">
        <v>158</v>
      </c>
      <c r="AA440" t="n">
        <v>698</v>
      </c>
      <c r="AB440" t="n">
        <v>2</v>
      </c>
      <c r="AC440" t="n">
        <v>5</v>
      </c>
      <c r="AD440" t="n">
        <v>7</v>
      </c>
      <c r="AE440" t="n">
        <v>25</v>
      </c>
      <c r="AF440" t="n">
        <v>2</v>
      </c>
      <c r="AG440" t="n">
        <v>10</v>
      </c>
      <c r="AH440" t="n">
        <v>0</v>
      </c>
      <c r="AI440" t="n">
        <v>4</v>
      </c>
      <c r="AJ440" t="n">
        <v>5</v>
      </c>
      <c r="AK440" t="n">
        <v>13</v>
      </c>
      <c r="AL440" t="n">
        <v>1</v>
      </c>
      <c r="AM440" t="n">
        <v>3</v>
      </c>
      <c r="AN440" t="n">
        <v>0</v>
      </c>
      <c r="AO440" t="n">
        <v>0</v>
      </c>
      <c r="AP440" t="inlineStr">
        <is>
          <t>No</t>
        </is>
      </c>
      <c r="AQ440" t="inlineStr">
        <is>
          <t>No</t>
        </is>
      </c>
      <c r="AR440">
        <f>HYPERLINK("http://catalog.hathitrust.org/Record/000411746","HathiTrust Record")</f>
        <v/>
      </c>
      <c r="AS440">
        <f>HYPERLINK("https://creighton-primo.hosted.exlibrisgroup.com/primo-explore/search?tab=default_tab&amp;search_scope=EVERYTHING&amp;vid=01CRU&amp;lang=en_US&amp;offset=0&amp;query=any,contains,991003984969702656","Catalog Record")</f>
        <v/>
      </c>
      <c r="AT440">
        <f>HYPERLINK("http://www.worldcat.org/oclc/2027821","WorldCat Record")</f>
        <v/>
      </c>
      <c r="AU440" t="inlineStr">
        <is>
          <t>199696035:eng</t>
        </is>
      </c>
      <c r="AV440" t="inlineStr">
        <is>
          <t>2027821</t>
        </is>
      </c>
      <c r="AW440" t="inlineStr">
        <is>
          <t>991003984969702656</t>
        </is>
      </c>
      <c r="AX440" t="inlineStr">
        <is>
          <t>991003984969702656</t>
        </is>
      </c>
      <c r="AY440" t="inlineStr">
        <is>
          <t>2268688410002656</t>
        </is>
      </c>
      <c r="AZ440" t="inlineStr">
        <is>
          <t>BOOK</t>
        </is>
      </c>
      <c r="BC440" t="inlineStr">
        <is>
          <t>32285002967726</t>
        </is>
      </c>
      <c r="BD440" t="inlineStr">
        <is>
          <t>893810295</t>
        </is>
      </c>
    </row>
    <row r="441">
      <c r="A441" t="inlineStr">
        <is>
          <t>No</t>
        </is>
      </c>
      <c r="B441" t="inlineStr">
        <is>
          <t>ND544 .C6</t>
        </is>
      </c>
      <c r="C441" t="inlineStr">
        <is>
          <t>0                      ND 0544000C  6</t>
        </is>
      </c>
      <c r="D441" t="inlineStr">
        <is>
          <t>Montmartre. Translated by Stuart Gilbert.</t>
        </is>
      </c>
      <c r="F441" t="inlineStr">
        <is>
          <t>No</t>
        </is>
      </c>
      <c r="G441" t="inlineStr">
        <is>
          <t>1</t>
        </is>
      </c>
      <c r="H441" t="inlineStr">
        <is>
          <t>No</t>
        </is>
      </c>
      <c r="I441" t="inlineStr">
        <is>
          <t>No</t>
        </is>
      </c>
      <c r="J441" t="inlineStr">
        <is>
          <t>0</t>
        </is>
      </c>
      <c r="K441" t="inlineStr">
        <is>
          <t>Courthion, Pierre.</t>
        </is>
      </c>
      <c r="L441" t="inlineStr">
        <is>
          <t>[Lausanne] Skira [1956]</t>
        </is>
      </c>
      <c r="M441" t="inlineStr">
        <is>
          <t>1956</t>
        </is>
      </c>
      <c r="O441" t="inlineStr">
        <is>
          <t>eng</t>
        </is>
      </c>
      <c r="P441" t="inlineStr">
        <is>
          <t xml:space="preserve">sz </t>
        </is>
      </c>
      <c r="Q441" t="inlineStr">
        <is>
          <t>Famous places as seen by great painters</t>
        </is>
      </c>
      <c r="R441" t="inlineStr">
        <is>
          <t xml:space="preserve">ND </t>
        </is>
      </c>
      <c r="S441" t="n">
        <v>2</v>
      </c>
      <c r="T441" t="n">
        <v>2</v>
      </c>
      <c r="U441" t="inlineStr">
        <is>
          <t>2002-11-06</t>
        </is>
      </c>
      <c r="V441" t="inlineStr">
        <is>
          <t>2002-11-06</t>
        </is>
      </c>
      <c r="W441" t="inlineStr">
        <is>
          <t>1997-07-29</t>
        </is>
      </c>
      <c r="X441" t="inlineStr">
        <is>
          <t>1997-07-29</t>
        </is>
      </c>
      <c r="Y441" t="n">
        <v>618</v>
      </c>
      <c r="Z441" t="n">
        <v>554</v>
      </c>
      <c r="AA441" t="n">
        <v>556</v>
      </c>
      <c r="AB441" t="n">
        <v>3</v>
      </c>
      <c r="AC441" t="n">
        <v>3</v>
      </c>
      <c r="AD441" t="n">
        <v>15</v>
      </c>
      <c r="AE441" t="n">
        <v>15</v>
      </c>
      <c r="AF441" t="n">
        <v>4</v>
      </c>
      <c r="AG441" t="n">
        <v>4</v>
      </c>
      <c r="AH441" t="n">
        <v>5</v>
      </c>
      <c r="AI441" t="n">
        <v>5</v>
      </c>
      <c r="AJ441" t="n">
        <v>8</v>
      </c>
      <c r="AK441" t="n">
        <v>8</v>
      </c>
      <c r="AL441" t="n">
        <v>1</v>
      </c>
      <c r="AM441" t="n">
        <v>1</v>
      </c>
      <c r="AN441" t="n">
        <v>0</v>
      </c>
      <c r="AO441" t="n">
        <v>0</v>
      </c>
      <c r="AP441" t="inlineStr">
        <is>
          <t>No</t>
        </is>
      </c>
      <c r="AQ441" t="inlineStr">
        <is>
          <t>Yes</t>
        </is>
      </c>
      <c r="AR441">
        <f>HYPERLINK("http://catalog.hathitrust.org/Record/000374440","HathiTrust Record")</f>
        <v/>
      </c>
      <c r="AS441">
        <f>HYPERLINK("https://creighton-primo.hosted.exlibrisgroup.com/primo-explore/search?tab=default_tab&amp;search_scope=EVERYTHING&amp;vid=01CRU&amp;lang=en_US&amp;offset=0&amp;query=any,contains,991004031899702656","Catalog Record")</f>
        <v/>
      </c>
      <c r="AT441">
        <f>HYPERLINK("http://www.worldcat.org/oclc/2157950","WorldCat Record")</f>
        <v/>
      </c>
      <c r="AU441" t="inlineStr">
        <is>
          <t>2027110:eng</t>
        </is>
      </c>
      <c r="AV441" t="inlineStr">
        <is>
          <t>2157950</t>
        </is>
      </c>
      <c r="AW441" t="inlineStr">
        <is>
          <t>991004031899702656</t>
        </is>
      </c>
      <c r="AX441" t="inlineStr">
        <is>
          <t>991004031899702656</t>
        </is>
      </c>
      <c r="AY441" t="inlineStr">
        <is>
          <t>2255745620002656</t>
        </is>
      </c>
      <c r="AZ441" t="inlineStr">
        <is>
          <t>BOOK</t>
        </is>
      </c>
      <c r="BC441" t="inlineStr">
        <is>
          <t>32285002967742</t>
        </is>
      </c>
      <c r="BD441" t="inlineStr">
        <is>
          <t>893512714</t>
        </is>
      </c>
    </row>
    <row r="442">
      <c r="A442" t="inlineStr">
        <is>
          <t>No</t>
        </is>
      </c>
      <c r="B442" t="inlineStr">
        <is>
          <t>ND546 .B76</t>
        </is>
      </c>
      <c r="C442" t="inlineStr">
        <is>
          <t>0                      ND 0546000B  76</t>
        </is>
      </c>
      <c r="D442" t="inlineStr">
        <is>
          <t>Word and image : French painting of the ancien régime / Norman Bryson.</t>
        </is>
      </c>
      <c r="F442" t="inlineStr">
        <is>
          <t>No</t>
        </is>
      </c>
      <c r="G442" t="inlineStr">
        <is>
          <t>1</t>
        </is>
      </c>
      <c r="H442" t="inlineStr">
        <is>
          <t>No</t>
        </is>
      </c>
      <c r="I442" t="inlineStr">
        <is>
          <t>No</t>
        </is>
      </c>
      <c r="J442" t="inlineStr">
        <is>
          <t>0</t>
        </is>
      </c>
      <c r="K442" t="inlineStr">
        <is>
          <t>Bryson, Norman, 1949-</t>
        </is>
      </c>
      <c r="L442" t="inlineStr">
        <is>
          <t>Cambridge [Cambridgeshire] ; New York : Cambridge University Press, 1981.</t>
        </is>
      </c>
      <c r="M442" t="inlineStr">
        <is>
          <t>1981</t>
        </is>
      </c>
      <c r="O442" t="inlineStr">
        <is>
          <t>eng</t>
        </is>
      </c>
      <c r="P442" t="inlineStr">
        <is>
          <t>enk</t>
        </is>
      </c>
      <c r="R442" t="inlineStr">
        <is>
          <t xml:space="preserve">ND </t>
        </is>
      </c>
      <c r="S442" t="n">
        <v>1</v>
      </c>
      <c r="T442" t="n">
        <v>1</v>
      </c>
      <c r="U442" t="inlineStr">
        <is>
          <t>2000-10-27</t>
        </is>
      </c>
      <c r="V442" t="inlineStr">
        <is>
          <t>2000-10-27</t>
        </is>
      </c>
      <c r="W442" t="inlineStr">
        <is>
          <t>1991-12-12</t>
        </is>
      </c>
      <c r="X442" t="inlineStr">
        <is>
          <t>1991-12-12</t>
        </is>
      </c>
      <c r="Y442" t="n">
        <v>633</v>
      </c>
      <c r="Z442" t="n">
        <v>458</v>
      </c>
      <c r="AA442" t="n">
        <v>539</v>
      </c>
      <c r="AB442" t="n">
        <v>2</v>
      </c>
      <c r="AC442" t="n">
        <v>2</v>
      </c>
      <c r="AD442" t="n">
        <v>17</v>
      </c>
      <c r="AE442" t="n">
        <v>23</v>
      </c>
      <c r="AF442" t="n">
        <v>7</v>
      </c>
      <c r="AG442" t="n">
        <v>10</v>
      </c>
      <c r="AH442" t="n">
        <v>5</v>
      </c>
      <c r="AI442" t="n">
        <v>7</v>
      </c>
      <c r="AJ442" t="n">
        <v>9</v>
      </c>
      <c r="AK442" t="n">
        <v>13</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HYPERLINK("https://creighton-primo.hosted.exlibrisgroup.com/primo-explore/search?tab=default_tab&amp;search_scope=EVERYTHING&amp;vid=01CRU&amp;lang=en_US&amp;offset=0&amp;query=any,contains,991005137269702656","Catalog Record")</f>
        <v/>
      </c>
      <c r="AT442">
        <f>HYPERLINK("http://www.worldcat.org/oclc/7578095","WorldCat Record")</f>
        <v/>
      </c>
      <c r="AU442" t="inlineStr">
        <is>
          <t>151573818:eng</t>
        </is>
      </c>
      <c r="AV442" t="inlineStr">
        <is>
          <t>7578095</t>
        </is>
      </c>
      <c r="AW442" t="inlineStr">
        <is>
          <t>991005137269702656</t>
        </is>
      </c>
      <c r="AX442" t="inlineStr">
        <is>
          <t>991005137269702656</t>
        </is>
      </c>
      <c r="AY442" t="inlineStr">
        <is>
          <t>2264931330002656</t>
        </is>
      </c>
      <c r="AZ442" t="inlineStr">
        <is>
          <t>BOOK</t>
        </is>
      </c>
      <c r="BB442" t="inlineStr">
        <is>
          <t>9780521237765</t>
        </is>
      </c>
      <c r="BC442" t="inlineStr">
        <is>
          <t>32285000887348</t>
        </is>
      </c>
      <c r="BD442" t="inlineStr">
        <is>
          <t>893242270</t>
        </is>
      </c>
    </row>
    <row r="443">
      <c r="A443" t="inlineStr">
        <is>
          <t>No</t>
        </is>
      </c>
      <c r="B443" t="inlineStr">
        <is>
          <t>ND546 .C66 1981</t>
        </is>
      </c>
      <c r="C443" t="inlineStr">
        <is>
          <t>0                      ND 0546000C  66          1981</t>
        </is>
      </c>
      <c r="D443" t="inlineStr">
        <is>
          <t>Painting in eighteenth-century France / Philip Conisbee.</t>
        </is>
      </c>
      <c r="F443" t="inlineStr">
        <is>
          <t>No</t>
        </is>
      </c>
      <c r="G443" t="inlineStr">
        <is>
          <t>1</t>
        </is>
      </c>
      <c r="H443" t="inlineStr">
        <is>
          <t>No</t>
        </is>
      </c>
      <c r="I443" t="inlineStr">
        <is>
          <t>No</t>
        </is>
      </c>
      <c r="J443" t="inlineStr">
        <is>
          <t>0</t>
        </is>
      </c>
      <c r="K443" t="inlineStr">
        <is>
          <t>Conisbee, Philip.</t>
        </is>
      </c>
      <c r="L443" t="inlineStr">
        <is>
          <t>Ithaca, N.Y. : Cornell University Press, 1981.</t>
        </is>
      </c>
      <c r="M443" t="inlineStr">
        <is>
          <t>1981</t>
        </is>
      </c>
      <c r="O443" t="inlineStr">
        <is>
          <t>eng</t>
        </is>
      </c>
      <c r="P443" t="inlineStr">
        <is>
          <t>nyu</t>
        </is>
      </c>
      <c r="R443" t="inlineStr">
        <is>
          <t xml:space="preserve">ND </t>
        </is>
      </c>
      <c r="S443" t="n">
        <v>8</v>
      </c>
      <c r="T443" t="n">
        <v>8</v>
      </c>
      <c r="U443" t="inlineStr">
        <is>
          <t>1997-02-17</t>
        </is>
      </c>
      <c r="V443" t="inlineStr">
        <is>
          <t>1997-02-17</t>
        </is>
      </c>
      <c r="W443" t="inlineStr">
        <is>
          <t>1993-03-29</t>
        </is>
      </c>
      <c r="X443" t="inlineStr">
        <is>
          <t>1993-03-29</t>
        </is>
      </c>
      <c r="Y443" t="n">
        <v>680</v>
      </c>
      <c r="Z443" t="n">
        <v>609</v>
      </c>
      <c r="AA443" t="n">
        <v>656</v>
      </c>
      <c r="AB443" t="n">
        <v>5</v>
      </c>
      <c r="AC443" t="n">
        <v>6</v>
      </c>
      <c r="AD443" t="n">
        <v>23</v>
      </c>
      <c r="AE443" t="n">
        <v>26</v>
      </c>
      <c r="AF443" t="n">
        <v>11</v>
      </c>
      <c r="AG443" t="n">
        <v>11</v>
      </c>
      <c r="AH443" t="n">
        <v>6</v>
      </c>
      <c r="AI443" t="n">
        <v>6</v>
      </c>
      <c r="AJ443" t="n">
        <v>9</v>
      </c>
      <c r="AK443" t="n">
        <v>11</v>
      </c>
      <c r="AL443" t="n">
        <v>3</v>
      </c>
      <c r="AM443" t="n">
        <v>4</v>
      </c>
      <c r="AN443" t="n">
        <v>0</v>
      </c>
      <c r="AO443" t="n">
        <v>0</v>
      </c>
      <c r="AP443" t="inlineStr">
        <is>
          <t>No</t>
        </is>
      </c>
      <c r="AQ443" t="inlineStr">
        <is>
          <t>Yes</t>
        </is>
      </c>
      <c r="AR443">
        <f>HYPERLINK("http://catalog.hathitrust.org/Record/000143542","HathiTrust Record")</f>
        <v/>
      </c>
      <c r="AS443">
        <f>HYPERLINK("https://creighton-primo.hosted.exlibrisgroup.com/primo-explore/search?tab=default_tab&amp;search_scope=EVERYTHING&amp;vid=01CRU&amp;lang=en_US&amp;offset=0&amp;query=any,contains,991005225239702656","Catalog Record")</f>
        <v/>
      </c>
      <c r="AT443">
        <f>HYPERLINK("http://www.worldcat.org/oclc/8280980","WorldCat Record")</f>
        <v/>
      </c>
      <c r="AU443" t="inlineStr">
        <is>
          <t>30131163:eng</t>
        </is>
      </c>
      <c r="AV443" t="inlineStr">
        <is>
          <t>8280980</t>
        </is>
      </c>
      <c r="AW443" t="inlineStr">
        <is>
          <t>991005225239702656</t>
        </is>
      </c>
      <c r="AX443" t="inlineStr">
        <is>
          <t>991005225239702656</t>
        </is>
      </c>
      <c r="AY443" t="inlineStr">
        <is>
          <t>2257604850002656</t>
        </is>
      </c>
      <c r="AZ443" t="inlineStr">
        <is>
          <t>BOOK</t>
        </is>
      </c>
      <c r="BB443" t="inlineStr">
        <is>
          <t>9780801414244</t>
        </is>
      </c>
      <c r="BC443" t="inlineStr">
        <is>
          <t>32285001592004</t>
        </is>
      </c>
      <c r="BD443" t="inlineStr">
        <is>
          <t>893236510</t>
        </is>
      </c>
    </row>
    <row r="444">
      <c r="A444" t="inlineStr">
        <is>
          <t>No</t>
        </is>
      </c>
      <c r="B444" t="inlineStr">
        <is>
          <t>ND546 .T5</t>
        </is>
      </c>
      <c r="C444" t="inlineStr">
        <is>
          <t>0                      ND 0546000T  5</t>
        </is>
      </c>
      <c r="D444" t="inlineStr">
        <is>
          <t>French painting, from Le Nain to Fragonard / [by] Jacques Thuillier [and] Albert Châtelet. [Translated from the French by James Emmons.</t>
        </is>
      </c>
      <c r="F444" t="inlineStr">
        <is>
          <t>No</t>
        </is>
      </c>
      <c r="G444" t="inlineStr">
        <is>
          <t>1</t>
        </is>
      </c>
      <c r="H444" t="inlineStr">
        <is>
          <t>No</t>
        </is>
      </c>
      <c r="I444" t="inlineStr">
        <is>
          <t>No</t>
        </is>
      </c>
      <c r="J444" t="inlineStr">
        <is>
          <t>0</t>
        </is>
      </c>
      <c r="K444" t="inlineStr">
        <is>
          <t>Thuillier, Jacques.</t>
        </is>
      </c>
      <c r="L444" t="inlineStr">
        <is>
          <t>Geneva] : Skira ; [distributed in the U.S. by World Pub. Co., Cleveland, 1964]</t>
        </is>
      </c>
      <c r="M444" t="inlineStr">
        <is>
          <t>1964</t>
        </is>
      </c>
      <c r="O444" t="inlineStr">
        <is>
          <t>eng</t>
        </is>
      </c>
      <c r="P444" t="inlineStr">
        <is>
          <t xml:space="preserve">sz </t>
        </is>
      </c>
      <c r="Q444" t="inlineStr">
        <is>
          <t>Painting, color, history</t>
        </is>
      </c>
      <c r="R444" t="inlineStr">
        <is>
          <t xml:space="preserve">ND </t>
        </is>
      </c>
      <c r="S444" t="n">
        <v>5</v>
      </c>
      <c r="T444" t="n">
        <v>5</v>
      </c>
      <c r="U444" t="inlineStr">
        <is>
          <t>2002-03-24</t>
        </is>
      </c>
      <c r="V444" t="inlineStr">
        <is>
          <t>2002-03-24</t>
        </is>
      </c>
      <c r="W444" t="inlineStr">
        <is>
          <t>1992-02-04</t>
        </is>
      </c>
      <c r="X444" t="inlineStr">
        <is>
          <t>1992-02-04</t>
        </is>
      </c>
      <c r="Y444" t="n">
        <v>759</v>
      </c>
      <c r="Z444" t="n">
        <v>671</v>
      </c>
      <c r="AA444" t="n">
        <v>677</v>
      </c>
      <c r="AB444" t="n">
        <v>5</v>
      </c>
      <c r="AC444" t="n">
        <v>5</v>
      </c>
      <c r="AD444" t="n">
        <v>25</v>
      </c>
      <c r="AE444" t="n">
        <v>25</v>
      </c>
      <c r="AF444" t="n">
        <v>13</v>
      </c>
      <c r="AG444" t="n">
        <v>13</v>
      </c>
      <c r="AH444" t="n">
        <v>3</v>
      </c>
      <c r="AI444" t="n">
        <v>3</v>
      </c>
      <c r="AJ444" t="n">
        <v>13</v>
      </c>
      <c r="AK444" t="n">
        <v>13</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HYPERLINK("https://creighton-primo.hosted.exlibrisgroup.com/primo-explore/search?tab=default_tab&amp;search_scope=EVERYTHING&amp;vid=01CRU&amp;lang=en_US&amp;offset=0&amp;query=any,contains,991002957529702656","Catalog Record")</f>
        <v/>
      </c>
      <c r="AT444">
        <f>HYPERLINK("http://www.worldcat.org/oclc/542705","WorldCat Record")</f>
        <v/>
      </c>
      <c r="AU444" t="inlineStr">
        <is>
          <t>118835120:eng</t>
        </is>
      </c>
      <c r="AV444" t="inlineStr">
        <is>
          <t>542705</t>
        </is>
      </c>
      <c r="AW444" t="inlineStr">
        <is>
          <t>991002957529702656</t>
        </is>
      </c>
      <c r="AX444" t="inlineStr">
        <is>
          <t>991002957529702656</t>
        </is>
      </c>
      <c r="AY444" t="inlineStr">
        <is>
          <t>2266645240002656</t>
        </is>
      </c>
      <c r="AZ444" t="inlineStr">
        <is>
          <t>BOOK</t>
        </is>
      </c>
      <c r="BC444" t="inlineStr">
        <is>
          <t>32285000934298</t>
        </is>
      </c>
      <c r="BD444" t="inlineStr">
        <is>
          <t>893415852</t>
        </is>
      </c>
    </row>
    <row r="445">
      <c r="A445" t="inlineStr">
        <is>
          <t>No</t>
        </is>
      </c>
      <c r="B445" t="inlineStr">
        <is>
          <t>ND546.5.N4 D43</t>
        </is>
      </c>
      <c r="C445" t="inlineStr">
        <is>
          <t>0                      ND 0546500N  4                  D  43</t>
        </is>
      </c>
      <c r="D445" t="inlineStr">
        <is>
          <t>French painting 1774-1830, the Age of Revolution : Grand Palais, Paris, 16 November 1974-3 February 1975, the Detroit Institute of Arts, 5 March-4 May 1975, the Metropolitan Museum of Art, New York, 12 June-7 September 1975 : exhibition sponsored by Founders Society the Detroit Institute of Arts, the Metropolitan Museum of Art, and the Réunion des Musées Nationaux, Paris....</t>
        </is>
      </c>
      <c r="F445" t="inlineStr">
        <is>
          <t>No</t>
        </is>
      </c>
      <c r="G445" t="inlineStr">
        <is>
          <t>1</t>
        </is>
      </c>
      <c r="H445" t="inlineStr">
        <is>
          <t>No</t>
        </is>
      </c>
      <c r="I445" t="inlineStr">
        <is>
          <t>No</t>
        </is>
      </c>
      <c r="J445" t="inlineStr">
        <is>
          <t>0</t>
        </is>
      </c>
      <c r="L445" t="inlineStr">
        <is>
          <t>Detroit : distributed by Wayne State University Press, [1975]</t>
        </is>
      </c>
      <c r="M445" t="inlineStr">
        <is>
          <t>1975</t>
        </is>
      </c>
      <c r="N445" t="inlineStr">
        <is>
          <t>English language ed.</t>
        </is>
      </c>
      <c r="O445" t="inlineStr">
        <is>
          <t>eng</t>
        </is>
      </c>
      <c r="P445" t="inlineStr">
        <is>
          <t>miu</t>
        </is>
      </c>
      <c r="R445" t="inlineStr">
        <is>
          <t xml:space="preserve">ND </t>
        </is>
      </c>
      <c r="S445" t="n">
        <v>13</v>
      </c>
      <c r="T445" t="n">
        <v>13</v>
      </c>
      <c r="U445" t="inlineStr">
        <is>
          <t>2003-02-28</t>
        </is>
      </c>
      <c r="V445" t="inlineStr">
        <is>
          <t>2003-02-28</t>
        </is>
      </c>
      <c r="W445" t="inlineStr">
        <is>
          <t>1994-02-03</t>
        </is>
      </c>
      <c r="X445" t="inlineStr">
        <is>
          <t>1994-02-03</t>
        </is>
      </c>
      <c r="Y445" t="n">
        <v>751</v>
      </c>
      <c r="Z445" t="n">
        <v>683</v>
      </c>
      <c r="AA445" t="n">
        <v>694</v>
      </c>
      <c r="AB445" t="n">
        <v>4</v>
      </c>
      <c r="AC445" t="n">
        <v>4</v>
      </c>
      <c r="AD445" t="n">
        <v>30</v>
      </c>
      <c r="AE445" t="n">
        <v>30</v>
      </c>
      <c r="AF445" t="n">
        <v>14</v>
      </c>
      <c r="AG445" t="n">
        <v>14</v>
      </c>
      <c r="AH445" t="n">
        <v>6</v>
      </c>
      <c r="AI445" t="n">
        <v>6</v>
      </c>
      <c r="AJ445" t="n">
        <v>15</v>
      </c>
      <c r="AK445" t="n">
        <v>15</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HYPERLINK("https://creighton-primo.hosted.exlibrisgroup.com/primo-explore/search?tab=default_tab&amp;search_scope=EVERYTHING&amp;vid=01CRU&amp;lang=en_US&amp;offset=0&amp;query=any,contains,991004329309702656","Catalog Record")</f>
        <v/>
      </c>
      <c r="AT445">
        <f>HYPERLINK("http://www.worldcat.org/oclc/3053604","WorldCat Record")</f>
        <v/>
      </c>
      <c r="AU445" t="inlineStr">
        <is>
          <t>9490691788:eng</t>
        </is>
      </c>
      <c r="AV445" t="inlineStr">
        <is>
          <t>3053604</t>
        </is>
      </c>
      <c r="AW445" t="inlineStr">
        <is>
          <t>991004329309702656</t>
        </is>
      </c>
      <c r="AX445" t="inlineStr">
        <is>
          <t>991004329309702656</t>
        </is>
      </c>
      <c r="AY445" t="inlineStr">
        <is>
          <t>2265920570002656</t>
        </is>
      </c>
      <c r="AZ445" t="inlineStr">
        <is>
          <t>BOOK</t>
        </is>
      </c>
      <c r="BC445" t="inlineStr">
        <is>
          <t>32285001840932</t>
        </is>
      </c>
      <c r="BD445" t="inlineStr">
        <is>
          <t>893810470</t>
        </is>
      </c>
    </row>
    <row r="446">
      <c r="A446" t="inlineStr">
        <is>
          <t>No</t>
        </is>
      </c>
      <c r="B446" t="inlineStr">
        <is>
          <t>ND547 .C366 1994</t>
        </is>
      </c>
      <c r="C446" t="inlineStr">
        <is>
          <t>0                      ND 0547000C  366         1994</t>
        </is>
      </c>
      <c r="D446" t="inlineStr">
        <is>
          <t>"Masterpiece" studies : Manet, Zola, Van Gogh, &amp; Monet / Kermit Swiler Champa.</t>
        </is>
      </c>
      <c r="F446" t="inlineStr">
        <is>
          <t>No</t>
        </is>
      </c>
      <c r="G446" t="inlineStr">
        <is>
          <t>1</t>
        </is>
      </c>
      <c r="H446" t="inlineStr">
        <is>
          <t>No</t>
        </is>
      </c>
      <c r="I446" t="inlineStr">
        <is>
          <t>No</t>
        </is>
      </c>
      <c r="J446" t="inlineStr">
        <is>
          <t>0</t>
        </is>
      </c>
      <c r="K446" t="inlineStr">
        <is>
          <t>Champa, Kermit Swiler.</t>
        </is>
      </c>
      <c r="L446" t="inlineStr">
        <is>
          <t>University Park, Pa. : Pennsylvania State University Press, c1994.</t>
        </is>
      </c>
      <c r="M446" t="inlineStr">
        <is>
          <t>1994</t>
        </is>
      </c>
      <c r="O446" t="inlineStr">
        <is>
          <t>eng</t>
        </is>
      </c>
      <c r="P446" t="inlineStr">
        <is>
          <t>pau</t>
        </is>
      </c>
      <c r="R446" t="inlineStr">
        <is>
          <t xml:space="preserve">ND </t>
        </is>
      </c>
      <c r="S446" t="n">
        <v>15</v>
      </c>
      <c r="T446" t="n">
        <v>15</v>
      </c>
      <c r="U446" t="inlineStr">
        <is>
          <t>2007-11-08</t>
        </is>
      </c>
      <c r="V446" t="inlineStr">
        <is>
          <t>2007-11-08</t>
        </is>
      </c>
      <c r="W446" t="inlineStr">
        <is>
          <t>1994-06-06</t>
        </is>
      </c>
      <c r="X446" t="inlineStr">
        <is>
          <t>1994-06-06</t>
        </is>
      </c>
      <c r="Y446" t="n">
        <v>333</v>
      </c>
      <c r="Z446" t="n">
        <v>275</v>
      </c>
      <c r="AA446" t="n">
        <v>276</v>
      </c>
      <c r="AB446" t="n">
        <v>3</v>
      </c>
      <c r="AC446" t="n">
        <v>3</v>
      </c>
      <c r="AD446" t="n">
        <v>14</v>
      </c>
      <c r="AE446" t="n">
        <v>14</v>
      </c>
      <c r="AF446" t="n">
        <v>4</v>
      </c>
      <c r="AG446" t="n">
        <v>4</v>
      </c>
      <c r="AH446" t="n">
        <v>5</v>
      </c>
      <c r="AI446" t="n">
        <v>5</v>
      </c>
      <c r="AJ446" t="n">
        <v>7</v>
      </c>
      <c r="AK446" t="n">
        <v>7</v>
      </c>
      <c r="AL446" t="n">
        <v>2</v>
      </c>
      <c r="AM446" t="n">
        <v>2</v>
      </c>
      <c r="AN446" t="n">
        <v>0</v>
      </c>
      <c r="AO446" t="n">
        <v>0</v>
      </c>
      <c r="AP446" t="inlineStr">
        <is>
          <t>No</t>
        </is>
      </c>
      <c r="AQ446" t="inlineStr">
        <is>
          <t>Yes</t>
        </is>
      </c>
      <c r="AR446">
        <f>HYPERLINK("http://catalog.hathitrust.org/Record/002791878","HathiTrust Record")</f>
        <v/>
      </c>
      <c r="AS446">
        <f>HYPERLINK("https://creighton-primo.hosted.exlibrisgroup.com/primo-explore/search?tab=default_tab&amp;search_scope=EVERYTHING&amp;vid=01CRU&amp;lang=en_US&amp;offset=0&amp;query=any,contains,991002165829702656","Catalog Record")</f>
        <v/>
      </c>
      <c r="AT446">
        <f>HYPERLINK("http://www.worldcat.org/oclc/27895481","WorldCat Record")</f>
        <v/>
      </c>
      <c r="AU446" t="inlineStr">
        <is>
          <t>346142586:eng</t>
        </is>
      </c>
      <c r="AV446" t="inlineStr">
        <is>
          <t>27895481</t>
        </is>
      </c>
      <c r="AW446" t="inlineStr">
        <is>
          <t>991002165829702656</t>
        </is>
      </c>
      <c r="AX446" t="inlineStr">
        <is>
          <t>991002165829702656</t>
        </is>
      </c>
      <c r="AY446" t="inlineStr">
        <is>
          <t>2261761070002656</t>
        </is>
      </c>
      <c r="AZ446" t="inlineStr">
        <is>
          <t>BOOK</t>
        </is>
      </c>
      <c r="BB446" t="inlineStr">
        <is>
          <t>9780271010885</t>
        </is>
      </c>
      <c r="BC446" t="inlineStr">
        <is>
          <t>32285001921385</t>
        </is>
      </c>
      <c r="BD446" t="inlineStr">
        <is>
          <t>893873183</t>
        </is>
      </c>
    </row>
    <row r="447">
      <c r="A447" t="inlineStr">
        <is>
          <t>No</t>
        </is>
      </c>
      <c r="B447" t="inlineStr">
        <is>
          <t>ND547 .C3713</t>
        </is>
      </c>
      <c r="C447" t="inlineStr">
        <is>
          <t>0                      ND 0547000C  3713</t>
        </is>
      </c>
      <c r="D447" t="inlineStr">
        <is>
          <t>The Nabis &amp; their period / translated by Michael Bullock.</t>
        </is>
      </c>
      <c r="F447" t="inlineStr">
        <is>
          <t>No</t>
        </is>
      </c>
      <c r="G447" t="inlineStr">
        <is>
          <t>1</t>
        </is>
      </c>
      <c r="H447" t="inlineStr">
        <is>
          <t>No</t>
        </is>
      </c>
      <c r="I447" t="inlineStr">
        <is>
          <t>No</t>
        </is>
      </c>
      <c r="J447" t="inlineStr">
        <is>
          <t>0</t>
        </is>
      </c>
      <c r="K447" t="inlineStr">
        <is>
          <t>Chassé, Charles, 1883-1965.</t>
        </is>
      </c>
      <c r="L447" t="inlineStr">
        <is>
          <t>New York : Praeger, [1969]</t>
        </is>
      </c>
      <c r="M447" t="inlineStr">
        <is>
          <t>1969</t>
        </is>
      </c>
      <c r="O447" t="inlineStr">
        <is>
          <t>eng</t>
        </is>
      </c>
      <c r="P447" t="inlineStr">
        <is>
          <t>nyu</t>
        </is>
      </c>
      <c r="R447" t="inlineStr">
        <is>
          <t xml:space="preserve">ND </t>
        </is>
      </c>
      <c r="S447" t="n">
        <v>2</v>
      </c>
      <c r="T447" t="n">
        <v>2</v>
      </c>
      <c r="U447" t="inlineStr">
        <is>
          <t>1994-10-18</t>
        </is>
      </c>
      <c r="V447" t="inlineStr">
        <is>
          <t>1994-10-18</t>
        </is>
      </c>
      <c r="W447" t="inlineStr">
        <is>
          <t>1993-03-29</t>
        </is>
      </c>
      <c r="X447" t="inlineStr">
        <is>
          <t>1993-03-29</t>
        </is>
      </c>
      <c r="Y447" t="n">
        <v>670</v>
      </c>
      <c r="Z447" t="n">
        <v>635</v>
      </c>
      <c r="AA447" t="n">
        <v>695</v>
      </c>
      <c r="AB447" t="n">
        <v>2</v>
      </c>
      <c r="AC447" t="n">
        <v>3</v>
      </c>
      <c r="AD447" t="n">
        <v>24</v>
      </c>
      <c r="AE447" t="n">
        <v>28</v>
      </c>
      <c r="AF447" t="n">
        <v>12</v>
      </c>
      <c r="AG447" t="n">
        <v>13</v>
      </c>
      <c r="AH447" t="n">
        <v>5</v>
      </c>
      <c r="AI447" t="n">
        <v>6</v>
      </c>
      <c r="AJ447" t="n">
        <v>11</v>
      </c>
      <c r="AK447" t="n">
        <v>12</v>
      </c>
      <c r="AL447" t="n">
        <v>1</v>
      </c>
      <c r="AM447" t="n">
        <v>2</v>
      </c>
      <c r="AN447" t="n">
        <v>0</v>
      </c>
      <c r="AO447" t="n">
        <v>0</v>
      </c>
      <c r="AP447" t="inlineStr">
        <is>
          <t>No</t>
        </is>
      </c>
      <c r="AQ447" t="inlineStr">
        <is>
          <t>Yes</t>
        </is>
      </c>
      <c r="AR447">
        <f>HYPERLINK("http://catalog.hathitrust.org/Record/000349659","HathiTrust Record")</f>
        <v/>
      </c>
      <c r="AS447">
        <f>HYPERLINK("https://creighton-primo.hosted.exlibrisgroup.com/primo-explore/search?tab=default_tab&amp;search_scope=EVERYTHING&amp;vid=01CRU&amp;lang=en_US&amp;offset=0&amp;query=any,contains,991000005379702656","Catalog Record")</f>
        <v/>
      </c>
      <c r="AT447">
        <f>HYPERLINK("http://www.worldcat.org/oclc/13141","WorldCat Record")</f>
        <v/>
      </c>
      <c r="AU447" t="inlineStr">
        <is>
          <t>1862322821:eng</t>
        </is>
      </c>
      <c r="AV447" t="inlineStr">
        <is>
          <t>13141</t>
        </is>
      </c>
      <c r="AW447" t="inlineStr">
        <is>
          <t>991000005379702656</t>
        </is>
      </c>
      <c r="AX447" t="inlineStr">
        <is>
          <t>991000005379702656</t>
        </is>
      </c>
      <c r="AY447" t="inlineStr">
        <is>
          <t>2266325980002656</t>
        </is>
      </c>
      <c r="AZ447" t="inlineStr">
        <is>
          <t>BOOK</t>
        </is>
      </c>
      <c r="BC447" t="inlineStr">
        <is>
          <t>32285001591998</t>
        </is>
      </c>
      <c r="BD447" t="inlineStr">
        <is>
          <t>893314587</t>
        </is>
      </c>
    </row>
    <row r="448">
      <c r="A448" t="inlineStr">
        <is>
          <t>No</t>
        </is>
      </c>
      <c r="B448" t="inlineStr">
        <is>
          <t>ND547 .F75</t>
        </is>
      </c>
      <c r="C448" t="inlineStr">
        <is>
          <t>0                      ND 0547000F  75</t>
        </is>
      </c>
      <c r="D448" t="inlineStr">
        <is>
          <t>David to Delacroix / translated by Robert Goldwater.</t>
        </is>
      </c>
      <c r="F448" t="inlineStr">
        <is>
          <t>No</t>
        </is>
      </c>
      <c r="G448" t="inlineStr">
        <is>
          <t>1</t>
        </is>
      </c>
      <c r="H448" t="inlineStr">
        <is>
          <t>No</t>
        </is>
      </c>
      <c r="I448" t="inlineStr">
        <is>
          <t>No</t>
        </is>
      </c>
      <c r="J448" t="inlineStr">
        <is>
          <t>0</t>
        </is>
      </c>
      <c r="K448" t="inlineStr">
        <is>
          <t>Friedlaender, Walter, 1873-1966.</t>
        </is>
      </c>
      <c r="L448" t="inlineStr">
        <is>
          <t>Cambridge : Harvard University Press, 1952.</t>
        </is>
      </c>
      <c r="M448" t="inlineStr">
        <is>
          <t>1952</t>
        </is>
      </c>
      <c r="O448" t="inlineStr">
        <is>
          <t>eng</t>
        </is>
      </c>
      <c r="P448" t="inlineStr">
        <is>
          <t>mau</t>
        </is>
      </c>
      <c r="R448" t="inlineStr">
        <is>
          <t xml:space="preserve">ND </t>
        </is>
      </c>
      <c r="S448" t="n">
        <v>8</v>
      </c>
      <c r="T448" t="n">
        <v>8</v>
      </c>
      <c r="U448" t="inlineStr">
        <is>
          <t>1994-04-07</t>
        </is>
      </c>
      <c r="V448" t="inlineStr">
        <is>
          <t>1994-04-07</t>
        </is>
      </c>
      <c r="W448" t="inlineStr">
        <is>
          <t>1993-03-29</t>
        </is>
      </c>
      <c r="X448" t="inlineStr">
        <is>
          <t>1993-03-29</t>
        </is>
      </c>
      <c r="Y448" t="n">
        <v>1000</v>
      </c>
      <c r="Z448" t="n">
        <v>877</v>
      </c>
      <c r="AA448" t="n">
        <v>1149</v>
      </c>
      <c r="AB448" t="n">
        <v>6</v>
      </c>
      <c r="AC448" t="n">
        <v>8</v>
      </c>
      <c r="AD448" t="n">
        <v>35</v>
      </c>
      <c r="AE448" t="n">
        <v>47</v>
      </c>
      <c r="AF448" t="n">
        <v>17</v>
      </c>
      <c r="AG448" t="n">
        <v>23</v>
      </c>
      <c r="AH448" t="n">
        <v>7</v>
      </c>
      <c r="AI448" t="n">
        <v>9</v>
      </c>
      <c r="AJ448" t="n">
        <v>13</v>
      </c>
      <c r="AK448" t="n">
        <v>21</v>
      </c>
      <c r="AL448" t="n">
        <v>5</v>
      </c>
      <c r="AM448" t="n">
        <v>6</v>
      </c>
      <c r="AN448" t="n">
        <v>0</v>
      </c>
      <c r="AO448" t="n">
        <v>0</v>
      </c>
      <c r="AP448" t="inlineStr">
        <is>
          <t>No</t>
        </is>
      </c>
      <c r="AQ448" t="inlineStr">
        <is>
          <t>Yes</t>
        </is>
      </c>
      <c r="AR448">
        <f>HYPERLINK("http://catalog.hathitrust.org/Record/000411840","HathiTrust Record")</f>
        <v/>
      </c>
      <c r="AS448">
        <f>HYPERLINK("https://creighton-primo.hosted.exlibrisgroup.com/primo-explore/search?tab=default_tab&amp;search_scope=EVERYTHING&amp;vid=01CRU&amp;lang=en_US&amp;offset=0&amp;query=any,contains,991003511899702656","Catalog Record")</f>
        <v/>
      </c>
      <c r="AT448">
        <f>HYPERLINK("http://www.worldcat.org/oclc/1067066","WorldCat Record")</f>
        <v/>
      </c>
      <c r="AU448" t="inlineStr">
        <is>
          <t>118251022:eng</t>
        </is>
      </c>
      <c r="AV448" t="inlineStr">
        <is>
          <t>1067066</t>
        </is>
      </c>
      <c r="AW448" t="inlineStr">
        <is>
          <t>991003511899702656</t>
        </is>
      </c>
      <c r="AX448" t="inlineStr">
        <is>
          <t>991003511899702656</t>
        </is>
      </c>
      <c r="AY448" t="inlineStr">
        <is>
          <t>2267624550002656</t>
        </is>
      </c>
      <c r="AZ448" t="inlineStr">
        <is>
          <t>BOOK</t>
        </is>
      </c>
      <c r="BC448" t="inlineStr">
        <is>
          <t>32285001591980</t>
        </is>
      </c>
      <c r="BD448" t="inlineStr">
        <is>
          <t>893342635</t>
        </is>
      </c>
    </row>
    <row r="449">
      <c r="A449" t="inlineStr">
        <is>
          <t>No</t>
        </is>
      </c>
      <c r="B449" t="inlineStr">
        <is>
          <t>ND547 .K683 1995</t>
        </is>
      </c>
      <c r="C449" t="inlineStr">
        <is>
          <t>0                      ND 0547000K  683         1995</t>
        </is>
      </c>
      <c r="D449" t="inlineStr">
        <is>
          <t>Hidden treasures revealed : impressionist masterpieces and other important French paintings preserved by the State Hermitage Museum, St. Petersburg / Albert Kostenevich.</t>
        </is>
      </c>
      <c r="F449" t="inlineStr">
        <is>
          <t>No</t>
        </is>
      </c>
      <c r="G449" t="inlineStr">
        <is>
          <t>1</t>
        </is>
      </c>
      <c r="H449" t="inlineStr">
        <is>
          <t>No</t>
        </is>
      </c>
      <c r="I449" t="inlineStr">
        <is>
          <t>No</t>
        </is>
      </c>
      <c r="J449" t="inlineStr">
        <is>
          <t>0</t>
        </is>
      </c>
      <c r="K449" t="inlineStr">
        <is>
          <t>Kostenevich, A. G. (Alʹbert Grigorʹevich)</t>
        </is>
      </c>
      <c r="L449" t="inlineStr">
        <is>
          <t>New York : Ministry of Culture of the Russian Federation, The State Hermitage Museum, St. Petersburg in association with H.N. Abrams, 1995.</t>
        </is>
      </c>
      <c r="M449" t="inlineStr">
        <is>
          <t>1995</t>
        </is>
      </c>
      <c r="O449" t="inlineStr">
        <is>
          <t>eng</t>
        </is>
      </c>
      <c r="P449" t="inlineStr">
        <is>
          <t>nyu</t>
        </is>
      </c>
      <c r="R449" t="inlineStr">
        <is>
          <t xml:space="preserve">ND </t>
        </is>
      </c>
      <c r="S449" t="n">
        <v>1</v>
      </c>
      <c r="T449" t="n">
        <v>1</v>
      </c>
      <c r="U449" t="inlineStr">
        <is>
          <t>2009-05-11</t>
        </is>
      </c>
      <c r="V449" t="inlineStr">
        <is>
          <t>2009-05-11</t>
        </is>
      </c>
      <c r="W449" t="inlineStr">
        <is>
          <t>2009-05-11</t>
        </is>
      </c>
      <c r="X449" t="inlineStr">
        <is>
          <t>2009-05-11</t>
        </is>
      </c>
      <c r="Y449" t="n">
        <v>1504</v>
      </c>
      <c r="Z449" t="n">
        <v>1430</v>
      </c>
      <c r="AA449" t="n">
        <v>1459</v>
      </c>
      <c r="AB449" t="n">
        <v>14</v>
      </c>
      <c r="AC449" t="n">
        <v>14</v>
      </c>
      <c r="AD449" t="n">
        <v>35</v>
      </c>
      <c r="AE449" t="n">
        <v>35</v>
      </c>
      <c r="AF449" t="n">
        <v>14</v>
      </c>
      <c r="AG449" t="n">
        <v>14</v>
      </c>
      <c r="AH449" t="n">
        <v>7</v>
      </c>
      <c r="AI449" t="n">
        <v>7</v>
      </c>
      <c r="AJ449" t="n">
        <v>14</v>
      </c>
      <c r="AK449" t="n">
        <v>14</v>
      </c>
      <c r="AL449" t="n">
        <v>7</v>
      </c>
      <c r="AM449" t="n">
        <v>7</v>
      </c>
      <c r="AN449" t="n">
        <v>0</v>
      </c>
      <c r="AO449" t="n">
        <v>0</v>
      </c>
      <c r="AP449" t="inlineStr">
        <is>
          <t>No</t>
        </is>
      </c>
      <c r="AQ449" t="inlineStr">
        <is>
          <t>Yes</t>
        </is>
      </c>
      <c r="AR449">
        <f>HYPERLINK("http://catalog.hathitrust.org/Record/003096059","HathiTrust Record")</f>
        <v/>
      </c>
      <c r="AS449">
        <f>HYPERLINK("https://creighton-primo.hosted.exlibrisgroup.com/primo-explore/search?tab=default_tab&amp;search_scope=EVERYTHING&amp;vid=01CRU&amp;lang=en_US&amp;offset=0&amp;query=any,contains,991005315119702656","Catalog Record")</f>
        <v/>
      </c>
      <c r="AT449">
        <f>HYPERLINK("http://www.worldcat.org/oclc/32278514","WorldCat Record")</f>
        <v/>
      </c>
      <c r="AU449" t="inlineStr">
        <is>
          <t>34362969:eng</t>
        </is>
      </c>
      <c r="AV449" t="inlineStr">
        <is>
          <t>32278514</t>
        </is>
      </c>
      <c r="AW449" t="inlineStr">
        <is>
          <t>991005315119702656</t>
        </is>
      </c>
      <c r="AX449" t="inlineStr">
        <is>
          <t>991005315119702656</t>
        </is>
      </c>
      <c r="AY449" t="inlineStr">
        <is>
          <t>2262112040002656</t>
        </is>
      </c>
      <c r="AZ449" t="inlineStr">
        <is>
          <t>BOOK</t>
        </is>
      </c>
      <c r="BB449" t="inlineStr">
        <is>
          <t>9780810934320</t>
        </is>
      </c>
      <c r="BC449" t="inlineStr">
        <is>
          <t>32285005531693</t>
        </is>
      </c>
      <c r="BD449" t="inlineStr">
        <is>
          <t>893248713</t>
        </is>
      </c>
    </row>
    <row r="450">
      <c r="A450" t="inlineStr">
        <is>
          <t>No</t>
        </is>
      </c>
      <c r="B450" t="inlineStr">
        <is>
          <t>ND547 .L533</t>
        </is>
      </c>
      <c r="C450" t="inlineStr">
        <is>
          <t>0                      ND 0547000L  533</t>
        </is>
      </c>
      <c r="D450" t="inlineStr">
        <is>
          <t>French painting : the nineteenth century / [translated from the French by James Emmons].</t>
        </is>
      </c>
      <c r="F450" t="inlineStr">
        <is>
          <t>No</t>
        </is>
      </c>
      <c r="G450" t="inlineStr">
        <is>
          <t>1</t>
        </is>
      </c>
      <c r="H450" t="inlineStr">
        <is>
          <t>No</t>
        </is>
      </c>
      <c r="I450" t="inlineStr">
        <is>
          <t>No</t>
        </is>
      </c>
      <c r="J450" t="inlineStr">
        <is>
          <t>0</t>
        </is>
      </c>
      <c r="K450" t="inlineStr">
        <is>
          <t>Leymarie, Jean.</t>
        </is>
      </c>
      <c r="L450" t="inlineStr">
        <is>
          <t>[Geneva] : Skira [distributed in the U.S. by World Pub. Co., Cleveland, 1962]</t>
        </is>
      </c>
      <c r="M450" t="inlineStr">
        <is>
          <t>1962</t>
        </is>
      </c>
      <c r="O450" t="inlineStr">
        <is>
          <t>eng</t>
        </is>
      </c>
      <c r="P450" t="inlineStr">
        <is>
          <t xml:space="preserve">sz </t>
        </is>
      </c>
      <c r="Q450" t="inlineStr">
        <is>
          <t>Painting, color, history</t>
        </is>
      </c>
      <c r="R450" t="inlineStr">
        <is>
          <t xml:space="preserve">ND </t>
        </is>
      </c>
      <c r="S450" t="n">
        <v>1</v>
      </c>
      <c r="T450" t="n">
        <v>1</v>
      </c>
      <c r="U450" t="inlineStr">
        <is>
          <t>1999-11-10</t>
        </is>
      </c>
      <c r="V450" t="inlineStr">
        <is>
          <t>1999-11-10</t>
        </is>
      </c>
      <c r="W450" t="inlineStr">
        <is>
          <t>1997-07-29</t>
        </is>
      </c>
      <c r="X450" t="inlineStr">
        <is>
          <t>1997-07-29</t>
        </is>
      </c>
      <c r="Y450" t="n">
        <v>674</v>
      </c>
      <c r="Z450" t="n">
        <v>590</v>
      </c>
      <c r="AA450" t="n">
        <v>602</v>
      </c>
      <c r="AB450" t="n">
        <v>6</v>
      </c>
      <c r="AC450" t="n">
        <v>6</v>
      </c>
      <c r="AD450" t="n">
        <v>19</v>
      </c>
      <c r="AE450" t="n">
        <v>19</v>
      </c>
      <c r="AF450" t="n">
        <v>9</v>
      </c>
      <c r="AG450" t="n">
        <v>9</v>
      </c>
      <c r="AH450" t="n">
        <v>4</v>
      </c>
      <c r="AI450" t="n">
        <v>4</v>
      </c>
      <c r="AJ450" t="n">
        <v>9</v>
      </c>
      <c r="AK450" t="n">
        <v>9</v>
      </c>
      <c r="AL450" t="n">
        <v>3</v>
      </c>
      <c r="AM450" t="n">
        <v>3</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HYPERLINK("https://creighton-primo.hosted.exlibrisgroup.com/primo-explore/search?tab=default_tab&amp;search_scope=EVERYTHING&amp;vid=01CRU&amp;lang=en_US&amp;offset=0&amp;query=any,contains,991002888199702656","Catalog Record")</f>
        <v/>
      </c>
      <c r="AT450">
        <f>HYPERLINK("http://www.worldcat.org/oclc/510084","WorldCat Record")</f>
        <v/>
      </c>
      <c r="AU450" t="inlineStr">
        <is>
          <t>1471124:eng</t>
        </is>
      </c>
      <c r="AV450" t="inlineStr">
        <is>
          <t>510084</t>
        </is>
      </c>
      <c r="AW450" t="inlineStr">
        <is>
          <t>991002888199702656</t>
        </is>
      </c>
      <c r="AX450" t="inlineStr">
        <is>
          <t>991002888199702656</t>
        </is>
      </c>
      <c r="AY450" t="inlineStr">
        <is>
          <t>2260076510002656</t>
        </is>
      </c>
      <c r="AZ450" t="inlineStr">
        <is>
          <t>BOOK</t>
        </is>
      </c>
      <c r="BC450" t="inlineStr">
        <is>
          <t>32285002967791</t>
        </is>
      </c>
      <c r="BD450" t="inlineStr">
        <is>
          <t>893698397</t>
        </is>
      </c>
    </row>
    <row r="451">
      <c r="A451" t="inlineStr">
        <is>
          <t>No</t>
        </is>
      </c>
      <c r="B451" t="inlineStr">
        <is>
          <t>ND547 .L54</t>
        </is>
      </c>
      <c r="C451" t="inlineStr">
        <is>
          <t>0                      ND 0547000L  54</t>
        </is>
      </c>
      <c r="D451" t="inlineStr">
        <is>
          <t>Impressionism : biographical and critical study / translated by James Emmons.</t>
        </is>
      </c>
      <c r="E451" t="inlineStr">
        <is>
          <t>V.1</t>
        </is>
      </c>
      <c r="F451" t="inlineStr">
        <is>
          <t>Yes</t>
        </is>
      </c>
      <c r="G451" t="inlineStr">
        <is>
          <t>1</t>
        </is>
      </c>
      <c r="H451" t="inlineStr">
        <is>
          <t>No</t>
        </is>
      </c>
      <c r="I451" t="inlineStr">
        <is>
          <t>No</t>
        </is>
      </c>
      <c r="J451" t="inlineStr">
        <is>
          <t>0</t>
        </is>
      </c>
      <c r="K451" t="inlineStr">
        <is>
          <t>Leymarie, Jean.</t>
        </is>
      </c>
      <c r="L451" t="inlineStr">
        <is>
          <t>[Lausanne?] : Skira, [1955]</t>
        </is>
      </c>
      <c r="M451" t="inlineStr">
        <is>
          <t>1955</t>
        </is>
      </c>
      <c r="O451" t="inlineStr">
        <is>
          <t>eng</t>
        </is>
      </c>
      <c r="P451" t="inlineStr">
        <is>
          <t xml:space="preserve">sz </t>
        </is>
      </c>
      <c r="Q451" t="inlineStr">
        <is>
          <t>The Taste of our time, v. 11-12</t>
        </is>
      </c>
      <c r="R451" t="inlineStr">
        <is>
          <t xml:space="preserve">ND </t>
        </is>
      </c>
      <c r="S451" t="n">
        <v>9</v>
      </c>
      <c r="T451" t="n">
        <v>9</v>
      </c>
      <c r="U451" t="inlineStr">
        <is>
          <t>2007-12-11</t>
        </is>
      </c>
      <c r="V451" t="inlineStr">
        <is>
          <t>2007-12-11</t>
        </is>
      </c>
      <c r="W451" t="inlineStr">
        <is>
          <t>1994-05-04</t>
        </is>
      </c>
      <c r="X451" t="inlineStr">
        <is>
          <t>1994-05-04</t>
        </is>
      </c>
      <c r="Y451" t="n">
        <v>967</v>
      </c>
      <c r="Z451" t="n">
        <v>880</v>
      </c>
      <c r="AA451" t="n">
        <v>1022</v>
      </c>
      <c r="AB451" t="n">
        <v>5</v>
      </c>
      <c r="AC451" t="n">
        <v>6</v>
      </c>
      <c r="AD451" t="n">
        <v>24</v>
      </c>
      <c r="AE451" t="n">
        <v>29</v>
      </c>
      <c r="AF451" t="n">
        <v>12</v>
      </c>
      <c r="AG451" t="n">
        <v>14</v>
      </c>
      <c r="AH451" t="n">
        <v>3</v>
      </c>
      <c r="AI451" t="n">
        <v>3</v>
      </c>
      <c r="AJ451" t="n">
        <v>12</v>
      </c>
      <c r="AK451" t="n">
        <v>15</v>
      </c>
      <c r="AL451" t="n">
        <v>3</v>
      </c>
      <c r="AM451" t="n">
        <v>4</v>
      </c>
      <c r="AN451" t="n">
        <v>0</v>
      </c>
      <c r="AO451" t="n">
        <v>0</v>
      </c>
      <c r="AP451" t="inlineStr">
        <is>
          <t>No</t>
        </is>
      </c>
      <c r="AQ451" t="inlineStr">
        <is>
          <t>Yes</t>
        </is>
      </c>
      <c r="AR451">
        <f>HYPERLINK("http://catalog.hathitrust.org/Record/000373859","HathiTrust Record")</f>
        <v/>
      </c>
      <c r="AS451">
        <f>HYPERLINK("https://creighton-primo.hosted.exlibrisgroup.com/primo-explore/search?tab=default_tab&amp;search_scope=EVERYTHING&amp;vid=01CRU&amp;lang=en_US&amp;offset=0&amp;query=any,contains,991003029599702656","Catalog Record")</f>
        <v/>
      </c>
      <c r="AT451">
        <f>HYPERLINK("http://www.worldcat.org/oclc/592843","WorldCat Record")</f>
        <v/>
      </c>
      <c r="AU451" t="inlineStr">
        <is>
          <t>1228158:eng</t>
        </is>
      </c>
      <c r="AV451" t="inlineStr">
        <is>
          <t>592843</t>
        </is>
      </c>
      <c r="AW451" t="inlineStr">
        <is>
          <t>991003029599702656</t>
        </is>
      </c>
      <c r="AX451" t="inlineStr">
        <is>
          <t>991003029599702656</t>
        </is>
      </c>
      <c r="AY451" t="inlineStr">
        <is>
          <t>2264330980002656</t>
        </is>
      </c>
      <c r="AZ451" t="inlineStr">
        <is>
          <t>BOOK</t>
        </is>
      </c>
      <c r="BC451" t="inlineStr">
        <is>
          <t>32285001907129</t>
        </is>
      </c>
      <c r="BD451" t="inlineStr">
        <is>
          <t>893786894</t>
        </is>
      </c>
    </row>
    <row r="452">
      <c r="A452" t="inlineStr">
        <is>
          <t>No</t>
        </is>
      </c>
      <c r="B452" t="inlineStr">
        <is>
          <t>ND547 .S55</t>
        </is>
      </c>
      <c r="C452" t="inlineStr">
        <is>
          <t>0                      ND 0547000S  55</t>
        </is>
      </c>
      <c r="D452" t="inlineStr">
        <is>
          <t>French painting between the past and the present.</t>
        </is>
      </c>
      <c r="F452" t="inlineStr">
        <is>
          <t>No</t>
        </is>
      </c>
      <c r="G452" t="inlineStr">
        <is>
          <t>1</t>
        </is>
      </c>
      <c r="H452" t="inlineStr">
        <is>
          <t>No</t>
        </is>
      </c>
      <c r="I452" t="inlineStr">
        <is>
          <t>No</t>
        </is>
      </c>
      <c r="J452" t="inlineStr">
        <is>
          <t>0</t>
        </is>
      </c>
      <c r="K452" t="inlineStr">
        <is>
          <t>Sloane, Joseph C.</t>
        </is>
      </c>
      <c r="L452" t="inlineStr">
        <is>
          <t>Princeton : Princeton University Press, 1951.</t>
        </is>
      </c>
      <c r="M452" t="inlineStr">
        <is>
          <t>1951</t>
        </is>
      </c>
      <c r="O452" t="inlineStr">
        <is>
          <t>eng</t>
        </is>
      </c>
      <c r="P452" t="inlineStr">
        <is>
          <t xml:space="preserve">xx </t>
        </is>
      </c>
      <c r="Q452" t="inlineStr">
        <is>
          <t>Princeton monographs in art and archaeology ; 27</t>
        </is>
      </c>
      <c r="R452" t="inlineStr">
        <is>
          <t xml:space="preserve">ND </t>
        </is>
      </c>
      <c r="S452" t="n">
        <v>2</v>
      </c>
      <c r="T452" t="n">
        <v>2</v>
      </c>
      <c r="U452" t="inlineStr">
        <is>
          <t>1992-09-21</t>
        </is>
      </c>
      <c r="V452" t="inlineStr">
        <is>
          <t>1992-09-21</t>
        </is>
      </c>
      <c r="W452" t="inlineStr">
        <is>
          <t>1992-02-04</t>
        </is>
      </c>
      <c r="X452" t="inlineStr">
        <is>
          <t>1992-02-04</t>
        </is>
      </c>
      <c r="Y452" t="n">
        <v>350</v>
      </c>
      <c r="Z452" t="n">
        <v>339</v>
      </c>
      <c r="AA452" t="n">
        <v>633</v>
      </c>
      <c r="AB452" t="n">
        <v>3</v>
      </c>
      <c r="AC452" t="n">
        <v>6</v>
      </c>
      <c r="AD452" t="n">
        <v>10</v>
      </c>
      <c r="AE452" t="n">
        <v>25</v>
      </c>
      <c r="AF452" t="n">
        <v>6</v>
      </c>
      <c r="AG452" t="n">
        <v>9</v>
      </c>
      <c r="AH452" t="n">
        <v>2</v>
      </c>
      <c r="AI452" t="n">
        <v>7</v>
      </c>
      <c r="AJ452" t="n">
        <v>3</v>
      </c>
      <c r="AK452" t="n">
        <v>11</v>
      </c>
      <c r="AL452" t="n">
        <v>2</v>
      </c>
      <c r="AM452" t="n">
        <v>4</v>
      </c>
      <c r="AN452" t="n">
        <v>0</v>
      </c>
      <c r="AO452" t="n">
        <v>0</v>
      </c>
      <c r="AP452" t="inlineStr">
        <is>
          <t>No</t>
        </is>
      </c>
      <c r="AQ452" t="inlineStr">
        <is>
          <t>Yes</t>
        </is>
      </c>
      <c r="AR452">
        <f>HYPERLINK("http://catalog.hathitrust.org/Record/000415920","HathiTrust Record")</f>
        <v/>
      </c>
      <c r="AS452">
        <f>HYPERLINK("https://creighton-primo.hosted.exlibrisgroup.com/primo-explore/search?tab=default_tab&amp;search_scope=EVERYTHING&amp;vid=01CRU&amp;lang=en_US&amp;offset=0&amp;query=any,contains,991002905729702656","Catalog Record")</f>
        <v/>
      </c>
      <c r="AT452">
        <f>HYPERLINK("http://www.worldcat.org/oclc/519348","WorldCat Record")</f>
        <v/>
      </c>
      <c r="AU452" t="inlineStr">
        <is>
          <t>1103753922:eng</t>
        </is>
      </c>
      <c r="AV452" t="inlineStr">
        <is>
          <t>519348</t>
        </is>
      </c>
      <c r="AW452" t="inlineStr">
        <is>
          <t>991002905729702656</t>
        </is>
      </c>
      <c r="AX452" t="inlineStr">
        <is>
          <t>991002905729702656</t>
        </is>
      </c>
      <c r="AY452" t="inlineStr">
        <is>
          <t>2256818620002656</t>
        </is>
      </c>
      <c r="AZ452" t="inlineStr">
        <is>
          <t>BOOK</t>
        </is>
      </c>
      <c r="BC452" t="inlineStr">
        <is>
          <t>32285000934280</t>
        </is>
      </c>
      <c r="BD452" t="inlineStr">
        <is>
          <t>893692147</t>
        </is>
      </c>
    </row>
    <row r="453">
      <c r="A453" t="inlineStr">
        <is>
          <t>No</t>
        </is>
      </c>
      <c r="B453" t="inlineStr">
        <is>
          <t>ND547.5.B3 B6813 1973b</t>
        </is>
      </c>
      <c r="C453" t="inlineStr">
        <is>
          <t>0                      ND 0547500B  3                  B  6813        1973b</t>
        </is>
      </c>
      <c r="D453" t="inlineStr">
        <is>
          <t>The Barbizon School and 19th century French landscape painting.</t>
        </is>
      </c>
      <c r="F453" t="inlineStr">
        <is>
          <t>No</t>
        </is>
      </c>
      <c r="G453" t="inlineStr">
        <is>
          <t>1</t>
        </is>
      </c>
      <c r="H453" t="inlineStr">
        <is>
          <t>No</t>
        </is>
      </c>
      <c r="I453" t="inlineStr">
        <is>
          <t>No</t>
        </is>
      </c>
      <c r="J453" t="inlineStr">
        <is>
          <t>0</t>
        </is>
      </c>
      <c r="K453" t="inlineStr">
        <is>
          <t>Bouret, Jean.</t>
        </is>
      </c>
      <c r="L453" t="inlineStr">
        <is>
          <t>Greenwich, Conn. : New York Graphic Society, [1973]</t>
        </is>
      </c>
      <c r="M453" t="inlineStr">
        <is>
          <t>1973</t>
        </is>
      </c>
      <c r="O453" t="inlineStr">
        <is>
          <t>eng</t>
        </is>
      </c>
      <c r="P453" t="inlineStr">
        <is>
          <t xml:space="preserve">xx </t>
        </is>
      </c>
      <c r="R453" t="inlineStr">
        <is>
          <t xml:space="preserve">ND </t>
        </is>
      </c>
      <c r="S453" t="n">
        <v>6</v>
      </c>
      <c r="T453" t="n">
        <v>6</v>
      </c>
      <c r="U453" t="inlineStr">
        <is>
          <t>2009-11-17</t>
        </is>
      </c>
      <c r="V453" t="inlineStr">
        <is>
          <t>2009-11-17</t>
        </is>
      </c>
      <c r="W453" t="inlineStr">
        <is>
          <t>1993-03-25</t>
        </is>
      </c>
      <c r="X453" t="inlineStr">
        <is>
          <t>1993-03-25</t>
        </is>
      </c>
      <c r="Y453" t="n">
        <v>651</v>
      </c>
      <c r="Z453" t="n">
        <v>608</v>
      </c>
      <c r="AA453" t="n">
        <v>774</v>
      </c>
      <c r="AB453" t="n">
        <v>5</v>
      </c>
      <c r="AC453" t="n">
        <v>7</v>
      </c>
      <c r="AD453" t="n">
        <v>24</v>
      </c>
      <c r="AE453" t="n">
        <v>32</v>
      </c>
      <c r="AF453" t="n">
        <v>10</v>
      </c>
      <c r="AG453" t="n">
        <v>13</v>
      </c>
      <c r="AH453" t="n">
        <v>5</v>
      </c>
      <c r="AI453" t="n">
        <v>6</v>
      </c>
      <c r="AJ453" t="n">
        <v>9</v>
      </c>
      <c r="AK453" t="n">
        <v>15</v>
      </c>
      <c r="AL453" t="n">
        <v>4</v>
      </c>
      <c r="AM453" t="n">
        <v>5</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HYPERLINK("https://creighton-primo.hosted.exlibrisgroup.com/primo-explore/search?tab=default_tab&amp;search_scope=EVERYTHING&amp;vid=01CRU&amp;lang=en_US&amp;offset=0&amp;query=any,contains,991003410859702656","Catalog Record")</f>
        <v/>
      </c>
      <c r="AT453">
        <f>HYPERLINK("http://www.worldcat.org/oclc/949368","WorldCat Record")</f>
        <v/>
      </c>
      <c r="AU453" t="inlineStr">
        <is>
          <t>4535740736:eng</t>
        </is>
      </c>
      <c r="AV453" t="inlineStr">
        <is>
          <t>949368</t>
        </is>
      </c>
      <c r="AW453" t="inlineStr">
        <is>
          <t>991003410859702656</t>
        </is>
      </c>
      <c r="AX453" t="inlineStr">
        <is>
          <t>991003410859702656</t>
        </is>
      </c>
      <c r="AY453" t="inlineStr">
        <is>
          <t>2263005490002656</t>
        </is>
      </c>
      <c r="AZ453" t="inlineStr">
        <is>
          <t>BOOK</t>
        </is>
      </c>
      <c r="BB453" t="inlineStr">
        <is>
          <t>9780821204955</t>
        </is>
      </c>
      <c r="BC453" t="inlineStr">
        <is>
          <t>32285001591253</t>
        </is>
      </c>
      <c r="BD453" t="inlineStr">
        <is>
          <t>893868389</t>
        </is>
      </c>
    </row>
    <row r="454">
      <c r="A454" t="inlineStr">
        <is>
          <t>No</t>
        </is>
      </c>
      <c r="B454" t="inlineStr">
        <is>
          <t>ND547.5.I4 G69 1993</t>
        </is>
      </c>
      <c r="C454" t="inlineStr">
        <is>
          <t>0                      ND 0547500I  4                  G  69          1993</t>
        </is>
      </c>
      <c r="D454" t="inlineStr">
        <is>
          <t>Great French paintings from the Barnes Foundation : Impressionist, Post-impressionist, and Early Modern.</t>
        </is>
      </c>
      <c r="F454" t="inlineStr">
        <is>
          <t>No</t>
        </is>
      </c>
      <c r="G454" t="inlineStr">
        <is>
          <t>1</t>
        </is>
      </c>
      <c r="H454" t="inlineStr">
        <is>
          <t>No</t>
        </is>
      </c>
      <c r="I454" t="inlineStr">
        <is>
          <t>No</t>
        </is>
      </c>
      <c r="J454" t="inlineStr">
        <is>
          <t>0</t>
        </is>
      </c>
      <c r="L454" t="inlineStr">
        <is>
          <t>New York : Knopf ; in association with Lincoln University Press, 1993.</t>
        </is>
      </c>
      <c r="M454" t="inlineStr">
        <is>
          <t>1993</t>
        </is>
      </c>
      <c r="N454" t="inlineStr">
        <is>
          <t>1st ed.</t>
        </is>
      </c>
      <c r="O454" t="inlineStr">
        <is>
          <t>eng</t>
        </is>
      </c>
      <c r="P454" t="inlineStr">
        <is>
          <t>nyu</t>
        </is>
      </c>
      <c r="R454" t="inlineStr">
        <is>
          <t xml:space="preserve">ND </t>
        </is>
      </c>
      <c r="S454" t="n">
        <v>12</v>
      </c>
      <c r="T454" t="n">
        <v>12</v>
      </c>
      <c r="U454" t="inlineStr">
        <is>
          <t>1998-04-13</t>
        </is>
      </c>
      <c r="V454" t="inlineStr">
        <is>
          <t>1998-04-13</t>
        </is>
      </c>
      <c r="W454" t="inlineStr">
        <is>
          <t>1994-03-22</t>
        </is>
      </c>
      <c r="X454" t="inlineStr">
        <is>
          <t>1994-03-22</t>
        </is>
      </c>
      <c r="Y454" t="n">
        <v>1506</v>
      </c>
      <c r="Z454" t="n">
        <v>1345</v>
      </c>
      <c r="AA454" t="n">
        <v>1353</v>
      </c>
      <c r="AB454" t="n">
        <v>12</v>
      </c>
      <c r="AC454" t="n">
        <v>12</v>
      </c>
      <c r="AD454" t="n">
        <v>38</v>
      </c>
      <c r="AE454" t="n">
        <v>40</v>
      </c>
      <c r="AF454" t="n">
        <v>15</v>
      </c>
      <c r="AG454" t="n">
        <v>17</v>
      </c>
      <c r="AH454" t="n">
        <v>8</v>
      </c>
      <c r="AI454" t="n">
        <v>9</v>
      </c>
      <c r="AJ454" t="n">
        <v>18</v>
      </c>
      <c r="AK454" t="n">
        <v>18</v>
      </c>
      <c r="AL454" t="n">
        <v>6</v>
      </c>
      <c r="AM454" t="n">
        <v>6</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HYPERLINK("https://creighton-primo.hosted.exlibrisgroup.com/primo-explore/search?tab=default_tab&amp;search_scope=EVERYTHING&amp;vid=01CRU&amp;lang=en_US&amp;offset=0&amp;query=any,contains,991002063649702656","Catalog Record")</f>
        <v/>
      </c>
      <c r="AT454">
        <f>HYPERLINK("http://www.worldcat.org/oclc/26399566","WorldCat Record")</f>
        <v/>
      </c>
      <c r="AU454" t="inlineStr">
        <is>
          <t>836779160:eng</t>
        </is>
      </c>
      <c r="AV454" t="inlineStr">
        <is>
          <t>26399566</t>
        </is>
      </c>
      <c r="AW454" t="inlineStr">
        <is>
          <t>991002063649702656</t>
        </is>
      </c>
      <c r="AX454" t="inlineStr">
        <is>
          <t>991002063649702656</t>
        </is>
      </c>
      <c r="AY454" t="inlineStr">
        <is>
          <t>2260905980002656</t>
        </is>
      </c>
      <c r="AZ454" t="inlineStr">
        <is>
          <t>BOOK</t>
        </is>
      </c>
      <c r="BB454" t="inlineStr">
        <is>
          <t>9780679409632</t>
        </is>
      </c>
      <c r="BC454" t="inlineStr">
        <is>
          <t>32285001856854</t>
        </is>
      </c>
      <c r="BD454" t="inlineStr">
        <is>
          <t>893898343</t>
        </is>
      </c>
    </row>
    <row r="455">
      <c r="A455" t="inlineStr">
        <is>
          <t>No</t>
        </is>
      </c>
      <c r="B455" t="inlineStr">
        <is>
          <t>ND547.5.I4 I448</t>
        </is>
      </c>
      <c r="C455" t="inlineStr">
        <is>
          <t>0                      ND 0547500I  4                  I  448</t>
        </is>
      </c>
      <c r="D455" t="inlineStr">
        <is>
          <t>Impressionism in perspective / edited by Barbara Ehrlich White.</t>
        </is>
      </c>
      <c r="F455" t="inlineStr">
        <is>
          <t>No</t>
        </is>
      </c>
      <c r="G455" t="inlineStr">
        <is>
          <t>1</t>
        </is>
      </c>
      <c r="H455" t="inlineStr">
        <is>
          <t>No</t>
        </is>
      </c>
      <c r="I455" t="inlineStr">
        <is>
          <t>No</t>
        </is>
      </c>
      <c r="J455" t="inlineStr">
        <is>
          <t>0</t>
        </is>
      </c>
      <c r="L455" t="inlineStr">
        <is>
          <t>Englewood Cliffs, N.J. : Prentice Hall, c1978.</t>
        </is>
      </c>
      <c r="M455" t="inlineStr">
        <is>
          <t>1978</t>
        </is>
      </c>
      <c r="O455" t="inlineStr">
        <is>
          <t>eng</t>
        </is>
      </c>
      <c r="P455" t="inlineStr">
        <is>
          <t>nju</t>
        </is>
      </c>
      <c r="Q455" t="inlineStr">
        <is>
          <t>A Spectrum book</t>
        </is>
      </c>
      <c r="R455" t="inlineStr">
        <is>
          <t xml:space="preserve">ND </t>
        </is>
      </c>
      <c r="S455" t="n">
        <v>19</v>
      </c>
      <c r="T455" t="n">
        <v>19</v>
      </c>
      <c r="U455" t="inlineStr">
        <is>
          <t>2008-04-20</t>
        </is>
      </c>
      <c r="V455" t="inlineStr">
        <is>
          <t>2008-04-20</t>
        </is>
      </c>
      <c r="W455" t="inlineStr">
        <is>
          <t>1990-07-20</t>
        </is>
      </c>
      <c r="X455" t="inlineStr">
        <is>
          <t>1990-07-20</t>
        </is>
      </c>
      <c r="Y455" t="n">
        <v>687</v>
      </c>
      <c r="Z455" t="n">
        <v>606</v>
      </c>
      <c r="AA455" t="n">
        <v>613</v>
      </c>
      <c r="AB455" t="n">
        <v>4</v>
      </c>
      <c r="AC455" t="n">
        <v>4</v>
      </c>
      <c r="AD455" t="n">
        <v>23</v>
      </c>
      <c r="AE455" t="n">
        <v>23</v>
      </c>
      <c r="AF455" t="n">
        <v>9</v>
      </c>
      <c r="AG455" t="n">
        <v>9</v>
      </c>
      <c r="AH455" t="n">
        <v>4</v>
      </c>
      <c r="AI455" t="n">
        <v>4</v>
      </c>
      <c r="AJ455" t="n">
        <v>14</v>
      </c>
      <c r="AK455" t="n">
        <v>14</v>
      </c>
      <c r="AL455" t="n">
        <v>3</v>
      </c>
      <c r="AM455" t="n">
        <v>3</v>
      </c>
      <c r="AN455" t="n">
        <v>0</v>
      </c>
      <c r="AO455" t="n">
        <v>0</v>
      </c>
      <c r="AP455" t="inlineStr">
        <is>
          <t>No</t>
        </is>
      </c>
      <c r="AQ455" t="inlineStr">
        <is>
          <t>Yes</t>
        </is>
      </c>
      <c r="AR455">
        <f>HYPERLINK("http://catalog.hathitrust.org/Record/000293766","HathiTrust Record")</f>
        <v/>
      </c>
      <c r="AS455">
        <f>HYPERLINK("https://creighton-primo.hosted.exlibrisgroup.com/primo-explore/search?tab=default_tab&amp;search_scope=EVERYTHING&amp;vid=01CRU&amp;lang=en_US&amp;offset=0&amp;query=any,contains,991004365099702656","Catalog Record")</f>
        <v/>
      </c>
      <c r="AT455">
        <f>HYPERLINK("http://www.worldcat.org/oclc/3169151","WorldCat Record")</f>
        <v/>
      </c>
      <c r="AU455" t="inlineStr">
        <is>
          <t>8172657:eng</t>
        </is>
      </c>
      <c r="AV455" t="inlineStr">
        <is>
          <t>3169151</t>
        </is>
      </c>
      <c r="AW455" t="inlineStr">
        <is>
          <t>991004365099702656</t>
        </is>
      </c>
      <c r="AX455" t="inlineStr">
        <is>
          <t>991004365099702656</t>
        </is>
      </c>
      <c r="AY455" t="inlineStr">
        <is>
          <t>2263191900002656</t>
        </is>
      </c>
      <c r="AZ455" t="inlineStr">
        <is>
          <t>BOOK</t>
        </is>
      </c>
      <c r="BB455" t="inlineStr">
        <is>
          <t>9780134520377</t>
        </is>
      </c>
      <c r="BC455" t="inlineStr">
        <is>
          <t>32285000239995</t>
        </is>
      </c>
      <c r="BD455" t="inlineStr">
        <is>
          <t>893888613</t>
        </is>
      </c>
    </row>
    <row r="456">
      <c r="A456" t="inlineStr">
        <is>
          <t>No</t>
        </is>
      </c>
      <c r="B456" t="inlineStr">
        <is>
          <t>ND547.5.I4 I495 1998</t>
        </is>
      </c>
      <c r="C456" t="inlineStr">
        <is>
          <t>0                      ND 0547500I  4                  I  495         1998</t>
        </is>
      </c>
      <c r="D456" t="inlineStr">
        <is>
          <t>Impressionists in winter : effets de neige / Charles S. Moffett ... [et al.].</t>
        </is>
      </c>
      <c r="F456" t="inlineStr">
        <is>
          <t>No</t>
        </is>
      </c>
      <c r="G456" t="inlineStr">
        <is>
          <t>1</t>
        </is>
      </c>
      <c r="H456" t="inlineStr">
        <is>
          <t>No</t>
        </is>
      </c>
      <c r="I456" t="inlineStr">
        <is>
          <t>No</t>
        </is>
      </c>
      <c r="J456" t="inlineStr">
        <is>
          <t>0</t>
        </is>
      </c>
      <c r="L456" t="inlineStr">
        <is>
          <t>Washington, D.C. : Phillips Collection in collaboration with Philip Wilson Publishers, 1998.</t>
        </is>
      </c>
      <c r="M456" t="inlineStr">
        <is>
          <t>1998</t>
        </is>
      </c>
      <c r="O456" t="inlineStr">
        <is>
          <t>eng</t>
        </is>
      </c>
      <c r="P456" t="inlineStr">
        <is>
          <t>dcu</t>
        </is>
      </c>
      <c r="R456" t="inlineStr">
        <is>
          <t xml:space="preserve">ND </t>
        </is>
      </c>
      <c r="S456" t="n">
        <v>1</v>
      </c>
      <c r="T456" t="n">
        <v>1</v>
      </c>
      <c r="U456" t="inlineStr">
        <is>
          <t>2010-05-06</t>
        </is>
      </c>
      <c r="V456" t="inlineStr">
        <is>
          <t>2010-05-06</t>
        </is>
      </c>
      <c r="W456" t="inlineStr">
        <is>
          <t>2010-05-06</t>
        </is>
      </c>
      <c r="X456" t="inlineStr">
        <is>
          <t>2010-05-06</t>
        </is>
      </c>
      <c r="Y456" t="n">
        <v>822</v>
      </c>
      <c r="Z456" t="n">
        <v>735</v>
      </c>
      <c r="AA456" t="n">
        <v>743</v>
      </c>
      <c r="AB456" t="n">
        <v>4</v>
      </c>
      <c r="AC456" t="n">
        <v>4</v>
      </c>
      <c r="AD456" t="n">
        <v>24</v>
      </c>
      <c r="AE456" t="n">
        <v>24</v>
      </c>
      <c r="AF456" t="n">
        <v>9</v>
      </c>
      <c r="AG456" t="n">
        <v>9</v>
      </c>
      <c r="AH456" t="n">
        <v>7</v>
      </c>
      <c r="AI456" t="n">
        <v>7</v>
      </c>
      <c r="AJ456" t="n">
        <v>13</v>
      </c>
      <c r="AK456" t="n">
        <v>13</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HYPERLINK("https://creighton-primo.hosted.exlibrisgroup.com/primo-explore/search?tab=default_tab&amp;search_scope=EVERYTHING&amp;vid=01CRU&amp;lang=en_US&amp;offset=0&amp;query=any,contains,991005394519702656","Catalog Record")</f>
        <v/>
      </c>
      <c r="AT456">
        <f>HYPERLINK("http://www.worldcat.org/oclc/39223532","WorldCat Record")</f>
        <v/>
      </c>
      <c r="AU456" t="inlineStr">
        <is>
          <t>836944952:eng</t>
        </is>
      </c>
      <c r="AV456" t="inlineStr">
        <is>
          <t>39223532</t>
        </is>
      </c>
      <c r="AW456" t="inlineStr">
        <is>
          <t>991005394519702656</t>
        </is>
      </c>
      <c r="AX456" t="inlineStr">
        <is>
          <t>991005394519702656</t>
        </is>
      </c>
      <c r="AY456" t="inlineStr">
        <is>
          <t>2270632940002656</t>
        </is>
      </c>
      <c r="AZ456" t="inlineStr">
        <is>
          <t>BOOK</t>
        </is>
      </c>
      <c r="BB456" t="inlineStr">
        <is>
          <t>9780856674952</t>
        </is>
      </c>
      <c r="BC456" t="inlineStr">
        <is>
          <t>32285005581409</t>
        </is>
      </c>
      <c r="BD456" t="inlineStr">
        <is>
          <t>893871112</t>
        </is>
      </c>
    </row>
    <row r="457">
      <c r="A457" t="inlineStr">
        <is>
          <t>No</t>
        </is>
      </c>
      <c r="B457" t="inlineStr">
        <is>
          <t>ND547.5.I4 M64 1994</t>
        </is>
      </c>
      <c r="C457" t="inlineStr">
        <is>
          <t>0                      ND 0547500I  4                  M  64          1994</t>
        </is>
      </c>
      <c r="D457" t="inlineStr">
        <is>
          <t>Modernity and modernism : French painting in the nineteenth century / Francis Frascina ... [et. al.].</t>
        </is>
      </c>
      <c r="F457" t="inlineStr">
        <is>
          <t>No</t>
        </is>
      </c>
      <c r="G457" t="inlineStr">
        <is>
          <t>1</t>
        </is>
      </c>
      <c r="H457" t="inlineStr">
        <is>
          <t>No</t>
        </is>
      </c>
      <c r="I457" t="inlineStr">
        <is>
          <t>No</t>
        </is>
      </c>
      <c r="J457" t="inlineStr">
        <is>
          <t>0</t>
        </is>
      </c>
      <c r="L457" t="inlineStr">
        <is>
          <t>New Haven : Yale University Press, in association with the Open University, 1994.</t>
        </is>
      </c>
      <c r="M457" t="inlineStr">
        <is>
          <t>1994</t>
        </is>
      </c>
      <c r="N457" t="inlineStr">
        <is>
          <t>Reprinted with corrections</t>
        </is>
      </c>
      <c r="O457" t="inlineStr">
        <is>
          <t>eng</t>
        </is>
      </c>
      <c r="P457" t="inlineStr">
        <is>
          <t>ctu</t>
        </is>
      </c>
      <c r="Q457" t="inlineStr">
        <is>
          <t>Modern art--practices and debates</t>
        </is>
      </c>
      <c r="R457" t="inlineStr">
        <is>
          <t xml:space="preserve">ND </t>
        </is>
      </c>
      <c r="S457" t="n">
        <v>2</v>
      </c>
      <c r="T457" t="n">
        <v>2</v>
      </c>
      <c r="U457" t="inlineStr">
        <is>
          <t>2005-10-11</t>
        </is>
      </c>
      <c r="V457" t="inlineStr">
        <is>
          <t>2005-10-11</t>
        </is>
      </c>
      <c r="W457" t="inlineStr">
        <is>
          <t>2003-05-12</t>
        </is>
      </c>
      <c r="X457" t="inlineStr">
        <is>
          <t>2003-05-12</t>
        </is>
      </c>
      <c r="Y457" t="n">
        <v>40</v>
      </c>
      <c r="Z457" t="n">
        <v>31</v>
      </c>
      <c r="AA457" t="n">
        <v>707</v>
      </c>
      <c r="AB457" t="n">
        <v>1</v>
      </c>
      <c r="AC457" t="n">
        <v>5</v>
      </c>
      <c r="AD457" t="n">
        <v>2</v>
      </c>
      <c r="AE457" t="n">
        <v>29</v>
      </c>
      <c r="AF457" t="n">
        <v>0</v>
      </c>
      <c r="AG457" t="n">
        <v>11</v>
      </c>
      <c r="AH457" t="n">
        <v>1</v>
      </c>
      <c r="AI457" t="n">
        <v>10</v>
      </c>
      <c r="AJ457" t="n">
        <v>1</v>
      </c>
      <c r="AK457" t="n">
        <v>13</v>
      </c>
      <c r="AL457" t="n">
        <v>0</v>
      </c>
      <c r="AM457" t="n">
        <v>3</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HYPERLINK("https://creighton-primo.hosted.exlibrisgroup.com/primo-explore/search?tab=default_tab&amp;search_scope=EVERYTHING&amp;vid=01CRU&amp;lang=en_US&amp;offset=0&amp;query=any,contains,991004023189702656","Catalog Record")</f>
        <v/>
      </c>
      <c r="AT457">
        <f>HYPERLINK("http://www.worldcat.org/oclc/35621201","WorldCat Record")</f>
        <v/>
      </c>
      <c r="AU457" t="inlineStr">
        <is>
          <t>13374063:eng</t>
        </is>
      </c>
      <c r="AV457" t="inlineStr">
        <is>
          <t>35621201</t>
        </is>
      </c>
      <c r="AW457" t="inlineStr">
        <is>
          <t>991004023189702656</t>
        </is>
      </c>
      <c r="AX457" t="inlineStr">
        <is>
          <t>991004023189702656</t>
        </is>
      </c>
      <c r="AY457" t="inlineStr">
        <is>
          <t>2260392650002656</t>
        </is>
      </c>
      <c r="AZ457" t="inlineStr">
        <is>
          <t>BOOK</t>
        </is>
      </c>
      <c r="BB457" t="inlineStr">
        <is>
          <t>9780300055146</t>
        </is>
      </c>
      <c r="BC457" t="inlineStr">
        <is>
          <t>32285004745492</t>
        </is>
      </c>
      <c r="BD457" t="inlineStr">
        <is>
          <t>893429564</t>
        </is>
      </c>
    </row>
    <row r="458">
      <c r="A458" t="inlineStr">
        <is>
          <t>No</t>
        </is>
      </c>
      <c r="B458" t="inlineStr">
        <is>
          <t>ND547.5.I4 N38 1996</t>
        </is>
      </c>
      <c r="C458" t="inlineStr">
        <is>
          <t>0                      ND 0547500I  4                  N  38          1996</t>
        </is>
      </c>
      <c r="D458" t="inlineStr">
        <is>
          <t>The new painting : impressionism, 1874-1886 : documentation / [edited by] Ruth Berson.</t>
        </is>
      </c>
      <c r="E458" t="inlineStr">
        <is>
          <t>V.2</t>
        </is>
      </c>
      <c r="F458" t="inlineStr">
        <is>
          <t>Yes</t>
        </is>
      </c>
      <c r="G458" t="inlineStr">
        <is>
          <t>1</t>
        </is>
      </c>
      <c r="H458" t="inlineStr">
        <is>
          <t>No</t>
        </is>
      </c>
      <c r="I458" t="inlineStr">
        <is>
          <t>No</t>
        </is>
      </c>
      <c r="J458" t="inlineStr">
        <is>
          <t>0</t>
        </is>
      </c>
      <c r="L458" t="inlineStr">
        <is>
          <t>San Francisco, CA : Fine Arts Museums of San Francisco ; Seattle, Wash. : Distributed by the University of Washington Press, 1996.</t>
        </is>
      </c>
      <c r="M458" t="inlineStr">
        <is>
          <t>1996</t>
        </is>
      </c>
      <c r="O458" t="inlineStr">
        <is>
          <t>eng</t>
        </is>
      </c>
      <c r="P458" t="inlineStr">
        <is>
          <t>cau</t>
        </is>
      </c>
      <c r="R458" t="inlineStr">
        <is>
          <t xml:space="preserve">ND </t>
        </is>
      </c>
      <c r="S458" t="n">
        <v>1</v>
      </c>
      <c r="T458" t="n">
        <v>1</v>
      </c>
      <c r="U458" t="inlineStr">
        <is>
          <t>2007-09-17</t>
        </is>
      </c>
      <c r="V458" t="inlineStr">
        <is>
          <t>2007-09-17</t>
        </is>
      </c>
      <c r="W458" t="inlineStr">
        <is>
          <t>1997-05-04</t>
        </is>
      </c>
      <c r="X458" t="inlineStr">
        <is>
          <t>1997-05-04</t>
        </is>
      </c>
      <c r="Y458" t="n">
        <v>350</v>
      </c>
      <c r="Z458" t="n">
        <v>295</v>
      </c>
      <c r="AA458" t="n">
        <v>297</v>
      </c>
      <c r="AB458" t="n">
        <v>5</v>
      </c>
      <c r="AC458" t="n">
        <v>5</v>
      </c>
      <c r="AD458" t="n">
        <v>19</v>
      </c>
      <c r="AE458" t="n">
        <v>19</v>
      </c>
      <c r="AF458" t="n">
        <v>5</v>
      </c>
      <c r="AG458" t="n">
        <v>5</v>
      </c>
      <c r="AH458" t="n">
        <v>8</v>
      </c>
      <c r="AI458" t="n">
        <v>8</v>
      </c>
      <c r="AJ458" t="n">
        <v>8</v>
      </c>
      <c r="AK458" t="n">
        <v>8</v>
      </c>
      <c r="AL458" t="n">
        <v>3</v>
      </c>
      <c r="AM458" t="n">
        <v>3</v>
      </c>
      <c r="AN458" t="n">
        <v>0</v>
      </c>
      <c r="AO458" t="n">
        <v>0</v>
      </c>
      <c r="AP458" t="inlineStr">
        <is>
          <t>No</t>
        </is>
      </c>
      <c r="AQ458" t="inlineStr">
        <is>
          <t>Yes</t>
        </is>
      </c>
      <c r="AR458">
        <f>HYPERLINK("http://catalog.hathitrust.org/Record/003147682","HathiTrust Record")</f>
        <v/>
      </c>
      <c r="AS458">
        <f>HYPERLINK("https://creighton-primo.hosted.exlibrisgroup.com/primo-explore/search?tab=default_tab&amp;search_scope=EVERYTHING&amp;vid=01CRU&amp;lang=en_US&amp;offset=0&amp;query=any,contains,991001536379702656","Catalog Record")</f>
        <v/>
      </c>
      <c r="AT458">
        <f>HYPERLINK("http://www.worldcat.org/oclc/20088259","WorldCat Record")</f>
        <v/>
      </c>
      <c r="AU458" t="inlineStr">
        <is>
          <t>2070190689:eng</t>
        </is>
      </c>
      <c r="AV458" t="inlineStr">
        <is>
          <t>20088259</t>
        </is>
      </c>
      <c r="AW458" t="inlineStr">
        <is>
          <t>991001536379702656</t>
        </is>
      </c>
      <c r="AX458" t="inlineStr">
        <is>
          <t>991001536379702656</t>
        </is>
      </c>
      <c r="AY458" t="inlineStr">
        <is>
          <t>2268852900002656</t>
        </is>
      </c>
      <c r="AZ458" t="inlineStr">
        <is>
          <t>BOOK</t>
        </is>
      </c>
      <c r="BB458" t="inlineStr">
        <is>
          <t>9780295967042</t>
        </is>
      </c>
      <c r="BC458" t="inlineStr">
        <is>
          <t>32285002543097</t>
        </is>
      </c>
      <c r="BD458" t="inlineStr">
        <is>
          <t>893872586</t>
        </is>
      </c>
    </row>
    <row r="459">
      <c r="A459" t="inlineStr">
        <is>
          <t>No</t>
        </is>
      </c>
      <c r="B459" t="inlineStr">
        <is>
          <t>ND547.5.I4 N38 1996</t>
        </is>
      </c>
      <c r="C459" t="inlineStr">
        <is>
          <t>0                      ND 0547500I  4                  N  38          1996</t>
        </is>
      </c>
      <c r="D459" t="inlineStr">
        <is>
          <t>The new painting : impressionism, 1874-1886 : documentation / [edited by] Ruth Berson.</t>
        </is>
      </c>
      <c r="E459" t="inlineStr">
        <is>
          <t>V.1</t>
        </is>
      </c>
      <c r="F459" t="inlineStr">
        <is>
          <t>Yes</t>
        </is>
      </c>
      <c r="G459" t="inlineStr">
        <is>
          <t>1</t>
        </is>
      </c>
      <c r="H459" t="inlineStr">
        <is>
          <t>No</t>
        </is>
      </c>
      <c r="I459" t="inlineStr">
        <is>
          <t>No</t>
        </is>
      </c>
      <c r="J459" t="inlineStr">
        <is>
          <t>0</t>
        </is>
      </c>
      <c r="L459" t="inlineStr">
        <is>
          <t>San Francisco, CA : Fine Arts Museums of San Francisco ; Seattle, Wash. : Distributed by the University of Washington Press, 1996.</t>
        </is>
      </c>
      <c r="M459" t="inlineStr">
        <is>
          <t>1996</t>
        </is>
      </c>
      <c r="O459" t="inlineStr">
        <is>
          <t>eng</t>
        </is>
      </c>
      <c r="P459" t="inlineStr">
        <is>
          <t>cau</t>
        </is>
      </c>
      <c r="R459" t="inlineStr">
        <is>
          <t xml:space="preserve">ND </t>
        </is>
      </c>
      <c r="S459" t="n">
        <v>0</v>
      </c>
      <c r="T459" t="n">
        <v>1</v>
      </c>
      <c r="V459" t="inlineStr">
        <is>
          <t>2007-09-17</t>
        </is>
      </c>
      <c r="W459" t="inlineStr">
        <is>
          <t>1997-05-04</t>
        </is>
      </c>
      <c r="X459" t="inlineStr">
        <is>
          <t>1997-05-04</t>
        </is>
      </c>
      <c r="Y459" t="n">
        <v>350</v>
      </c>
      <c r="Z459" t="n">
        <v>295</v>
      </c>
      <c r="AA459" t="n">
        <v>297</v>
      </c>
      <c r="AB459" t="n">
        <v>5</v>
      </c>
      <c r="AC459" t="n">
        <v>5</v>
      </c>
      <c r="AD459" t="n">
        <v>19</v>
      </c>
      <c r="AE459" t="n">
        <v>19</v>
      </c>
      <c r="AF459" t="n">
        <v>5</v>
      </c>
      <c r="AG459" t="n">
        <v>5</v>
      </c>
      <c r="AH459" t="n">
        <v>8</v>
      </c>
      <c r="AI459" t="n">
        <v>8</v>
      </c>
      <c r="AJ459" t="n">
        <v>8</v>
      </c>
      <c r="AK459" t="n">
        <v>8</v>
      </c>
      <c r="AL459" t="n">
        <v>3</v>
      </c>
      <c r="AM459" t="n">
        <v>3</v>
      </c>
      <c r="AN459" t="n">
        <v>0</v>
      </c>
      <c r="AO459" t="n">
        <v>0</v>
      </c>
      <c r="AP459" t="inlineStr">
        <is>
          <t>No</t>
        </is>
      </c>
      <c r="AQ459" t="inlineStr">
        <is>
          <t>Yes</t>
        </is>
      </c>
      <c r="AR459">
        <f>HYPERLINK("http://catalog.hathitrust.org/Record/003147682","HathiTrust Record")</f>
        <v/>
      </c>
      <c r="AS459">
        <f>HYPERLINK("https://creighton-primo.hosted.exlibrisgroup.com/primo-explore/search?tab=default_tab&amp;search_scope=EVERYTHING&amp;vid=01CRU&amp;lang=en_US&amp;offset=0&amp;query=any,contains,991001536379702656","Catalog Record")</f>
        <v/>
      </c>
      <c r="AT459">
        <f>HYPERLINK("http://www.worldcat.org/oclc/20088259","WorldCat Record")</f>
        <v/>
      </c>
      <c r="AU459" t="inlineStr">
        <is>
          <t>2070190689:eng</t>
        </is>
      </c>
      <c r="AV459" t="inlineStr">
        <is>
          <t>20088259</t>
        </is>
      </c>
      <c r="AW459" t="inlineStr">
        <is>
          <t>991001536379702656</t>
        </is>
      </c>
      <c r="AX459" t="inlineStr">
        <is>
          <t>991001536379702656</t>
        </is>
      </c>
      <c r="AY459" t="inlineStr">
        <is>
          <t>2268852900002656</t>
        </is>
      </c>
      <c r="AZ459" t="inlineStr">
        <is>
          <t>BOOK</t>
        </is>
      </c>
      <c r="BB459" t="inlineStr">
        <is>
          <t>9780295967042</t>
        </is>
      </c>
      <c r="BC459" t="inlineStr">
        <is>
          <t>32285002543089</t>
        </is>
      </c>
      <c r="BD459" t="inlineStr">
        <is>
          <t>893878943</t>
        </is>
      </c>
    </row>
    <row r="460">
      <c r="A460" t="inlineStr">
        <is>
          <t>No</t>
        </is>
      </c>
      <c r="B460" t="inlineStr">
        <is>
          <t>ND547.5.I4 R6 1970b</t>
        </is>
      </c>
      <c r="C460" t="inlineStr">
        <is>
          <t>0                      ND 0547500I  4                  R  6           1970b</t>
        </is>
      </c>
      <c r="D460" t="inlineStr">
        <is>
          <t>Van Gogh, Gauguin, and the Impressionist circle / [by] Mark Roskill.</t>
        </is>
      </c>
      <c r="F460" t="inlineStr">
        <is>
          <t>No</t>
        </is>
      </c>
      <c r="G460" t="inlineStr">
        <is>
          <t>1</t>
        </is>
      </c>
      <c r="H460" t="inlineStr">
        <is>
          <t>No</t>
        </is>
      </c>
      <c r="I460" t="inlineStr">
        <is>
          <t>No</t>
        </is>
      </c>
      <c r="J460" t="inlineStr">
        <is>
          <t>0</t>
        </is>
      </c>
      <c r="K460" t="inlineStr">
        <is>
          <t>Roskill, Mark W. (Mark Wentworth), 1933-2000.</t>
        </is>
      </c>
      <c r="L460" t="inlineStr">
        <is>
          <t>Greenwich, Conn. : New York Graphic Society, [1970]</t>
        </is>
      </c>
      <c r="M460" t="inlineStr">
        <is>
          <t>1970</t>
        </is>
      </c>
      <c r="O460" t="inlineStr">
        <is>
          <t>eng</t>
        </is>
      </c>
      <c r="P460" t="inlineStr">
        <is>
          <t>ctu</t>
        </is>
      </c>
      <c r="R460" t="inlineStr">
        <is>
          <t xml:space="preserve">ND </t>
        </is>
      </c>
      <c r="S460" t="n">
        <v>8</v>
      </c>
      <c r="T460" t="n">
        <v>8</v>
      </c>
      <c r="U460" t="inlineStr">
        <is>
          <t>1998-10-15</t>
        </is>
      </c>
      <c r="V460" t="inlineStr">
        <is>
          <t>1998-10-15</t>
        </is>
      </c>
      <c r="W460" t="inlineStr">
        <is>
          <t>1992-04-03</t>
        </is>
      </c>
      <c r="X460" t="inlineStr">
        <is>
          <t>1992-04-03</t>
        </is>
      </c>
      <c r="Y460" t="n">
        <v>578</v>
      </c>
      <c r="Z460" t="n">
        <v>542</v>
      </c>
      <c r="AA460" t="n">
        <v>618</v>
      </c>
      <c r="AB460" t="n">
        <v>2</v>
      </c>
      <c r="AC460" t="n">
        <v>2</v>
      </c>
      <c r="AD460" t="n">
        <v>16</v>
      </c>
      <c r="AE460" t="n">
        <v>19</v>
      </c>
      <c r="AF460" t="n">
        <v>7</v>
      </c>
      <c r="AG460" t="n">
        <v>8</v>
      </c>
      <c r="AH460" t="n">
        <v>3</v>
      </c>
      <c r="AI460" t="n">
        <v>4</v>
      </c>
      <c r="AJ460" t="n">
        <v>10</v>
      </c>
      <c r="AK460" t="n">
        <v>12</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HYPERLINK("https://creighton-primo.hosted.exlibrisgroup.com/primo-explore/search?tab=default_tab&amp;search_scope=EVERYTHING&amp;vid=01CRU&amp;lang=en_US&amp;offset=0&amp;query=any,contains,991001899859702656","Catalog Record")</f>
        <v/>
      </c>
      <c r="AT460">
        <f>HYPERLINK("http://www.worldcat.org/oclc/239132","WorldCat Record")</f>
        <v/>
      </c>
      <c r="AU460" t="inlineStr">
        <is>
          <t>673275307:eng</t>
        </is>
      </c>
      <c r="AV460" t="inlineStr">
        <is>
          <t>239132</t>
        </is>
      </c>
      <c r="AW460" t="inlineStr">
        <is>
          <t>991001899859702656</t>
        </is>
      </c>
      <c r="AX460" t="inlineStr">
        <is>
          <t>991001899859702656</t>
        </is>
      </c>
      <c r="AY460" t="inlineStr">
        <is>
          <t>2256987040002656</t>
        </is>
      </c>
      <c r="AZ460" t="inlineStr">
        <is>
          <t>BOOK</t>
        </is>
      </c>
      <c r="BB460" t="inlineStr">
        <is>
          <t>9780821203880</t>
        </is>
      </c>
      <c r="BC460" t="inlineStr">
        <is>
          <t>32285001033579</t>
        </is>
      </c>
      <c r="BD460" t="inlineStr">
        <is>
          <t>893261974</t>
        </is>
      </c>
    </row>
    <row r="461">
      <c r="A461" t="inlineStr">
        <is>
          <t>No</t>
        </is>
      </c>
      <c r="B461" t="inlineStr">
        <is>
          <t>ND547.5.I4 S65 1995</t>
        </is>
      </c>
      <c r="C461" t="inlineStr">
        <is>
          <t>0                      ND 0547500I  4                  S  65          1995</t>
        </is>
      </c>
      <c r="D461" t="inlineStr">
        <is>
          <t>Impressionism : beneath the surface / Paul Smith.</t>
        </is>
      </c>
      <c r="F461" t="inlineStr">
        <is>
          <t>No</t>
        </is>
      </c>
      <c r="G461" t="inlineStr">
        <is>
          <t>1</t>
        </is>
      </c>
      <c r="H461" t="inlineStr">
        <is>
          <t>No</t>
        </is>
      </c>
      <c r="I461" t="inlineStr">
        <is>
          <t>No</t>
        </is>
      </c>
      <c r="J461" t="inlineStr">
        <is>
          <t>0</t>
        </is>
      </c>
      <c r="K461" t="inlineStr">
        <is>
          <t>Smith, Paul, 1956-</t>
        </is>
      </c>
      <c r="L461" t="inlineStr">
        <is>
          <t>New York : Harry N. Abrams, Inc., 1995.</t>
        </is>
      </c>
      <c r="M461" t="inlineStr">
        <is>
          <t>1995</t>
        </is>
      </c>
      <c r="O461" t="inlineStr">
        <is>
          <t>eng</t>
        </is>
      </c>
      <c r="P461" t="inlineStr">
        <is>
          <t>nyu</t>
        </is>
      </c>
      <c r="Q461" t="inlineStr">
        <is>
          <t>Perspectives</t>
        </is>
      </c>
      <c r="R461" t="inlineStr">
        <is>
          <t xml:space="preserve">ND </t>
        </is>
      </c>
      <c r="S461" t="n">
        <v>5</v>
      </c>
      <c r="T461" t="n">
        <v>5</v>
      </c>
      <c r="U461" t="inlineStr">
        <is>
          <t>2008-04-20</t>
        </is>
      </c>
      <c r="V461" t="inlineStr">
        <is>
          <t>2008-04-20</t>
        </is>
      </c>
      <c r="W461" t="inlineStr">
        <is>
          <t>1999-04-12</t>
        </is>
      </c>
      <c r="X461" t="inlineStr">
        <is>
          <t>1999-04-12</t>
        </is>
      </c>
      <c r="Y461" t="n">
        <v>562</v>
      </c>
      <c r="Z461" t="n">
        <v>503</v>
      </c>
      <c r="AA461" t="n">
        <v>532</v>
      </c>
      <c r="AB461" t="n">
        <v>6</v>
      </c>
      <c r="AC461" t="n">
        <v>6</v>
      </c>
      <c r="AD461" t="n">
        <v>16</v>
      </c>
      <c r="AE461" t="n">
        <v>16</v>
      </c>
      <c r="AF461" t="n">
        <v>6</v>
      </c>
      <c r="AG461" t="n">
        <v>6</v>
      </c>
      <c r="AH461" t="n">
        <v>2</v>
      </c>
      <c r="AI461" t="n">
        <v>2</v>
      </c>
      <c r="AJ461" t="n">
        <v>8</v>
      </c>
      <c r="AK461" t="n">
        <v>8</v>
      </c>
      <c r="AL461" t="n">
        <v>4</v>
      </c>
      <c r="AM461" t="n">
        <v>4</v>
      </c>
      <c r="AN461" t="n">
        <v>0</v>
      </c>
      <c r="AO461" t="n">
        <v>0</v>
      </c>
      <c r="AP461" t="inlineStr">
        <is>
          <t>No</t>
        </is>
      </c>
      <c r="AQ461" t="inlineStr">
        <is>
          <t>Yes</t>
        </is>
      </c>
      <c r="AR461">
        <f>HYPERLINK("http://catalog.hathitrust.org/Record/002997491","HathiTrust Record")</f>
        <v/>
      </c>
      <c r="AS461">
        <f>HYPERLINK("https://creighton-primo.hosted.exlibrisgroup.com/primo-explore/search?tab=default_tab&amp;search_scope=EVERYTHING&amp;vid=01CRU&amp;lang=en_US&amp;offset=0&amp;query=any,contains,991002390989702656","Catalog Record")</f>
        <v/>
      </c>
      <c r="AT461">
        <f>HYPERLINK("http://www.worldcat.org/oclc/31046172","WorldCat Record")</f>
        <v/>
      </c>
      <c r="AU461" t="inlineStr">
        <is>
          <t>33464573:eng</t>
        </is>
      </c>
      <c r="AV461" t="inlineStr">
        <is>
          <t>31046172</t>
        </is>
      </c>
      <c r="AW461" t="inlineStr">
        <is>
          <t>991002390989702656</t>
        </is>
      </c>
      <c r="AX461" t="inlineStr">
        <is>
          <t>991002390989702656</t>
        </is>
      </c>
      <c r="AY461" t="inlineStr">
        <is>
          <t>2262633380002656</t>
        </is>
      </c>
      <c r="AZ461" t="inlineStr">
        <is>
          <t>BOOK</t>
        </is>
      </c>
      <c r="BB461" t="inlineStr">
        <is>
          <t>9780810927155</t>
        </is>
      </c>
      <c r="BC461" t="inlineStr">
        <is>
          <t>32285003551222</t>
        </is>
      </c>
      <c r="BD461" t="inlineStr">
        <is>
          <t>893721434</t>
        </is>
      </c>
    </row>
    <row r="462">
      <c r="A462" t="inlineStr">
        <is>
          <t>No</t>
        </is>
      </c>
      <c r="B462" t="inlineStr">
        <is>
          <t>ND547.5.I4 V3</t>
        </is>
      </c>
      <c r="C462" t="inlineStr">
        <is>
          <t>0                      ND 0547500I  4                  V  3</t>
        </is>
      </c>
      <c r="D462" t="inlineStr">
        <is>
          <t>Impressionists and symbolists : Manet, Degas, Monet, Pissarro, Sisley, Renoir, Cezanne, Seurat, Gauguin, Van Gogh, Toulouse-Lautrec / translated from the Italian by Francis Steegmuller.</t>
        </is>
      </c>
      <c r="F462" t="inlineStr">
        <is>
          <t>No</t>
        </is>
      </c>
      <c r="G462" t="inlineStr">
        <is>
          <t>1</t>
        </is>
      </c>
      <c r="H462" t="inlineStr">
        <is>
          <t>No</t>
        </is>
      </c>
      <c r="I462" t="inlineStr">
        <is>
          <t>No</t>
        </is>
      </c>
      <c r="J462" t="inlineStr">
        <is>
          <t>0</t>
        </is>
      </c>
      <c r="K462" t="inlineStr">
        <is>
          <t>Venturi, Lionello, 1885-1961.</t>
        </is>
      </c>
      <c r="L462" t="inlineStr">
        <is>
          <t>New York : Cooper Square Publishers, 1973.</t>
        </is>
      </c>
      <c r="M462" t="inlineStr">
        <is>
          <t>1973</t>
        </is>
      </c>
      <c r="O462" t="inlineStr">
        <is>
          <t>eng</t>
        </is>
      </c>
      <c r="P462" t="inlineStr">
        <is>
          <t xml:space="preserve">xx </t>
        </is>
      </c>
      <c r="R462" t="inlineStr">
        <is>
          <t xml:space="preserve">ND </t>
        </is>
      </c>
      <c r="S462" t="n">
        <v>21</v>
      </c>
      <c r="T462" t="n">
        <v>21</v>
      </c>
      <c r="U462" t="inlineStr">
        <is>
          <t>2007-12-11</t>
        </is>
      </c>
      <c r="V462" t="inlineStr">
        <is>
          <t>2007-12-11</t>
        </is>
      </c>
      <c r="W462" t="inlineStr">
        <is>
          <t>1990-08-30</t>
        </is>
      </c>
      <c r="X462" t="inlineStr">
        <is>
          <t>1990-08-30</t>
        </is>
      </c>
      <c r="Y462" t="n">
        <v>91</v>
      </c>
      <c r="Z462" t="n">
        <v>66</v>
      </c>
      <c r="AA462" t="n">
        <v>226</v>
      </c>
      <c r="AB462" t="n">
        <v>2</v>
      </c>
      <c r="AC462" t="n">
        <v>4</v>
      </c>
      <c r="AD462" t="n">
        <v>5</v>
      </c>
      <c r="AE462" t="n">
        <v>9</v>
      </c>
      <c r="AF462" t="n">
        <v>2</v>
      </c>
      <c r="AG462" t="n">
        <v>4</v>
      </c>
      <c r="AH462" t="n">
        <v>1</v>
      </c>
      <c r="AI462" t="n">
        <v>1</v>
      </c>
      <c r="AJ462" t="n">
        <v>2</v>
      </c>
      <c r="AK462" t="n">
        <v>2</v>
      </c>
      <c r="AL462" t="n">
        <v>1</v>
      </c>
      <c r="AM462" t="n">
        <v>3</v>
      </c>
      <c r="AN462" t="n">
        <v>0</v>
      </c>
      <c r="AO462" t="n">
        <v>0</v>
      </c>
      <c r="AP462" t="inlineStr">
        <is>
          <t>No</t>
        </is>
      </c>
      <c r="AQ462" t="inlineStr">
        <is>
          <t>Yes</t>
        </is>
      </c>
      <c r="AR462">
        <f>HYPERLINK("http://catalog.hathitrust.org/Record/012273339","HathiTrust Record")</f>
        <v/>
      </c>
      <c r="AS462">
        <f>HYPERLINK("https://creighton-primo.hosted.exlibrisgroup.com/primo-explore/search?tab=default_tab&amp;search_scope=EVERYTHING&amp;vid=01CRU&amp;lang=en_US&amp;offset=0&amp;query=any,contains,991003314639702656","Catalog Record")</f>
        <v/>
      </c>
      <c r="AT462">
        <f>HYPERLINK("http://www.worldcat.org/oclc/839470","WorldCat Record")</f>
        <v/>
      </c>
      <c r="AU462" t="inlineStr">
        <is>
          <t>1777147:eng</t>
        </is>
      </c>
      <c r="AV462" t="inlineStr">
        <is>
          <t>839470</t>
        </is>
      </c>
      <c r="AW462" t="inlineStr">
        <is>
          <t>991003314639702656</t>
        </is>
      </c>
      <c r="AX462" t="inlineStr">
        <is>
          <t>991003314639702656</t>
        </is>
      </c>
      <c r="AY462" t="inlineStr">
        <is>
          <t>2259363870002656</t>
        </is>
      </c>
      <c r="AZ462" t="inlineStr">
        <is>
          <t>BOOK</t>
        </is>
      </c>
      <c r="BC462" t="inlineStr">
        <is>
          <t>32285000284447</t>
        </is>
      </c>
      <c r="BD462" t="inlineStr">
        <is>
          <t>893499180</t>
        </is>
      </c>
    </row>
    <row r="463">
      <c r="A463" t="inlineStr">
        <is>
          <t>No</t>
        </is>
      </c>
      <c r="B463" t="inlineStr">
        <is>
          <t>ND547.5.P58 J313 1972b</t>
        </is>
      </c>
      <c r="C463" t="inlineStr">
        <is>
          <t>0                      ND 0547500P  58                 J  313         1972b</t>
        </is>
      </c>
      <c r="D463" t="inlineStr">
        <is>
          <t>Gauguin and the Pont-Aven school / [English translation by Patrick Evans.</t>
        </is>
      </c>
      <c r="F463" t="inlineStr">
        <is>
          <t>No</t>
        </is>
      </c>
      <c r="G463" t="inlineStr">
        <is>
          <t>1</t>
        </is>
      </c>
      <c r="H463" t="inlineStr">
        <is>
          <t>No</t>
        </is>
      </c>
      <c r="I463" t="inlineStr">
        <is>
          <t>No</t>
        </is>
      </c>
      <c r="J463" t="inlineStr">
        <is>
          <t>0</t>
        </is>
      </c>
      <c r="K463" t="inlineStr">
        <is>
          <t>Jaworska, Władysława.</t>
        </is>
      </c>
      <c r="L463" t="inlineStr">
        <is>
          <t>Greenwich, Conn.] : New York Graphic Society, [c1972]</t>
        </is>
      </c>
      <c r="M463" t="inlineStr">
        <is>
          <t>1972</t>
        </is>
      </c>
      <c r="O463" t="inlineStr">
        <is>
          <t>eng</t>
        </is>
      </c>
      <c r="P463" t="inlineStr">
        <is>
          <t>ctu</t>
        </is>
      </c>
      <c r="R463" t="inlineStr">
        <is>
          <t xml:space="preserve">ND </t>
        </is>
      </c>
      <c r="S463" t="n">
        <v>3</v>
      </c>
      <c r="T463" t="n">
        <v>3</v>
      </c>
      <c r="U463" t="inlineStr">
        <is>
          <t>1995-01-18</t>
        </is>
      </c>
      <c r="V463" t="inlineStr">
        <is>
          <t>1995-01-18</t>
        </is>
      </c>
      <c r="W463" t="inlineStr">
        <is>
          <t>1990-03-07</t>
        </is>
      </c>
      <c r="X463" t="inlineStr">
        <is>
          <t>1990-03-07</t>
        </is>
      </c>
      <c r="Y463" t="n">
        <v>496</v>
      </c>
      <c r="Z463" t="n">
        <v>463</v>
      </c>
      <c r="AA463" t="n">
        <v>514</v>
      </c>
      <c r="AB463" t="n">
        <v>2</v>
      </c>
      <c r="AC463" t="n">
        <v>3</v>
      </c>
      <c r="AD463" t="n">
        <v>13</v>
      </c>
      <c r="AE463" t="n">
        <v>17</v>
      </c>
      <c r="AF463" t="n">
        <v>4</v>
      </c>
      <c r="AG463" t="n">
        <v>5</v>
      </c>
      <c r="AH463" t="n">
        <v>4</v>
      </c>
      <c r="AI463" t="n">
        <v>4</v>
      </c>
      <c r="AJ463" t="n">
        <v>5</v>
      </c>
      <c r="AK463" t="n">
        <v>7</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HYPERLINK("https://creighton-primo.hosted.exlibrisgroup.com/primo-explore/search?tab=default_tab&amp;search_scope=EVERYTHING&amp;vid=01CRU&amp;lang=en_US&amp;offset=0&amp;query=any,contains,991002870279702656","Catalog Record")</f>
        <v/>
      </c>
      <c r="AT463">
        <f>HYPERLINK("http://www.worldcat.org/oclc/498665","WorldCat Record")</f>
        <v/>
      </c>
      <c r="AU463" t="inlineStr">
        <is>
          <t>30435489:eng</t>
        </is>
      </c>
      <c r="AV463" t="inlineStr">
        <is>
          <t>498665</t>
        </is>
      </c>
      <c r="AW463" t="inlineStr">
        <is>
          <t>991002870279702656</t>
        </is>
      </c>
      <c r="AX463" t="inlineStr">
        <is>
          <t>991002870279702656</t>
        </is>
      </c>
      <c r="AY463" t="inlineStr">
        <is>
          <t>2272454500002656</t>
        </is>
      </c>
      <c r="AZ463" t="inlineStr">
        <is>
          <t>BOOK</t>
        </is>
      </c>
      <c r="BB463" t="inlineStr">
        <is>
          <t>9780821204382</t>
        </is>
      </c>
      <c r="BC463" t="inlineStr">
        <is>
          <t>32285000064906</t>
        </is>
      </c>
      <c r="BD463" t="inlineStr">
        <is>
          <t>893886845</t>
        </is>
      </c>
    </row>
    <row r="464">
      <c r="A464" t="inlineStr">
        <is>
          <t>No</t>
        </is>
      </c>
      <c r="B464" t="inlineStr">
        <is>
          <t>ND547.5.R6 B79 1984</t>
        </is>
      </c>
      <c r="C464" t="inlineStr">
        <is>
          <t>0                      ND 0547500R  6                  B  79          1984</t>
        </is>
      </c>
      <c r="D464" t="inlineStr">
        <is>
          <t>Tradition and desire : from David to Delacroix / Norman Bryson.</t>
        </is>
      </c>
      <c r="F464" t="inlineStr">
        <is>
          <t>No</t>
        </is>
      </c>
      <c r="G464" t="inlineStr">
        <is>
          <t>1</t>
        </is>
      </c>
      <c r="H464" t="inlineStr">
        <is>
          <t>No</t>
        </is>
      </c>
      <c r="I464" t="inlineStr">
        <is>
          <t>Yes</t>
        </is>
      </c>
      <c r="J464" t="inlineStr">
        <is>
          <t>0</t>
        </is>
      </c>
      <c r="K464" t="inlineStr">
        <is>
          <t>Bryson, Norman, 1949-</t>
        </is>
      </c>
      <c r="L464" t="inlineStr">
        <is>
          <t>Cambridge [Cambridgeshire] ; New York : Cambridge University Press, 1984.</t>
        </is>
      </c>
      <c r="M464" t="inlineStr">
        <is>
          <t>1984</t>
        </is>
      </c>
      <c r="O464" t="inlineStr">
        <is>
          <t>eng</t>
        </is>
      </c>
      <c r="P464" t="inlineStr">
        <is>
          <t>enk</t>
        </is>
      </c>
      <c r="Q464" t="inlineStr">
        <is>
          <t>Cambridge studies in French</t>
        </is>
      </c>
      <c r="R464" t="inlineStr">
        <is>
          <t xml:space="preserve">ND </t>
        </is>
      </c>
      <c r="S464" t="n">
        <v>5</v>
      </c>
      <c r="T464" t="n">
        <v>5</v>
      </c>
      <c r="U464" t="inlineStr">
        <is>
          <t>1993-10-11</t>
        </is>
      </c>
      <c r="V464" t="inlineStr">
        <is>
          <t>1993-10-11</t>
        </is>
      </c>
      <c r="W464" t="inlineStr">
        <is>
          <t>1993-05-21</t>
        </is>
      </c>
      <c r="X464" t="inlineStr">
        <is>
          <t>1993-05-21</t>
        </is>
      </c>
      <c r="Y464" t="n">
        <v>676</v>
      </c>
      <c r="Z464" t="n">
        <v>488</v>
      </c>
      <c r="AA464" t="n">
        <v>528</v>
      </c>
      <c r="AB464" t="n">
        <v>3</v>
      </c>
      <c r="AC464" t="n">
        <v>4</v>
      </c>
      <c r="AD464" t="n">
        <v>28</v>
      </c>
      <c r="AE464" t="n">
        <v>31</v>
      </c>
      <c r="AF464" t="n">
        <v>12</v>
      </c>
      <c r="AG464" t="n">
        <v>14</v>
      </c>
      <c r="AH464" t="n">
        <v>8</v>
      </c>
      <c r="AI464" t="n">
        <v>9</v>
      </c>
      <c r="AJ464" t="n">
        <v>14</v>
      </c>
      <c r="AK464" t="n">
        <v>15</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HYPERLINK("https://creighton-primo.hosted.exlibrisgroup.com/primo-explore/search?tab=default_tab&amp;search_scope=EVERYTHING&amp;vid=01CRU&amp;lang=en_US&amp;offset=0&amp;query=any,contains,991000301839702656","Catalog Record")</f>
        <v/>
      </c>
      <c r="AT464">
        <f>HYPERLINK("http://www.worldcat.org/oclc/10023080","WorldCat Record")</f>
        <v/>
      </c>
      <c r="AU464" t="inlineStr">
        <is>
          <t>836634570:eng</t>
        </is>
      </c>
      <c r="AV464" t="inlineStr">
        <is>
          <t>10023080</t>
        </is>
      </c>
      <c r="AW464" t="inlineStr">
        <is>
          <t>991000301839702656</t>
        </is>
      </c>
      <c r="AX464" t="inlineStr">
        <is>
          <t>991000301839702656</t>
        </is>
      </c>
      <c r="AY464" t="inlineStr">
        <is>
          <t>2268606640002656</t>
        </is>
      </c>
      <c r="AZ464" t="inlineStr">
        <is>
          <t>BOOK</t>
        </is>
      </c>
      <c r="BB464" t="inlineStr">
        <is>
          <t>9780521241939</t>
        </is>
      </c>
      <c r="BC464" t="inlineStr">
        <is>
          <t>32285001691830</t>
        </is>
      </c>
      <c r="BD464" t="inlineStr">
        <is>
          <t>893425580</t>
        </is>
      </c>
    </row>
    <row r="465">
      <c r="A465" t="inlineStr">
        <is>
          <t>No</t>
        </is>
      </c>
      <c r="B465" t="inlineStr">
        <is>
          <t>ND548 .G6 1970</t>
        </is>
      </c>
      <c r="C465" t="inlineStr">
        <is>
          <t>0                      ND 0548000G  6           1970</t>
        </is>
      </c>
      <c r="D465" t="inlineStr">
        <is>
          <t>Modern French painters.</t>
        </is>
      </c>
      <c r="F465" t="inlineStr">
        <is>
          <t>No</t>
        </is>
      </c>
      <c r="G465" t="inlineStr">
        <is>
          <t>1</t>
        </is>
      </c>
      <c r="H465" t="inlineStr">
        <is>
          <t>No</t>
        </is>
      </c>
      <c r="I465" t="inlineStr">
        <is>
          <t>No</t>
        </is>
      </c>
      <c r="J465" t="inlineStr">
        <is>
          <t>0</t>
        </is>
      </c>
      <c r="K465" t="inlineStr">
        <is>
          <t>Gordon, Jan, 1882-1944.</t>
        </is>
      </c>
      <c r="L465" t="inlineStr">
        <is>
          <t>Freeport, N.Y. : Books for Libraries Press, [1970]</t>
        </is>
      </c>
      <c r="M465" t="inlineStr">
        <is>
          <t>1970</t>
        </is>
      </c>
      <c r="O465" t="inlineStr">
        <is>
          <t>eng</t>
        </is>
      </c>
      <c r="P465" t="inlineStr">
        <is>
          <t>nyu</t>
        </is>
      </c>
      <c r="Q465" t="inlineStr">
        <is>
          <t>Essay index reprint series</t>
        </is>
      </c>
      <c r="R465" t="inlineStr">
        <is>
          <t xml:space="preserve">ND </t>
        </is>
      </c>
      <c r="S465" t="n">
        <v>4</v>
      </c>
      <c r="T465" t="n">
        <v>4</v>
      </c>
      <c r="U465" t="inlineStr">
        <is>
          <t>1994-02-27</t>
        </is>
      </c>
      <c r="V465" t="inlineStr">
        <is>
          <t>1994-02-27</t>
        </is>
      </c>
      <c r="W465" t="inlineStr">
        <is>
          <t>1991-09-16</t>
        </is>
      </c>
      <c r="X465" t="inlineStr">
        <is>
          <t>1991-09-16</t>
        </is>
      </c>
      <c r="Y465" t="n">
        <v>146</v>
      </c>
      <c r="Z465" t="n">
        <v>140</v>
      </c>
      <c r="AA465" t="n">
        <v>494</v>
      </c>
      <c r="AB465" t="n">
        <v>2</v>
      </c>
      <c r="AC465" t="n">
        <v>6</v>
      </c>
      <c r="AD465" t="n">
        <v>9</v>
      </c>
      <c r="AE465" t="n">
        <v>18</v>
      </c>
      <c r="AF465" t="n">
        <v>4</v>
      </c>
      <c r="AG465" t="n">
        <v>5</v>
      </c>
      <c r="AH465" t="n">
        <v>3</v>
      </c>
      <c r="AI465" t="n">
        <v>4</v>
      </c>
      <c r="AJ465" t="n">
        <v>4</v>
      </c>
      <c r="AK465" t="n">
        <v>8</v>
      </c>
      <c r="AL465" t="n">
        <v>1</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HYPERLINK("https://creighton-primo.hosted.exlibrisgroup.com/primo-explore/search?tab=default_tab&amp;search_scope=EVERYTHING&amp;vid=01CRU&amp;lang=en_US&amp;offset=0&amp;query=any,contains,991000425839702656","Catalog Record")</f>
        <v/>
      </c>
      <c r="AT465">
        <f>HYPERLINK("http://www.worldcat.org/oclc/75041","WorldCat Record")</f>
        <v/>
      </c>
      <c r="AU465" t="inlineStr">
        <is>
          <t>1247564:eng</t>
        </is>
      </c>
      <c r="AV465" t="inlineStr">
        <is>
          <t>75041</t>
        </is>
      </c>
      <c r="AW465" t="inlineStr">
        <is>
          <t>991000425839702656</t>
        </is>
      </c>
      <c r="AX465" t="inlineStr">
        <is>
          <t>991000425839702656</t>
        </is>
      </c>
      <c r="AY465" t="inlineStr">
        <is>
          <t>2256074250002656</t>
        </is>
      </c>
      <c r="AZ465" t="inlineStr">
        <is>
          <t>BOOK</t>
        </is>
      </c>
      <c r="BB465" t="inlineStr">
        <is>
          <t>9780836915730</t>
        </is>
      </c>
      <c r="BC465" t="inlineStr">
        <is>
          <t>32285000737790</t>
        </is>
      </c>
      <c r="BD465" t="inlineStr">
        <is>
          <t>893431935</t>
        </is>
      </c>
    </row>
    <row r="466">
      <c r="A466" t="inlineStr">
        <is>
          <t>No</t>
        </is>
      </c>
      <c r="B466" t="inlineStr">
        <is>
          <t>ND548 .P39 1995</t>
        </is>
      </c>
      <c r="C466" t="inlineStr">
        <is>
          <t>0                      ND 0548000P  39          1995</t>
        </is>
      </c>
      <c r="D466" t="inlineStr">
        <is>
          <t>Women artists and the Parisian avant-garde : modernism and feminine art, 1900 to the late 1920s / Gill Perry.</t>
        </is>
      </c>
      <c r="F466" t="inlineStr">
        <is>
          <t>No</t>
        </is>
      </c>
      <c r="G466" t="inlineStr">
        <is>
          <t>1</t>
        </is>
      </c>
      <c r="H466" t="inlineStr">
        <is>
          <t>No</t>
        </is>
      </c>
      <c r="I466" t="inlineStr">
        <is>
          <t>No</t>
        </is>
      </c>
      <c r="J466" t="inlineStr">
        <is>
          <t>0</t>
        </is>
      </c>
      <c r="K466" t="inlineStr">
        <is>
          <t>Perry, Gillian.</t>
        </is>
      </c>
      <c r="L466" t="inlineStr">
        <is>
          <t>Manchester [England] ; New York : Manchester University Press ; New York : Distributed exclusively in the USA and Canada by St. Martin's Press, 1995.</t>
        </is>
      </c>
      <c r="M466" t="inlineStr">
        <is>
          <t>1995</t>
        </is>
      </c>
      <c r="O466" t="inlineStr">
        <is>
          <t>eng</t>
        </is>
      </c>
      <c r="P466" t="inlineStr">
        <is>
          <t>enk</t>
        </is>
      </c>
      <c r="R466" t="inlineStr">
        <is>
          <t xml:space="preserve">ND </t>
        </is>
      </c>
      <c r="S466" t="n">
        <v>2</v>
      </c>
      <c r="T466" t="n">
        <v>2</v>
      </c>
      <c r="U466" t="inlineStr">
        <is>
          <t>2003-02-21</t>
        </is>
      </c>
      <c r="V466" t="inlineStr">
        <is>
          <t>2003-02-21</t>
        </is>
      </c>
      <c r="W466" t="inlineStr">
        <is>
          <t>1997-12-03</t>
        </is>
      </c>
      <c r="X466" t="inlineStr">
        <is>
          <t>1997-12-03</t>
        </is>
      </c>
      <c r="Y466" t="n">
        <v>575</v>
      </c>
      <c r="Z466" t="n">
        <v>440</v>
      </c>
      <c r="AA466" t="n">
        <v>446</v>
      </c>
      <c r="AB466" t="n">
        <v>4</v>
      </c>
      <c r="AC466" t="n">
        <v>4</v>
      </c>
      <c r="AD466" t="n">
        <v>27</v>
      </c>
      <c r="AE466" t="n">
        <v>27</v>
      </c>
      <c r="AF466" t="n">
        <v>10</v>
      </c>
      <c r="AG466" t="n">
        <v>10</v>
      </c>
      <c r="AH466" t="n">
        <v>7</v>
      </c>
      <c r="AI466" t="n">
        <v>7</v>
      </c>
      <c r="AJ466" t="n">
        <v>11</v>
      </c>
      <c r="AK466" t="n">
        <v>11</v>
      </c>
      <c r="AL466" t="n">
        <v>3</v>
      </c>
      <c r="AM466" t="n">
        <v>3</v>
      </c>
      <c r="AN466" t="n">
        <v>0</v>
      </c>
      <c r="AO466" t="n">
        <v>0</v>
      </c>
      <c r="AP466" t="inlineStr">
        <is>
          <t>No</t>
        </is>
      </c>
      <c r="AQ466" t="inlineStr">
        <is>
          <t>Yes</t>
        </is>
      </c>
      <c r="AR466">
        <f>HYPERLINK("http://catalog.hathitrust.org/Record/003011678","HathiTrust Record")</f>
        <v/>
      </c>
      <c r="AS466">
        <f>HYPERLINK("https://creighton-primo.hosted.exlibrisgroup.com/primo-explore/search?tab=default_tab&amp;search_scope=EVERYTHING&amp;vid=01CRU&amp;lang=en_US&amp;offset=0&amp;query=any,contains,991002421449702656","Catalog Record")</f>
        <v/>
      </c>
      <c r="AT466">
        <f>HYPERLINK("http://www.worldcat.org/oclc/31520024","WorldCat Record")</f>
        <v/>
      </c>
      <c r="AU466" t="inlineStr">
        <is>
          <t>33316548:eng</t>
        </is>
      </c>
      <c r="AV466" t="inlineStr">
        <is>
          <t>31520024</t>
        </is>
      </c>
      <c r="AW466" t="inlineStr">
        <is>
          <t>991002421449702656</t>
        </is>
      </c>
      <c r="AX466" t="inlineStr">
        <is>
          <t>991002421449702656</t>
        </is>
      </c>
      <c r="AY466" t="inlineStr">
        <is>
          <t>2264384380002656</t>
        </is>
      </c>
      <c r="AZ466" t="inlineStr">
        <is>
          <t>BOOK</t>
        </is>
      </c>
      <c r="BB466" t="inlineStr">
        <is>
          <t>9780719041648</t>
        </is>
      </c>
      <c r="BC466" t="inlineStr">
        <is>
          <t>32285003280988</t>
        </is>
      </c>
      <c r="BD466" t="inlineStr">
        <is>
          <t>893510708</t>
        </is>
      </c>
    </row>
    <row r="467">
      <c r="A467" t="inlineStr">
        <is>
          <t>No</t>
        </is>
      </c>
      <c r="B467" t="inlineStr">
        <is>
          <t>ND550 .C613</t>
        </is>
      </c>
      <c r="C467" t="inlineStr">
        <is>
          <t>0                      ND 0550000C  613</t>
        </is>
      </c>
      <c r="D467" t="inlineStr">
        <is>
          <t>Paris in our time: [from impressionism to the present day. Translated by Stuart Gilbert.</t>
        </is>
      </c>
      <c r="F467" t="inlineStr">
        <is>
          <t>No</t>
        </is>
      </c>
      <c r="G467" t="inlineStr">
        <is>
          <t>1</t>
        </is>
      </c>
      <c r="H467" t="inlineStr">
        <is>
          <t>No</t>
        </is>
      </c>
      <c r="I467" t="inlineStr">
        <is>
          <t>No</t>
        </is>
      </c>
      <c r="J467" t="inlineStr">
        <is>
          <t>0</t>
        </is>
      </c>
      <c r="K467" t="inlineStr">
        <is>
          <t>Courthion, Pierre.</t>
        </is>
      </c>
      <c r="L467" t="inlineStr">
        <is>
          <t>Lausanne?] Skira [1957]</t>
        </is>
      </c>
      <c r="M467" t="inlineStr">
        <is>
          <t>1957</t>
        </is>
      </c>
      <c r="O467" t="inlineStr">
        <is>
          <t>eng</t>
        </is>
      </c>
      <c r="P467" t="inlineStr">
        <is>
          <t xml:space="preserve">sz </t>
        </is>
      </c>
      <c r="Q467" t="inlineStr">
        <is>
          <t>The Taste of our time, 21</t>
        </is>
      </c>
      <c r="R467" t="inlineStr">
        <is>
          <t xml:space="preserve">ND </t>
        </is>
      </c>
      <c r="S467" t="n">
        <v>1</v>
      </c>
      <c r="T467" t="n">
        <v>1</v>
      </c>
      <c r="U467" t="inlineStr">
        <is>
          <t>1998-01-25</t>
        </is>
      </c>
      <c r="V467" t="inlineStr">
        <is>
          <t>1998-01-25</t>
        </is>
      </c>
      <c r="W467" t="inlineStr">
        <is>
          <t>1997-07-29</t>
        </is>
      </c>
      <c r="X467" t="inlineStr">
        <is>
          <t>1997-07-29</t>
        </is>
      </c>
      <c r="Y467" t="n">
        <v>577</v>
      </c>
      <c r="Z467" t="n">
        <v>517</v>
      </c>
      <c r="AA467" t="n">
        <v>531</v>
      </c>
      <c r="AB467" t="n">
        <v>4</v>
      </c>
      <c r="AC467" t="n">
        <v>4</v>
      </c>
      <c r="AD467" t="n">
        <v>20</v>
      </c>
      <c r="AE467" t="n">
        <v>20</v>
      </c>
      <c r="AF467" t="n">
        <v>9</v>
      </c>
      <c r="AG467" t="n">
        <v>9</v>
      </c>
      <c r="AH467" t="n">
        <v>5</v>
      </c>
      <c r="AI467" t="n">
        <v>5</v>
      </c>
      <c r="AJ467" t="n">
        <v>8</v>
      </c>
      <c r="AK467" t="n">
        <v>8</v>
      </c>
      <c r="AL467" t="n">
        <v>2</v>
      </c>
      <c r="AM467" t="n">
        <v>2</v>
      </c>
      <c r="AN467" t="n">
        <v>0</v>
      </c>
      <c r="AO467" t="n">
        <v>0</v>
      </c>
      <c r="AP467" t="inlineStr">
        <is>
          <t>No</t>
        </is>
      </c>
      <c r="AQ467" t="inlineStr">
        <is>
          <t>Yes</t>
        </is>
      </c>
      <c r="AR467">
        <f>HYPERLINK("http://catalog.hathitrust.org/Record/000373864","HathiTrust Record")</f>
        <v/>
      </c>
      <c r="AS467">
        <f>HYPERLINK("https://creighton-primo.hosted.exlibrisgroup.com/primo-explore/search?tab=default_tab&amp;search_scope=EVERYTHING&amp;vid=01CRU&amp;lang=en_US&amp;offset=0&amp;query=any,contains,991001017289702656","Catalog Record")</f>
        <v/>
      </c>
      <c r="AT467">
        <f>HYPERLINK("http://www.worldcat.org/oclc/173598","WorldCat Record")</f>
        <v/>
      </c>
      <c r="AU467" t="inlineStr">
        <is>
          <t>9350122022:eng</t>
        </is>
      </c>
      <c r="AV467" t="inlineStr">
        <is>
          <t>173598</t>
        </is>
      </c>
      <c r="AW467" t="inlineStr">
        <is>
          <t>991001017289702656</t>
        </is>
      </c>
      <c r="AX467" t="inlineStr">
        <is>
          <t>991001017289702656</t>
        </is>
      </c>
      <c r="AY467" t="inlineStr">
        <is>
          <t>2268489590002656</t>
        </is>
      </c>
      <c r="AZ467" t="inlineStr">
        <is>
          <t>BOOK</t>
        </is>
      </c>
      <c r="BC467" t="inlineStr">
        <is>
          <t>32285002967817</t>
        </is>
      </c>
      <c r="BD467" t="inlineStr">
        <is>
          <t>893621008</t>
        </is>
      </c>
    </row>
    <row r="468">
      <c r="A468" t="inlineStr">
        <is>
          <t>No</t>
        </is>
      </c>
      <c r="B468" t="inlineStr">
        <is>
          <t>ND550 .H47 1988</t>
        </is>
      </c>
      <c r="C468" t="inlineStr">
        <is>
          <t>0                      ND 0550000H  47          1988</t>
        </is>
      </c>
      <c r="D468" t="inlineStr">
        <is>
          <t>Impressionism : art, leisure, and Parisian society / Robert L. Herbert.</t>
        </is>
      </c>
      <c r="F468" t="inlineStr">
        <is>
          <t>No</t>
        </is>
      </c>
      <c r="G468" t="inlineStr">
        <is>
          <t>1</t>
        </is>
      </c>
      <c r="H468" t="inlineStr">
        <is>
          <t>No</t>
        </is>
      </c>
      <c r="I468" t="inlineStr">
        <is>
          <t>No</t>
        </is>
      </c>
      <c r="J468" t="inlineStr">
        <is>
          <t>0</t>
        </is>
      </c>
      <c r="K468" t="inlineStr">
        <is>
          <t>Herbert, Robert L., 1929-</t>
        </is>
      </c>
      <c r="L468" t="inlineStr">
        <is>
          <t>New Haven : Yale University Press, 1988.</t>
        </is>
      </c>
      <c r="M468" t="inlineStr">
        <is>
          <t>1988</t>
        </is>
      </c>
      <c r="O468" t="inlineStr">
        <is>
          <t>eng</t>
        </is>
      </c>
      <c r="P468" t="inlineStr">
        <is>
          <t>ctu</t>
        </is>
      </c>
      <c r="R468" t="inlineStr">
        <is>
          <t xml:space="preserve">ND </t>
        </is>
      </c>
      <c r="S468" t="n">
        <v>16</v>
      </c>
      <c r="T468" t="n">
        <v>16</v>
      </c>
      <c r="U468" t="inlineStr">
        <is>
          <t>2010-07-01</t>
        </is>
      </c>
      <c r="V468" t="inlineStr">
        <is>
          <t>2010-07-01</t>
        </is>
      </c>
      <c r="W468" t="inlineStr">
        <is>
          <t>1994-06-22</t>
        </is>
      </c>
      <c r="X468" t="inlineStr">
        <is>
          <t>1994-06-22</t>
        </is>
      </c>
      <c r="Y468" t="n">
        <v>1436</v>
      </c>
      <c r="Z468" t="n">
        <v>1220</v>
      </c>
      <c r="AA468" t="n">
        <v>1438</v>
      </c>
      <c r="AB468" t="n">
        <v>7</v>
      </c>
      <c r="AC468" t="n">
        <v>8</v>
      </c>
      <c r="AD468" t="n">
        <v>45</v>
      </c>
      <c r="AE468" t="n">
        <v>48</v>
      </c>
      <c r="AF468" t="n">
        <v>21</v>
      </c>
      <c r="AG468" t="n">
        <v>21</v>
      </c>
      <c r="AH468" t="n">
        <v>9</v>
      </c>
      <c r="AI468" t="n">
        <v>11</v>
      </c>
      <c r="AJ468" t="n">
        <v>22</v>
      </c>
      <c r="AK468" t="n">
        <v>24</v>
      </c>
      <c r="AL468" t="n">
        <v>5</v>
      </c>
      <c r="AM468" t="n">
        <v>6</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HYPERLINK("https://creighton-primo.hosted.exlibrisgroup.com/primo-explore/search?tab=default_tab&amp;search_scope=EVERYTHING&amp;vid=01CRU&amp;lang=en_US&amp;offset=0&amp;query=any,contains,991001167289702656","Catalog Record")</f>
        <v/>
      </c>
      <c r="AT468">
        <f>HYPERLINK("http://www.worldcat.org/oclc/16925240","WorldCat Record")</f>
        <v/>
      </c>
      <c r="AU468" t="inlineStr">
        <is>
          <t>13639562:eng</t>
        </is>
      </c>
      <c r="AV468" t="inlineStr">
        <is>
          <t>16925240</t>
        </is>
      </c>
      <c r="AW468" t="inlineStr">
        <is>
          <t>991001167289702656</t>
        </is>
      </c>
      <c r="AX468" t="inlineStr">
        <is>
          <t>991001167289702656</t>
        </is>
      </c>
      <c r="AY468" t="inlineStr">
        <is>
          <t>2272468920002656</t>
        </is>
      </c>
      <c r="AZ468" t="inlineStr">
        <is>
          <t>BOOK</t>
        </is>
      </c>
      <c r="BB468" t="inlineStr">
        <is>
          <t>9780300042627</t>
        </is>
      </c>
      <c r="BC468" t="inlineStr">
        <is>
          <t>32285001777670</t>
        </is>
      </c>
      <c r="BD468" t="inlineStr">
        <is>
          <t>893602377</t>
        </is>
      </c>
    </row>
    <row r="469">
      <c r="A469" t="inlineStr">
        <is>
          <t>No</t>
        </is>
      </c>
      <c r="B469" t="inlineStr">
        <is>
          <t>ND553.B23 A4 1984</t>
        </is>
      </c>
      <c r="C469" t="inlineStr">
        <is>
          <t>0                      ND 0553000B  23                 A  4           1984</t>
        </is>
      </c>
      <c r="D469" t="inlineStr">
        <is>
          <t>Balthus / Sabine Rewald.</t>
        </is>
      </c>
      <c r="F469" t="inlineStr">
        <is>
          <t>No</t>
        </is>
      </c>
      <c r="G469" t="inlineStr">
        <is>
          <t>1</t>
        </is>
      </c>
      <c r="H469" t="inlineStr">
        <is>
          <t>No</t>
        </is>
      </c>
      <c r="I469" t="inlineStr">
        <is>
          <t>No</t>
        </is>
      </c>
      <c r="J469" t="inlineStr">
        <is>
          <t>0</t>
        </is>
      </c>
      <c r="K469" t="inlineStr">
        <is>
          <t>Rewald, Sabine.</t>
        </is>
      </c>
      <c r="L469" t="inlineStr">
        <is>
          <t>New York : Metropolitan Museum of Art : H.N. Abrams, c1984.</t>
        </is>
      </c>
      <c r="M469" t="inlineStr">
        <is>
          <t>1984</t>
        </is>
      </c>
      <c r="O469" t="inlineStr">
        <is>
          <t>eng</t>
        </is>
      </c>
      <c r="P469" t="inlineStr">
        <is>
          <t>nyu</t>
        </is>
      </c>
      <c r="R469" t="inlineStr">
        <is>
          <t xml:space="preserve">ND </t>
        </is>
      </c>
      <c r="S469" t="n">
        <v>2</v>
      </c>
      <c r="T469" t="n">
        <v>2</v>
      </c>
      <c r="U469" t="inlineStr">
        <is>
          <t>1995-02-14</t>
        </is>
      </c>
      <c r="V469" t="inlineStr">
        <is>
          <t>1995-02-14</t>
        </is>
      </c>
      <c r="W469" t="inlineStr">
        <is>
          <t>1995-02-10</t>
        </is>
      </c>
      <c r="X469" t="inlineStr">
        <is>
          <t>1995-02-10</t>
        </is>
      </c>
      <c r="Y469" t="n">
        <v>725</v>
      </c>
      <c r="Z469" t="n">
        <v>618</v>
      </c>
      <c r="AA469" t="n">
        <v>626</v>
      </c>
      <c r="AB469" t="n">
        <v>3</v>
      </c>
      <c r="AC469" t="n">
        <v>3</v>
      </c>
      <c r="AD469" t="n">
        <v>13</v>
      </c>
      <c r="AE469" t="n">
        <v>13</v>
      </c>
      <c r="AF469" t="n">
        <v>6</v>
      </c>
      <c r="AG469" t="n">
        <v>6</v>
      </c>
      <c r="AH469" t="n">
        <v>2</v>
      </c>
      <c r="AI469" t="n">
        <v>2</v>
      </c>
      <c r="AJ469" t="n">
        <v>5</v>
      </c>
      <c r="AK469" t="n">
        <v>5</v>
      </c>
      <c r="AL469" t="n">
        <v>2</v>
      </c>
      <c r="AM469" t="n">
        <v>2</v>
      </c>
      <c r="AN469" t="n">
        <v>0</v>
      </c>
      <c r="AO469" t="n">
        <v>0</v>
      </c>
      <c r="AP469" t="inlineStr">
        <is>
          <t>No</t>
        </is>
      </c>
      <c r="AQ469" t="inlineStr">
        <is>
          <t>Yes</t>
        </is>
      </c>
      <c r="AR469">
        <f>HYPERLINK("http://catalog.hathitrust.org/Record/000124029","HathiTrust Record")</f>
        <v/>
      </c>
      <c r="AS469">
        <f>HYPERLINK("https://creighton-primo.hosted.exlibrisgroup.com/primo-explore/search?tab=default_tab&amp;search_scope=EVERYTHING&amp;vid=01CRU&amp;lang=en_US&amp;offset=0&amp;query=any,contains,991000348719702656","Catalog Record")</f>
        <v/>
      </c>
      <c r="AT469">
        <f>HYPERLINK("http://www.worldcat.org/oclc/10299729","WorldCat Record")</f>
        <v/>
      </c>
      <c r="AU469" t="inlineStr">
        <is>
          <t>5585091632:eng</t>
        </is>
      </c>
      <c r="AV469" t="inlineStr">
        <is>
          <t>10299729</t>
        </is>
      </c>
      <c r="AW469" t="inlineStr">
        <is>
          <t>991000348719702656</t>
        </is>
      </c>
      <c r="AX469" t="inlineStr">
        <is>
          <t>991000348719702656</t>
        </is>
      </c>
      <c r="AY469" t="inlineStr">
        <is>
          <t>2255381060002656</t>
        </is>
      </c>
      <c r="AZ469" t="inlineStr">
        <is>
          <t>BOOK</t>
        </is>
      </c>
      <c r="BB469" t="inlineStr">
        <is>
          <t>9780870993664</t>
        </is>
      </c>
      <c r="BC469" t="inlineStr">
        <is>
          <t>32285001988731</t>
        </is>
      </c>
      <c r="BD469" t="inlineStr">
        <is>
          <t>893689623</t>
        </is>
      </c>
    </row>
    <row r="470">
      <c r="A470" t="inlineStr">
        <is>
          <t>No</t>
        </is>
      </c>
      <c r="B470" t="inlineStr">
        <is>
          <t>ND553.B6 S5</t>
        </is>
      </c>
      <c r="C470" t="inlineStr">
        <is>
          <t>0                      ND 0553000B  6                  S  5</t>
        </is>
      </c>
      <c r="D470" t="inlineStr">
        <is>
          <t>Rosa Bonheur : with a checklist of works in American collections / Rosalia Shriver.</t>
        </is>
      </c>
      <c r="F470" t="inlineStr">
        <is>
          <t>No</t>
        </is>
      </c>
      <c r="G470" t="inlineStr">
        <is>
          <t>1</t>
        </is>
      </c>
      <c r="H470" t="inlineStr">
        <is>
          <t>No</t>
        </is>
      </c>
      <c r="I470" t="inlineStr">
        <is>
          <t>No</t>
        </is>
      </c>
      <c r="J470" t="inlineStr">
        <is>
          <t>0</t>
        </is>
      </c>
      <c r="K470" t="inlineStr">
        <is>
          <t>Shriver, Rosalia, 1927-</t>
        </is>
      </c>
      <c r="L470" t="inlineStr">
        <is>
          <t>Philadelphia : Art Alliance Press, c1982.</t>
        </is>
      </c>
      <c r="M470" t="inlineStr">
        <is>
          <t>1982</t>
        </is>
      </c>
      <c r="O470" t="inlineStr">
        <is>
          <t>eng</t>
        </is>
      </c>
      <c r="P470" t="inlineStr">
        <is>
          <t>pau</t>
        </is>
      </c>
      <c r="R470" t="inlineStr">
        <is>
          <t xml:space="preserve">ND </t>
        </is>
      </c>
      <c r="S470" t="n">
        <v>2</v>
      </c>
      <c r="T470" t="n">
        <v>2</v>
      </c>
      <c r="U470" t="inlineStr">
        <is>
          <t>1996-02-27</t>
        </is>
      </c>
      <c r="V470" t="inlineStr">
        <is>
          <t>1996-02-27</t>
        </is>
      </c>
      <c r="W470" t="inlineStr">
        <is>
          <t>1993-05-21</t>
        </is>
      </c>
      <c r="X470" t="inlineStr">
        <is>
          <t>1993-05-21</t>
        </is>
      </c>
      <c r="Y470" t="n">
        <v>439</v>
      </c>
      <c r="Z470" t="n">
        <v>390</v>
      </c>
      <c r="AA470" t="n">
        <v>392</v>
      </c>
      <c r="AB470" t="n">
        <v>2</v>
      </c>
      <c r="AC470" t="n">
        <v>2</v>
      </c>
      <c r="AD470" t="n">
        <v>12</v>
      </c>
      <c r="AE470" t="n">
        <v>12</v>
      </c>
      <c r="AF470" t="n">
        <v>6</v>
      </c>
      <c r="AG470" t="n">
        <v>6</v>
      </c>
      <c r="AH470" t="n">
        <v>2</v>
      </c>
      <c r="AI470" t="n">
        <v>2</v>
      </c>
      <c r="AJ470" t="n">
        <v>5</v>
      </c>
      <c r="AK470" t="n">
        <v>5</v>
      </c>
      <c r="AL470" t="n">
        <v>1</v>
      </c>
      <c r="AM470" t="n">
        <v>1</v>
      </c>
      <c r="AN470" t="n">
        <v>0</v>
      </c>
      <c r="AO470" t="n">
        <v>0</v>
      </c>
      <c r="AP470" t="inlineStr">
        <is>
          <t>No</t>
        </is>
      </c>
      <c r="AQ470" t="inlineStr">
        <is>
          <t>Yes</t>
        </is>
      </c>
      <c r="AR470">
        <f>HYPERLINK("http://catalog.hathitrust.org/Record/000273571","HathiTrust Record")</f>
        <v/>
      </c>
      <c r="AS470">
        <f>HYPERLINK("https://creighton-primo.hosted.exlibrisgroup.com/primo-explore/search?tab=default_tab&amp;search_scope=EVERYTHING&amp;vid=01CRU&amp;lang=en_US&amp;offset=0&amp;query=any,contains,991005167989702656","Catalog Record")</f>
        <v/>
      </c>
      <c r="AT470">
        <f>HYPERLINK("http://www.worldcat.org/oclc/7837212","WorldCat Record")</f>
        <v/>
      </c>
      <c r="AU470" t="inlineStr">
        <is>
          <t>29771476:eng</t>
        </is>
      </c>
      <c r="AV470" t="inlineStr">
        <is>
          <t>7837212</t>
        </is>
      </c>
      <c r="AW470" t="inlineStr">
        <is>
          <t>991005167989702656</t>
        </is>
      </c>
      <c r="AX470" t="inlineStr">
        <is>
          <t>991005167989702656</t>
        </is>
      </c>
      <c r="AY470" t="inlineStr">
        <is>
          <t>2256837170002656</t>
        </is>
      </c>
      <c r="AZ470" t="inlineStr">
        <is>
          <t>BOOK</t>
        </is>
      </c>
      <c r="BB470" t="inlineStr">
        <is>
          <t>9780879820374</t>
        </is>
      </c>
      <c r="BC470" t="inlineStr">
        <is>
          <t>32285001691848</t>
        </is>
      </c>
      <c r="BD470" t="inlineStr">
        <is>
          <t>893795731</t>
        </is>
      </c>
    </row>
    <row r="471">
      <c r="A471" t="inlineStr">
        <is>
          <t>No</t>
        </is>
      </c>
      <c r="B471" t="inlineStr">
        <is>
          <t>ND553.B65 F4</t>
        </is>
      </c>
      <c r="C471" t="inlineStr">
        <is>
          <t>0                      ND 0553000B  65                 F  4</t>
        </is>
      </c>
      <c r="D471" t="inlineStr">
        <is>
          <t>Pierre Bonnard. Text by André Fermigier.</t>
        </is>
      </c>
      <c r="F471" t="inlineStr">
        <is>
          <t>No</t>
        </is>
      </c>
      <c r="G471" t="inlineStr">
        <is>
          <t>1</t>
        </is>
      </c>
      <c r="H471" t="inlineStr">
        <is>
          <t>No</t>
        </is>
      </c>
      <c r="I471" t="inlineStr">
        <is>
          <t>No</t>
        </is>
      </c>
      <c r="J471" t="inlineStr">
        <is>
          <t>0</t>
        </is>
      </c>
      <c r="K471" t="inlineStr">
        <is>
          <t>Bonnard, Pierre, 1867-1947.</t>
        </is>
      </c>
      <c r="L471" t="inlineStr">
        <is>
          <t>New York, H.N. Abrams [1969]</t>
        </is>
      </c>
      <c r="M471" t="inlineStr">
        <is>
          <t>1969</t>
        </is>
      </c>
      <c r="N471" t="inlineStr">
        <is>
          <t>[1st ed.]</t>
        </is>
      </c>
      <c r="O471" t="inlineStr">
        <is>
          <t>eng</t>
        </is>
      </c>
      <c r="P471" t="inlineStr">
        <is>
          <t>nyu</t>
        </is>
      </c>
      <c r="Q471" t="inlineStr">
        <is>
          <t>The Library of great painters</t>
        </is>
      </c>
      <c r="R471" t="inlineStr">
        <is>
          <t xml:space="preserve">ND </t>
        </is>
      </c>
      <c r="S471" t="n">
        <v>3</v>
      </c>
      <c r="T471" t="n">
        <v>3</v>
      </c>
      <c r="U471" t="inlineStr">
        <is>
          <t>1999-04-07</t>
        </is>
      </c>
      <c r="V471" t="inlineStr">
        <is>
          <t>1999-04-07</t>
        </is>
      </c>
      <c r="W471" t="inlineStr">
        <is>
          <t>1997-07-29</t>
        </is>
      </c>
      <c r="X471" t="inlineStr">
        <is>
          <t>1997-07-29</t>
        </is>
      </c>
      <c r="Y471" t="n">
        <v>938</v>
      </c>
      <c r="Z471" t="n">
        <v>824</v>
      </c>
      <c r="AA471" t="n">
        <v>831</v>
      </c>
      <c r="AB471" t="n">
        <v>5</v>
      </c>
      <c r="AC471" t="n">
        <v>5</v>
      </c>
      <c r="AD471" t="n">
        <v>23</v>
      </c>
      <c r="AE471" t="n">
        <v>23</v>
      </c>
      <c r="AF471" t="n">
        <v>9</v>
      </c>
      <c r="AG471" t="n">
        <v>9</v>
      </c>
      <c r="AH471" t="n">
        <v>4</v>
      </c>
      <c r="AI471" t="n">
        <v>4</v>
      </c>
      <c r="AJ471" t="n">
        <v>11</v>
      </c>
      <c r="AK471" t="n">
        <v>11</v>
      </c>
      <c r="AL471" t="n">
        <v>3</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HYPERLINK("https://creighton-primo.hosted.exlibrisgroup.com/primo-explore/search?tab=default_tab&amp;search_scope=EVERYTHING&amp;vid=01CRU&amp;lang=en_US&amp;offset=0&amp;query=any,contains,991000002999702656","Catalog Record")</f>
        <v/>
      </c>
      <c r="AT471">
        <f>HYPERLINK("http://www.worldcat.org/oclc/11852","WorldCat Record")</f>
        <v/>
      </c>
      <c r="AU471" t="inlineStr">
        <is>
          <t>5574971855:eng</t>
        </is>
      </c>
      <c r="AV471" t="inlineStr">
        <is>
          <t>11852</t>
        </is>
      </c>
      <c r="AW471" t="inlineStr">
        <is>
          <t>991000002999702656</t>
        </is>
      </c>
      <c r="AX471" t="inlineStr">
        <is>
          <t>991000002999702656</t>
        </is>
      </c>
      <c r="AY471" t="inlineStr">
        <is>
          <t>2265469890002656</t>
        </is>
      </c>
      <c r="AZ471" t="inlineStr">
        <is>
          <t>BOOK</t>
        </is>
      </c>
      <c r="BC471" t="inlineStr">
        <is>
          <t>32285002967833</t>
        </is>
      </c>
      <c r="BD471" t="inlineStr">
        <is>
          <t>893326919</t>
        </is>
      </c>
    </row>
    <row r="472">
      <c r="A472" t="inlineStr">
        <is>
          <t>No</t>
        </is>
      </c>
      <c r="B472" t="inlineStr">
        <is>
          <t>ND553.B7 M2</t>
        </is>
      </c>
      <c r="C472" t="inlineStr">
        <is>
          <t>0                      ND 0553000B  7                  M  2</t>
        </is>
      </c>
      <c r="D472" t="inlineStr">
        <is>
          <t>Boucher : the man, his times, his art, and his significance, 1703-1770 / by Haldane Macfall.</t>
        </is>
      </c>
      <c r="F472" t="inlineStr">
        <is>
          <t>No</t>
        </is>
      </c>
      <c r="G472" t="inlineStr">
        <is>
          <t>1</t>
        </is>
      </c>
      <c r="H472" t="inlineStr">
        <is>
          <t>No</t>
        </is>
      </c>
      <c r="I472" t="inlineStr">
        <is>
          <t>No</t>
        </is>
      </c>
      <c r="J472" t="inlineStr">
        <is>
          <t>0</t>
        </is>
      </c>
      <c r="K472" t="inlineStr">
        <is>
          <t>Macfall, Haldane, 1860-1928.</t>
        </is>
      </c>
      <c r="L472" t="inlineStr">
        <is>
          <t>London : The Connoisseur, 1908.</t>
        </is>
      </c>
      <c r="M472" t="inlineStr">
        <is>
          <t>1908</t>
        </is>
      </c>
      <c r="O472" t="inlineStr">
        <is>
          <t>eng</t>
        </is>
      </c>
      <c r="P472" t="inlineStr">
        <is>
          <t xml:space="preserve">xx </t>
        </is>
      </c>
      <c r="R472" t="inlineStr">
        <is>
          <t xml:space="preserve">ND </t>
        </is>
      </c>
      <c r="S472" t="n">
        <v>2</v>
      </c>
      <c r="T472" t="n">
        <v>2</v>
      </c>
      <c r="U472" t="inlineStr">
        <is>
          <t>2000-02-29</t>
        </is>
      </c>
      <c r="V472" t="inlineStr">
        <is>
          <t>2000-02-29</t>
        </is>
      </c>
      <c r="W472" t="inlineStr">
        <is>
          <t>1994-09-29</t>
        </is>
      </c>
      <c r="X472" t="inlineStr">
        <is>
          <t>1994-09-29</t>
        </is>
      </c>
      <c r="Y472" t="n">
        <v>154</v>
      </c>
      <c r="Z472" t="n">
        <v>100</v>
      </c>
      <c r="AA472" t="n">
        <v>146</v>
      </c>
      <c r="AB472" t="n">
        <v>1</v>
      </c>
      <c r="AC472" t="n">
        <v>2</v>
      </c>
      <c r="AD472" t="n">
        <v>1</v>
      </c>
      <c r="AE472" t="n">
        <v>3</v>
      </c>
      <c r="AF472" t="n">
        <v>1</v>
      </c>
      <c r="AG472" t="n">
        <v>1</v>
      </c>
      <c r="AH472" t="n">
        <v>0</v>
      </c>
      <c r="AI472" t="n">
        <v>1</v>
      </c>
      <c r="AJ472" t="n">
        <v>1</v>
      </c>
      <c r="AK472" t="n">
        <v>1</v>
      </c>
      <c r="AL472" t="n">
        <v>0</v>
      </c>
      <c r="AM472" t="n">
        <v>1</v>
      </c>
      <c r="AN472" t="n">
        <v>0</v>
      </c>
      <c r="AO472" t="n">
        <v>0</v>
      </c>
      <c r="AP472" t="inlineStr">
        <is>
          <t>Yes</t>
        </is>
      </c>
      <c r="AQ472" t="inlineStr">
        <is>
          <t>No</t>
        </is>
      </c>
      <c r="AR472">
        <f>HYPERLINK("http://catalog.hathitrust.org/Record/100760098","HathiTrust Record")</f>
        <v/>
      </c>
      <c r="AS472">
        <f>HYPERLINK("https://creighton-primo.hosted.exlibrisgroup.com/primo-explore/search?tab=default_tab&amp;search_scope=EVERYTHING&amp;vid=01CRU&amp;lang=en_US&amp;offset=0&amp;query=any,contains,991003762409702656","Catalog Record")</f>
        <v/>
      </c>
      <c r="AT472">
        <f>HYPERLINK("http://www.worldcat.org/oclc/1451440","WorldCat Record")</f>
        <v/>
      </c>
      <c r="AU472" t="inlineStr">
        <is>
          <t>69176392:eng</t>
        </is>
      </c>
      <c r="AV472" t="inlineStr">
        <is>
          <t>1451440</t>
        </is>
      </c>
      <c r="AW472" t="inlineStr">
        <is>
          <t>991003762409702656</t>
        </is>
      </c>
      <c r="AX472" t="inlineStr">
        <is>
          <t>991003762409702656</t>
        </is>
      </c>
      <c r="AY472" t="inlineStr">
        <is>
          <t>2261025310002656</t>
        </is>
      </c>
      <c r="AZ472" t="inlineStr">
        <is>
          <t>BOOK</t>
        </is>
      </c>
      <c r="BC472" t="inlineStr">
        <is>
          <t>32285001952927</t>
        </is>
      </c>
      <c r="BD472" t="inlineStr">
        <is>
          <t>893605175</t>
        </is>
      </c>
    </row>
    <row r="473">
      <c r="A473" t="inlineStr">
        <is>
          <t>No</t>
        </is>
      </c>
      <c r="B473" t="inlineStr">
        <is>
          <t>ND553.C243 V37 1987</t>
        </is>
      </c>
      <c r="C473" t="inlineStr">
        <is>
          <t>0                      ND 0553000C  243                V  37          1987</t>
        </is>
      </c>
      <c r="D473" t="inlineStr">
        <is>
          <t>Gustave Caillebotte / Kirk Varnedoe.</t>
        </is>
      </c>
      <c r="F473" t="inlineStr">
        <is>
          <t>No</t>
        </is>
      </c>
      <c r="G473" t="inlineStr">
        <is>
          <t>1</t>
        </is>
      </c>
      <c r="H473" t="inlineStr">
        <is>
          <t>No</t>
        </is>
      </c>
      <c r="I473" t="inlineStr">
        <is>
          <t>No</t>
        </is>
      </c>
      <c r="J473" t="inlineStr">
        <is>
          <t>0</t>
        </is>
      </c>
      <c r="K473" t="inlineStr">
        <is>
          <t>Varnedoe, Kirk, 1946-2003.</t>
        </is>
      </c>
      <c r="L473" t="inlineStr">
        <is>
          <t>New Haven ; London : Yale University Press, 1987.</t>
        </is>
      </c>
      <c r="M473" t="inlineStr">
        <is>
          <t>1987</t>
        </is>
      </c>
      <c r="O473" t="inlineStr">
        <is>
          <t>eng</t>
        </is>
      </c>
      <c r="P473" t="inlineStr">
        <is>
          <t>enk</t>
        </is>
      </c>
      <c r="R473" t="inlineStr">
        <is>
          <t xml:space="preserve">ND </t>
        </is>
      </c>
      <c r="S473" t="n">
        <v>2</v>
      </c>
      <c r="T473" t="n">
        <v>2</v>
      </c>
      <c r="U473" t="inlineStr">
        <is>
          <t>1995-06-12</t>
        </is>
      </c>
      <c r="V473" t="inlineStr">
        <is>
          <t>1995-06-12</t>
        </is>
      </c>
      <c r="W473" t="inlineStr">
        <is>
          <t>1992-11-18</t>
        </is>
      </c>
      <c r="X473" t="inlineStr">
        <is>
          <t>1992-11-18</t>
        </is>
      </c>
      <c r="Y473" t="n">
        <v>956</v>
      </c>
      <c r="Z473" t="n">
        <v>779</v>
      </c>
      <c r="AA473" t="n">
        <v>780</v>
      </c>
      <c r="AB473" t="n">
        <v>5</v>
      </c>
      <c r="AC473" t="n">
        <v>5</v>
      </c>
      <c r="AD473" t="n">
        <v>31</v>
      </c>
      <c r="AE473" t="n">
        <v>31</v>
      </c>
      <c r="AF473" t="n">
        <v>14</v>
      </c>
      <c r="AG473" t="n">
        <v>14</v>
      </c>
      <c r="AH473" t="n">
        <v>6</v>
      </c>
      <c r="AI473" t="n">
        <v>6</v>
      </c>
      <c r="AJ473" t="n">
        <v>15</v>
      </c>
      <c r="AK473" t="n">
        <v>15</v>
      </c>
      <c r="AL473" t="n">
        <v>3</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HYPERLINK("https://creighton-primo.hosted.exlibrisgroup.com/primo-explore/search?tab=default_tab&amp;search_scope=EVERYTHING&amp;vid=01CRU&amp;lang=en_US&amp;offset=0&amp;query=any,contains,991001150239702656","Catalog Record")</f>
        <v/>
      </c>
      <c r="AT473">
        <f>HYPERLINK("http://www.worldcat.org/oclc/18049830","WorldCat Record")</f>
        <v/>
      </c>
      <c r="AU473" t="inlineStr">
        <is>
          <t>10568538951:eng</t>
        </is>
      </c>
      <c r="AV473" t="inlineStr">
        <is>
          <t>18049830</t>
        </is>
      </c>
      <c r="AW473" t="inlineStr">
        <is>
          <t>991001150239702656</t>
        </is>
      </c>
      <c r="AX473" t="inlineStr">
        <is>
          <t>991001150239702656</t>
        </is>
      </c>
      <c r="AY473" t="inlineStr">
        <is>
          <t>2269997060002656</t>
        </is>
      </c>
      <c r="AZ473" t="inlineStr">
        <is>
          <t>BOOK</t>
        </is>
      </c>
      <c r="BB473" t="inlineStr">
        <is>
          <t>9780300037227</t>
        </is>
      </c>
      <c r="BC473" t="inlineStr">
        <is>
          <t>32285001432714</t>
        </is>
      </c>
      <c r="BD473" t="inlineStr">
        <is>
          <t>893438915</t>
        </is>
      </c>
    </row>
    <row r="474">
      <c r="A474" t="inlineStr">
        <is>
          <t>No</t>
        </is>
      </c>
      <c r="B474" t="inlineStr">
        <is>
          <t>ND553.C33 A35 1977</t>
        </is>
      </c>
      <c r="C474" t="inlineStr">
        <is>
          <t>0                      ND 0553000C  33                 A  35          1977</t>
        </is>
      </c>
      <c r="D474" t="inlineStr">
        <is>
          <t>Cézanne : the late work : essays / by Theodore Reff ... [et al.] ; edited by William Rubin.</t>
        </is>
      </c>
      <c r="F474" t="inlineStr">
        <is>
          <t>No</t>
        </is>
      </c>
      <c r="G474" t="inlineStr">
        <is>
          <t>1</t>
        </is>
      </c>
      <c r="H474" t="inlineStr">
        <is>
          <t>No</t>
        </is>
      </c>
      <c r="I474" t="inlineStr">
        <is>
          <t>No</t>
        </is>
      </c>
      <c r="J474" t="inlineStr">
        <is>
          <t>0</t>
        </is>
      </c>
      <c r="L474" t="inlineStr">
        <is>
          <t>New York : Museum of Modern Art ; Boston : distributed by New York Graphic Society, c1977.</t>
        </is>
      </c>
      <c r="M474" t="inlineStr">
        <is>
          <t>1977</t>
        </is>
      </c>
      <c r="O474" t="inlineStr">
        <is>
          <t>eng</t>
        </is>
      </c>
      <c r="P474" t="inlineStr">
        <is>
          <t>nyu</t>
        </is>
      </c>
      <c r="R474" t="inlineStr">
        <is>
          <t xml:space="preserve">ND </t>
        </is>
      </c>
      <c r="S474" t="n">
        <v>7</v>
      </c>
      <c r="T474" t="n">
        <v>7</v>
      </c>
      <c r="U474" t="inlineStr">
        <is>
          <t>1999-04-19</t>
        </is>
      </c>
      <c r="V474" t="inlineStr">
        <is>
          <t>1999-04-19</t>
        </is>
      </c>
      <c r="W474" t="inlineStr">
        <is>
          <t>1992-04-16</t>
        </is>
      </c>
      <c r="X474" t="inlineStr">
        <is>
          <t>1992-04-16</t>
        </is>
      </c>
      <c r="Y474" t="n">
        <v>1313</v>
      </c>
      <c r="Z474" t="n">
        <v>1154</v>
      </c>
      <c r="AA474" t="n">
        <v>1159</v>
      </c>
      <c r="AB474" t="n">
        <v>8</v>
      </c>
      <c r="AC474" t="n">
        <v>8</v>
      </c>
      <c r="AD474" t="n">
        <v>40</v>
      </c>
      <c r="AE474" t="n">
        <v>40</v>
      </c>
      <c r="AF474" t="n">
        <v>20</v>
      </c>
      <c r="AG474" t="n">
        <v>20</v>
      </c>
      <c r="AH474" t="n">
        <v>6</v>
      </c>
      <c r="AI474" t="n">
        <v>6</v>
      </c>
      <c r="AJ474" t="n">
        <v>19</v>
      </c>
      <c r="AK474" t="n">
        <v>19</v>
      </c>
      <c r="AL474" t="n">
        <v>5</v>
      </c>
      <c r="AM474" t="n">
        <v>5</v>
      </c>
      <c r="AN474" t="n">
        <v>0</v>
      </c>
      <c r="AO474" t="n">
        <v>0</v>
      </c>
      <c r="AP474" t="inlineStr">
        <is>
          <t>No</t>
        </is>
      </c>
      <c r="AQ474" t="inlineStr">
        <is>
          <t>Yes</t>
        </is>
      </c>
      <c r="AR474">
        <f>HYPERLINK("http://catalog.hathitrust.org/Record/000751107","HathiTrust Record")</f>
        <v/>
      </c>
      <c r="AS474">
        <f>HYPERLINK("https://creighton-primo.hosted.exlibrisgroup.com/primo-explore/search?tab=default_tab&amp;search_scope=EVERYTHING&amp;vid=01CRU&amp;lang=en_US&amp;offset=0&amp;query=any,contains,991004545099702656","Catalog Record")</f>
        <v/>
      </c>
      <c r="AT474">
        <f>HYPERLINK("http://www.worldcat.org/oclc/3913108","WorldCat Record")</f>
        <v/>
      </c>
      <c r="AU474" t="inlineStr">
        <is>
          <t>4846606978:eng</t>
        </is>
      </c>
      <c r="AV474" t="inlineStr">
        <is>
          <t>3913108</t>
        </is>
      </c>
      <c r="AW474" t="inlineStr">
        <is>
          <t>991004545099702656</t>
        </is>
      </c>
      <c r="AX474" t="inlineStr">
        <is>
          <t>991004545099702656</t>
        </is>
      </c>
      <c r="AY474" t="inlineStr">
        <is>
          <t>2258287920002656</t>
        </is>
      </c>
      <c r="AZ474" t="inlineStr">
        <is>
          <t>BOOK</t>
        </is>
      </c>
      <c r="BB474" t="inlineStr">
        <is>
          <t>9780870702785</t>
        </is>
      </c>
      <c r="BC474" t="inlineStr">
        <is>
          <t>32285001068773</t>
        </is>
      </c>
      <c r="BD474" t="inlineStr">
        <is>
          <t>893229488</t>
        </is>
      </c>
    </row>
    <row r="475">
      <c r="A475" t="inlineStr">
        <is>
          <t>No</t>
        </is>
      </c>
      <c r="B475" t="inlineStr">
        <is>
          <t>ND553.C33 E483 1960z</t>
        </is>
      </c>
      <c r="C475" t="inlineStr">
        <is>
          <t>0                      ND 0553000C  33                 E  483         1960z</t>
        </is>
      </c>
      <c r="D475" t="inlineStr">
        <is>
          <t>Cezanne.</t>
        </is>
      </c>
      <c r="F475" t="inlineStr">
        <is>
          <t>No</t>
        </is>
      </c>
      <c r="G475" t="inlineStr">
        <is>
          <t>1</t>
        </is>
      </c>
      <c r="H475" t="inlineStr">
        <is>
          <t>No</t>
        </is>
      </c>
      <c r="I475" t="inlineStr">
        <is>
          <t>No</t>
        </is>
      </c>
      <c r="J475" t="inlineStr">
        <is>
          <t>0</t>
        </is>
      </c>
      <c r="K475" t="inlineStr">
        <is>
          <t>Elgar, Frank.</t>
        </is>
      </c>
      <c r="L475" t="inlineStr">
        <is>
          <t>New York, N.N. Abrams [196-]</t>
        </is>
      </c>
      <c r="M475" t="inlineStr">
        <is>
          <t>1960</t>
        </is>
      </c>
      <c r="O475" t="inlineStr">
        <is>
          <t>eng</t>
        </is>
      </c>
      <c r="P475" t="inlineStr">
        <is>
          <t>nyu</t>
        </is>
      </c>
      <c r="R475" t="inlineStr">
        <is>
          <t xml:space="preserve">ND </t>
        </is>
      </c>
      <c r="S475" t="n">
        <v>1</v>
      </c>
      <c r="T475" t="n">
        <v>1</v>
      </c>
      <c r="U475" t="inlineStr">
        <is>
          <t>2001-11-26</t>
        </is>
      </c>
      <c r="V475" t="inlineStr">
        <is>
          <t>2001-11-26</t>
        </is>
      </c>
      <c r="W475" t="inlineStr">
        <is>
          <t>1997-07-29</t>
        </is>
      </c>
      <c r="X475" t="inlineStr">
        <is>
          <t>1997-07-29</t>
        </is>
      </c>
      <c r="Y475" t="n">
        <v>322</v>
      </c>
      <c r="Z475" t="n">
        <v>293</v>
      </c>
      <c r="AA475" t="n">
        <v>438</v>
      </c>
      <c r="AB475" t="n">
        <v>6</v>
      </c>
      <c r="AC475" t="n">
        <v>6</v>
      </c>
      <c r="AD475" t="n">
        <v>13</v>
      </c>
      <c r="AE475" t="n">
        <v>18</v>
      </c>
      <c r="AF475" t="n">
        <v>4</v>
      </c>
      <c r="AG475" t="n">
        <v>7</v>
      </c>
      <c r="AH475" t="n">
        <v>2</v>
      </c>
      <c r="AI475" t="n">
        <v>3</v>
      </c>
      <c r="AJ475" t="n">
        <v>5</v>
      </c>
      <c r="AK475" t="n">
        <v>7</v>
      </c>
      <c r="AL475" t="n">
        <v>4</v>
      </c>
      <c r="AM475" t="n">
        <v>4</v>
      </c>
      <c r="AN475" t="n">
        <v>0</v>
      </c>
      <c r="AO475" t="n">
        <v>0</v>
      </c>
      <c r="AP475" t="inlineStr">
        <is>
          <t>No</t>
        </is>
      </c>
      <c r="AQ475" t="inlineStr">
        <is>
          <t>No</t>
        </is>
      </c>
      <c r="AR475">
        <f>HYPERLINK("http://catalog.hathitrust.org/Record/000413062","HathiTrust Record")</f>
        <v/>
      </c>
      <c r="AS475">
        <f>HYPERLINK("https://creighton-primo.hosted.exlibrisgroup.com/primo-explore/search?tab=default_tab&amp;search_scope=EVERYTHING&amp;vid=01CRU&amp;lang=en_US&amp;offset=0&amp;query=any,contains,991000075269702656","Catalog Record")</f>
        <v/>
      </c>
      <c r="AT475">
        <f>HYPERLINK("http://www.worldcat.org/oclc/30253","WorldCat Record")</f>
        <v/>
      </c>
      <c r="AU475" t="inlineStr">
        <is>
          <t>4535571310:eng</t>
        </is>
      </c>
      <c r="AV475" t="inlineStr">
        <is>
          <t>30253</t>
        </is>
      </c>
      <c r="AW475" t="inlineStr">
        <is>
          <t>991000075269702656</t>
        </is>
      </c>
      <c r="AX475" t="inlineStr">
        <is>
          <t>991000075269702656</t>
        </is>
      </c>
      <c r="AY475" t="inlineStr">
        <is>
          <t>2262389870002656</t>
        </is>
      </c>
      <c r="AZ475" t="inlineStr">
        <is>
          <t>BOOK</t>
        </is>
      </c>
      <c r="BC475" t="inlineStr">
        <is>
          <t>32285002967874</t>
        </is>
      </c>
      <c r="BD475" t="inlineStr">
        <is>
          <t>893437974</t>
        </is>
      </c>
    </row>
    <row r="476">
      <c r="A476" t="inlineStr">
        <is>
          <t>No</t>
        </is>
      </c>
      <c r="B476" t="inlineStr">
        <is>
          <t>ND553.C33 F395 2003</t>
        </is>
      </c>
      <c r="C476" t="inlineStr">
        <is>
          <t>0                      ND 0553000C  33                 F  395         2003</t>
        </is>
      </c>
      <c r="D476" t="inlineStr">
        <is>
          <t>Cézanne's garden / text and photography by Derek Fell.</t>
        </is>
      </c>
      <c r="F476" t="inlineStr">
        <is>
          <t>No</t>
        </is>
      </c>
      <c r="G476" t="inlineStr">
        <is>
          <t>1</t>
        </is>
      </c>
      <c r="H476" t="inlineStr">
        <is>
          <t>No</t>
        </is>
      </c>
      <c r="I476" t="inlineStr">
        <is>
          <t>No</t>
        </is>
      </c>
      <c r="J476" t="inlineStr">
        <is>
          <t>0</t>
        </is>
      </c>
      <c r="K476" t="inlineStr">
        <is>
          <t>Fell, Derek.</t>
        </is>
      </c>
      <c r="L476" t="inlineStr">
        <is>
          <t>New York : Simon &amp; Schuster, c2003.</t>
        </is>
      </c>
      <c r="M476" t="inlineStr">
        <is>
          <t>2003</t>
        </is>
      </c>
      <c r="O476" t="inlineStr">
        <is>
          <t>eng</t>
        </is>
      </c>
      <c r="P476" t="inlineStr">
        <is>
          <t>nyu</t>
        </is>
      </c>
      <c r="R476" t="inlineStr">
        <is>
          <t xml:space="preserve">ND </t>
        </is>
      </c>
      <c r="S476" t="n">
        <v>3</v>
      </c>
      <c r="T476" t="n">
        <v>3</v>
      </c>
      <c r="U476" t="inlineStr">
        <is>
          <t>2007-09-26</t>
        </is>
      </c>
      <c r="V476" t="inlineStr">
        <is>
          <t>2007-09-26</t>
        </is>
      </c>
      <c r="W476" t="inlineStr">
        <is>
          <t>2004-03-30</t>
        </is>
      </c>
      <c r="X476" t="inlineStr">
        <is>
          <t>2004-03-30</t>
        </is>
      </c>
      <c r="Y476" t="n">
        <v>456</v>
      </c>
      <c r="Z476" t="n">
        <v>400</v>
      </c>
      <c r="AA476" t="n">
        <v>403</v>
      </c>
      <c r="AB476" t="n">
        <v>4</v>
      </c>
      <c r="AC476" t="n">
        <v>4</v>
      </c>
      <c r="AD476" t="n">
        <v>4</v>
      </c>
      <c r="AE476" t="n">
        <v>4</v>
      </c>
      <c r="AF476" t="n">
        <v>1</v>
      </c>
      <c r="AG476" t="n">
        <v>1</v>
      </c>
      <c r="AH476" t="n">
        <v>1</v>
      </c>
      <c r="AI476" t="n">
        <v>1</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HYPERLINK("https://creighton-primo.hosted.exlibrisgroup.com/primo-explore/search?tab=default_tab&amp;search_scope=EVERYTHING&amp;vid=01CRU&amp;lang=en_US&amp;offset=0&amp;query=any,contains,991004248939702656","Catalog Record")</f>
        <v/>
      </c>
      <c r="AT476">
        <f>HYPERLINK("http://www.worldcat.org/oclc/52773524","WorldCat Record")</f>
        <v/>
      </c>
      <c r="AU476" t="inlineStr">
        <is>
          <t>741072:eng</t>
        </is>
      </c>
      <c r="AV476" t="inlineStr">
        <is>
          <t>52773524</t>
        </is>
      </c>
      <c r="AW476" t="inlineStr">
        <is>
          <t>991004248939702656</t>
        </is>
      </c>
      <c r="AX476" t="inlineStr">
        <is>
          <t>991004248939702656</t>
        </is>
      </c>
      <c r="AY476" t="inlineStr">
        <is>
          <t>2259291640002656</t>
        </is>
      </c>
      <c r="AZ476" t="inlineStr">
        <is>
          <t>BOOK</t>
        </is>
      </c>
      <c r="BB476" t="inlineStr">
        <is>
          <t>9780743225366</t>
        </is>
      </c>
      <c r="BC476" t="inlineStr">
        <is>
          <t>32285004897608</t>
        </is>
      </c>
      <c r="BD476" t="inlineStr">
        <is>
          <t>893800777</t>
        </is>
      </c>
    </row>
    <row r="477">
      <c r="A477" t="inlineStr">
        <is>
          <t>No</t>
        </is>
      </c>
      <c r="B477" t="inlineStr">
        <is>
          <t>ND553.C33 F7 1989</t>
        </is>
      </c>
      <c r="C477" t="inlineStr">
        <is>
          <t>0                      ND 0553000C  33                 F  7           1989</t>
        </is>
      </c>
      <c r="D477" t="inlineStr">
        <is>
          <t>Cézanne : a study of his development / Roger Fry ; with an introduction by Richard Shiff.</t>
        </is>
      </c>
      <c r="F477" t="inlineStr">
        <is>
          <t>No</t>
        </is>
      </c>
      <c r="G477" t="inlineStr">
        <is>
          <t>1</t>
        </is>
      </c>
      <c r="H477" t="inlineStr">
        <is>
          <t>No</t>
        </is>
      </c>
      <c r="I477" t="inlineStr">
        <is>
          <t>No</t>
        </is>
      </c>
      <c r="J477" t="inlineStr">
        <is>
          <t>0</t>
        </is>
      </c>
      <c r="K477" t="inlineStr">
        <is>
          <t>Fry, Roger, 1866-1934.</t>
        </is>
      </c>
      <c r="L477" t="inlineStr">
        <is>
          <t>Chicago : University of Chicago Press, 1989.</t>
        </is>
      </c>
      <c r="M477" t="inlineStr">
        <is>
          <t>1989</t>
        </is>
      </c>
      <c r="O477" t="inlineStr">
        <is>
          <t>eng</t>
        </is>
      </c>
      <c r="P477" t="inlineStr">
        <is>
          <t>ilu</t>
        </is>
      </c>
      <c r="R477" t="inlineStr">
        <is>
          <t xml:space="preserve">ND </t>
        </is>
      </c>
      <c r="S477" t="n">
        <v>5</v>
      </c>
      <c r="T477" t="n">
        <v>5</v>
      </c>
      <c r="U477" t="inlineStr">
        <is>
          <t>2001-11-26</t>
        </is>
      </c>
      <c r="V477" t="inlineStr">
        <is>
          <t>2001-11-26</t>
        </is>
      </c>
      <c r="W477" t="inlineStr">
        <is>
          <t>1995-12-11</t>
        </is>
      </c>
      <c r="X477" t="inlineStr">
        <is>
          <t>1995-12-11</t>
        </is>
      </c>
      <c r="Y477" t="n">
        <v>225</v>
      </c>
      <c r="Z477" t="n">
        <v>178</v>
      </c>
      <c r="AA477" t="n">
        <v>850</v>
      </c>
      <c r="AB477" t="n">
        <v>2</v>
      </c>
      <c r="AC477" t="n">
        <v>6</v>
      </c>
      <c r="AD477" t="n">
        <v>8</v>
      </c>
      <c r="AE477" t="n">
        <v>34</v>
      </c>
      <c r="AF477" t="n">
        <v>3</v>
      </c>
      <c r="AG477" t="n">
        <v>16</v>
      </c>
      <c r="AH477" t="n">
        <v>1</v>
      </c>
      <c r="AI477" t="n">
        <v>7</v>
      </c>
      <c r="AJ477" t="n">
        <v>4</v>
      </c>
      <c r="AK477" t="n">
        <v>16</v>
      </c>
      <c r="AL477" t="n">
        <v>1</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HYPERLINK("https://creighton-primo.hosted.exlibrisgroup.com/primo-explore/search?tab=default_tab&amp;search_scope=EVERYTHING&amp;vid=01CRU&amp;lang=en_US&amp;offset=0&amp;query=any,contains,991001419999702656","Catalog Record")</f>
        <v/>
      </c>
      <c r="AT477">
        <f>HYPERLINK("http://www.worldcat.org/oclc/18963033","WorldCat Record")</f>
        <v/>
      </c>
      <c r="AU477" t="inlineStr">
        <is>
          <t>1786224:eng</t>
        </is>
      </c>
      <c r="AV477" t="inlineStr">
        <is>
          <t>18963033</t>
        </is>
      </c>
      <c r="AW477" t="inlineStr">
        <is>
          <t>991001419999702656</t>
        </is>
      </c>
      <c r="AX477" t="inlineStr">
        <is>
          <t>991001419999702656</t>
        </is>
      </c>
      <c r="AY477" t="inlineStr">
        <is>
          <t>2263194630002656</t>
        </is>
      </c>
      <c r="AZ477" t="inlineStr">
        <is>
          <t>BOOK</t>
        </is>
      </c>
      <c r="BB477" t="inlineStr">
        <is>
          <t>9780226266442</t>
        </is>
      </c>
      <c r="BC477" t="inlineStr">
        <is>
          <t>32285002110053</t>
        </is>
      </c>
      <c r="BD477" t="inlineStr">
        <is>
          <t>893791439</t>
        </is>
      </c>
    </row>
    <row r="478">
      <c r="A478" t="inlineStr">
        <is>
          <t>No</t>
        </is>
      </c>
      <c r="B478" t="inlineStr">
        <is>
          <t>ND553.C33 G4 1988</t>
        </is>
      </c>
      <c r="C478" t="inlineStr">
        <is>
          <t>0                      ND 0553000C  33                 G  4           1988</t>
        </is>
      </c>
      <c r="D478" t="inlineStr">
        <is>
          <t>Interpreting Cézanne / Sidney Geist.</t>
        </is>
      </c>
      <c r="F478" t="inlineStr">
        <is>
          <t>No</t>
        </is>
      </c>
      <c r="G478" t="inlineStr">
        <is>
          <t>1</t>
        </is>
      </c>
      <c r="H478" t="inlineStr">
        <is>
          <t>No</t>
        </is>
      </c>
      <c r="I478" t="inlineStr">
        <is>
          <t>No</t>
        </is>
      </c>
      <c r="J478" t="inlineStr">
        <is>
          <t>0</t>
        </is>
      </c>
      <c r="K478" t="inlineStr">
        <is>
          <t>Geist, Sidney.</t>
        </is>
      </c>
      <c r="L478" t="inlineStr">
        <is>
          <t>Cambridge, Mass. : Harvard University Press, 1988.</t>
        </is>
      </c>
      <c r="M478" t="inlineStr">
        <is>
          <t>1988</t>
        </is>
      </c>
      <c r="O478" t="inlineStr">
        <is>
          <t>eng</t>
        </is>
      </c>
      <c r="P478" t="inlineStr">
        <is>
          <t>mau</t>
        </is>
      </c>
      <c r="R478" t="inlineStr">
        <is>
          <t xml:space="preserve">ND </t>
        </is>
      </c>
      <c r="S478" t="n">
        <v>1</v>
      </c>
      <c r="T478" t="n">
        <v>1</v>
      </c>
      <c r="U478" t="inlineStr">
        <is>
          <t>1994-07-26</t>
        </is>
      </c>
      <c r="V478" t="inlineStr">
        <is>
          <t>1994-07-26</t>
        </is>
      </c>
      <c r="W478" t="inlineStr">
        <is>
          <t>1990-08-14</t>
        </is>
      </c>
      <c r="X478" t="inlineStr">
        <is>
          <t>1990-08-14</t>
        </is>
      </c>
      <c r="Y478" t="n">
        <v>599</v>
      </c>
      <c r="Z478" t="n">
        <v>472</v>
      </c>
      <c r="AA478" t="n">
        <v>474</v>
      </c>
      <c r="AB478" t="n">
        <v>3</v>
      </c>
      <c r="AC478" t="n">
        <v>3</v>
      </c>
      <c r="AD478" t="n">
        <v>18</v>
      </c>
      <c r="AE478" t="n">
        <v>18</v>
      </c>
      <c r="AF478" t="n">
        <v>7</v>
      </c>
      <c r="AG478" t="n">
        <v>7</v>
      </c>
      <c r="AH478" t="n">
        <v>5</v>
      </c>
      <c r="AI478" t="n">
        <v>5</v>
      </c>
      <c r="AJ478" t="n">
        <v>9</v>
      </c>
      <c r="AK478" t="n">
        <v>9</v>
      </c>
      <c r="AL478" t="n">
        <v>1</v>
      </c>
      <c r="AM478" t="n">
        <v>1</v>
      </c>
      <c r="AN478" t="n">
        <v>0</v>
      </c>
      <c r="AO478" t="n">
        <v>0</v>
      </c>
      <c r="AP478" t="inlineStr">
        <is>
          <t>No</t>
        </is>
      </c>
      <c r="AQ478" t="inlineStr">
        <is>
          <t>Yes</t>
        </is>
      </c>
      <c r="AR478">
        <f>HYPERLINK("http://catalog.hathitrust.org/Record/001077034","HathiTrust Record")</f>
        <v/>
      </c>
      <c r="AS478">
        <f>HYPERLINK("https://creighton-primo.hosted.exlibrisgroup.com/primo-explore/search?tab=default_tab&amp;search_scope=EVERYTHING&amp;vid=01CRU&amp;lang=en_US&amp;offset=0&amp;query=any,contains,991001203599702656","Catalog Record")</f>
        <v/>
      </c>
      <c r="AT478">
        <f>HYPERLINK("http://www.worldcat.org/oclc/17327930","WorldCat Record")</f>
        <v/>
      </c>
      <c r="AU478" t="inlineStr">
        <is>
          <t>2681032:eng</t>
        </is>
      </c>
      <c r="AV478" t="inlineStr">
        <is>
          <t>17327930</t>
        </is>
      </c>
      <c r="AW478" t="inlineStr">
        <is>
          <t>991001203599702656</t>
        </is>
      </c>
      <c r="AX478" t="inlineStr">
        <is>
          <t>991001203599702656</t>
        </is>
      </c>
      <c r="AY478" t="inlineStr">
        <is>
          <t>2263995560002656</t>
        </is>
      </c>
      <c r="AZ478" t="inlineStr">
        <is>
          <t>BOOK</t>
        </is>
      </c>
      <c r="BB478" t="inlineStr">
        <is>
          <t>9780674459557</t>
        </is>
      </c>
      <c r="BC478" t="inlineStr">
        <is>
          <t>32285000268630</t>
        </is>
      </c>
      <c r="BD478" t="inlineStr">
        <is>
          <t>893608655</t>
        </is>
      </c>
    </row>
    <row r="479">
      <c r="A479" t="inlineStr">
        <is>
          <t>No</t>
        </is>
      </c>
      <c r="B479" t="inlineStr">
        <is>
          <t>ND553.C33 L6 1963</t>
        </is>
      </c>
      <c r="C479" t="inlineStr">
        <is>
          <t>0                      ND 0553000C  33                 L  6           1963</t>
        </is>
      </c>
      <c r="D479" t="inlineStr">
        <is>
          <t>Cézanne's composition : analysis of his form, with diagrams and photographs of his motifs.</t>
        </is>
      </c>
      <c r="F479" t="inlineStr">
        <is>
          <t>No</t>
        </is>
      </c>
      <c r="G479" t="inlineStr">
        <is>
          <t>1</t>
        </is>
      </c>
      <c r="H479" t="inlineStr">
        <is>
          <t>No</t>
        </is>
      </c>
      <c r="I479" t="inlineStr">
        <is>
          <t>No</t>
        </is>
      </c>
      <c r="J479" t="inlineStr">
        <is>
          <t>0</t>
        </is>
      </c>
      <c r="K479" t="inlineStr">
        <is>
          <t>Loran, Erle, 1905-1999.</t>
        </is>
      </c>
      <c r="L479" t="inlineStr">
        <is>
          <t>Berkeley : University of California Press, 1963 [c1943]</t>
        </is>
      </c>
      <c r="M479" t="inlineStr">
        <is>
          <t>1963</t>
        </is>
      </c>
      <c r="N479" t="inlineStr">
        <is>
          <t>[3d ed.]</t>
        </is>
      </c>
      <c r="O479" t="inlineStr">
        <is>
          <t>eng</t>
        </is>
      </c>
      <c r="P479" t="inlineStr">
        <is>
          <t>cau</t>
        </is>
      </c>
      <c r="R479" t="inlineStr">
        <is>
          <t xml:space="preserve">ND </t>
        </is>
      </c>
      <c r="S479" t="n">
        <v>5</v>
      </c>
      <c r="T479" t="n">
        <v>5</v>
      </c>
      <c r="U479" t="inlineStr">
        <is>
          <t>1999-04-11</t>
        </is>
      </c>
      <c r="V479" t="inlineStr">
        <is>
          <t>1999-04-11</t>
        </is>
      </c>
      <c r="W479" t="inlineStr">
        <is>
          <t>1992-02-03</t>
        </is>
      </c>
      <c r="X479" t="inlineStr">
        <is>
          <t>1992-02-03</t>
        </is>
      </c>
      <c r="Y479" t="n">
        <v>711</v>
      </c>
      <c r="Z479" t="n">
        <v>624</v>
      </c>
      <c r="AA479" t="n">
        <v>1400</v>
      </c>
      <c r="AB479" t="n">
        <v>2</v>
      </c>
      <c r="AC479" t="n">
        <v>8</v>
      </c>
      <c r="AD479" t="n">
        <v>17</v>
      </c>
      <c r="AE479" t="n">
        <v>49</v>
      </c>
      <c r="AF479" t="n">
        <v>6</v>
      </c>
      <c r="AG479" t="n">
        <v>25</v>
      </c>
      <c r="AH479" t="n">
        <v>6</v>
      </c>
      <c r="AI479" t="n">
        <v>10</v>
      </c>
      <c r="AJ479" t="n">
        <v>10</v>
      </c>
      <c r="AK479" t="n">
        <v>21</v>
      </c>
      <c r="AL479" t="n">
        <v>1</v>
      </c>
      <c r="AM479" t="n">
        <v>6</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HYPERLINK("https://creighton-primo.hosted.exlibrisgroup.com/primo-explore/search?tab=default_tab&amp;search_scope=EVERYTHING&amp;vid=01CRU&amp;lang=en_US&amp;offset=0&amp;query=any,contains,991003477379702656","Catalog Record")</f>
        <v/>
      </c>
      <c r="AT479">
        <f>HYPERLINK("http://www.worldcat.org/oclc/1022732","WorldCat Record")</f>
        <v/>
      </c>
      <c r="AU479" t="inlineStr">
        <is>
          <t>197534274:eng</t>
        </is>
      </c>
      <c r="AV479" t="inlineStr">
        <is>
          <t>1022732</t>
        </is>
      </c>
      <c r="AW479" t="inlineStr">
        <is>
          <t>991003477379702656</t>
        </is>
      </c>
      <c r="AX479" t="inlineStr">
        <is>
          <t>991003477379702656</t>
        </is>
      </c>
      <c r="AY479" t="inlineStr">
        <is>
          <t>2272419500002656</t>
        </is>
      </c>
      <c r="AZ479" t="inlineStr">
        <is>
          <t>BOOK</t>
        </is>
      </c>
      <c r="BC479" t="inlineStr">
        <is>
          <t>32285000932979</t>
        </is>
      </c>
      <c r="BD479" t="inlineStr">
        <is>
          <t>893627601</t>
        </is>
      </c>
    </row>
    <row r="480">
      <c r="A480" t="inlineStr">
        <is>
          <t>No</t>
        </is>
      </c>
      <c r="B480" t="inlineStr">
        <is>
          <t>ND553.C33 M8</t>
        </is>
      </c>
      <c r="C480" t="inlineStr">
        <is>
          <t>0                      ND 0553000C  33                 M  8</t>
        </is>
      </c>
      <c r="D480" t="inlineStr">
        <is>
          <t>The world of Cézanne, 1839-1906 / by Richard W. Murphy and the editors of Time-Life Books.</t>
        </is>
      </c>
      <c r="F480" t="inlineStr">
        <is>
          <t>No</t>
        </is>
      </c>
      <c r="G480" t="inlineStr">
        <is>
          <t>1</t>
        </is>
      </c>
      <c r="H480" t="inlineStr">
        <is>
          <t>No</t>
        </is>
      </c>
      <c r="I480" t="inlineStr">
        <is>
          <t>No</t>
        </is>
      </c>
      <c r="J480" t="inlineStr">
        <is>
          <t>0</t>
        </is>
      </c>
      <c r="K480" t="inlineStr">
        <is>
          <t>Murphy, Richard W.</t>
        </is>
      </c>
      <c r="L480" t="inlineStr">
        <is>
          <t>New York : Time-Life Books, [1968]</t>
        </is>
      </c>
      <c r="M480" t="inlineStr">
        <is>
          <t>1968</t>
        </is>
      </c>
      <c r="O480" t="inlineStr">
        <is>
          <t>eng</t>
        </is>
      </c>
      <c r="P480" t="inlineStr">
        <is>
          <t>nyu</t>
        </is>
      </c>
      <c r="Q480" t="inlineStr">
        <is>
          <t>Time-Life library of art</t>
        </is>
      </c>
      <c r="R480" t="inlineStr">
        <is>
          <t xml:space="preserve">ND </t>
        </is>
      </c>
      <c r="S480" t="n">
        <v>5</v>
      </c>
      <c r="T480" t="n">
        <v>5</v>
      </c>
      <c r="U480" t="inlineStr">
        <is>
          <t>1995-03-15</t>
        </is>
      </c>
      <c r="V480" t="inlineStr">
        <is>
          <t>1995-03-15</t>
        </is>
      </c>
      <c r="W480" t="inlineStr">
        <is>
          <t>1992-05-14</t>
        </is>
      </c>
      <c r="X480" t="inlineStr">
        <is>
          <t>1992-05-14</t>
        </is>
      </c>
      <c r="Y480" t="n">
        <v>2742</v>
      </c>
      <c r="Z480" t="n">
        <v>2566</v>
      </c>
      <c r="AA480" t="n">
        <v>2811</v>
      </c>
      <c r="AB480" t="n">
        <v>18</v>
      </c>
      <c r="AC480" t="n">
        <v>20</v>
      </c>
      <c r="AD480" t="n">
        <v>34</v>
      </c>
      <c r="AE480" t="n">
        <v>37</v>
      </c>
      <c r="AF480" t="n">
        <v>12</v>
      </c>
      <c r="AG480" t="n">
        <v>13</v>
      </c>
      <c r="AH480" t="n">
        <v>7</v>
      </c>
      <c r="AI480" t="n">
        <v>8</v>
      </c>
      <c r="AJ480" t="n">
        <v>15</v>
      </c>
      <c r="AK480" t="n">
        <v>17</v>
      </c>
      <c r="AL480" t="n">
        <v>5</v>
      </c>
      <c r="AM480" t="n">
        <v>6</v>
      </c>
      <c r="AN480" t="n">
        <v>0</v>
      </c>
      <c r="AO480" t="n">
        <v>0</v>
      </c>
      <c r="AP480" t="inlineStr">
        <is>
          <t>No</t>
        </is>
      </c>
      <c r="AQ480" t="inlineStr">
        <is>
          <t>Yes</t>
        </is>
      </c>
      <c r="AR480">
        <f>HYPERLINK("http://catalog.hathitrust.org/Record/102099330","HathiTrust Record")</f>
        <v/>
      </c>
      <c r="AS480">
        <f>HYPERLINK("https://creighton-primo.hosted.exlibrisgroup.com/primo-explore/search?tab=default_tab&amp;search_scope=EVERYTHING&amp;vid=01CRU&amp;lang=en_US&amp;offset=0&amp;query=any,contains,991002780629702656","Catalog Record")</f>
        <v/>
      </c>
      <c r="AT480">
        <f>HYPERLINK("http://www.worldcat.org/oclc/440091","WorldCat Record")</f>
        <v/>
      </c>
      <c r="AU480" t="inlineStr">
        <is>
          <t>448250:eng</t>
        </is>
      </c>
      <c r="AV480" t="inlineStr">
        <is>
          <t>440091</t>
        </is>
      </c>
      <c r="AW480" t="inlineStr">
        <is>
          <t>991002780629702656</t>
        </is>
      </c>
      <c r="AX480" t="inlineStr">
        <is>
          <t>991002780629702656</t>
        </is>
      </c>
      <c r="AY480" t="inlineStr">
        <is>
          <t>2256596570002656</t>
        </is>
      </c>
      <c r="AZ480" t="inlineStr">
        <is>
          <t>BOOK</t>
        </is>
      </c>
      <c r="BC480" t="inlineStr">
        <is>
          <t>32285001109536</t>
        </is>
      </c>
      <c r="BD480" t="inlineStr">
        <is>
          <t>893415641</t>
        </is>
      </c>
    </row>
    <row r="481">
      <c r="A481" t="inlineStr">
        <is>
          <t>No</t>
        </is>
      </c>
      <c r="B481" t="inlineStr">
        <is>
          <t>ND553.C33 R29</t>
        </is>
      </c>
      <c r="C481" t="inlineStr">
        <is>
          <t>0                      ND 0553000C  33                 R  29</t>
        </is>
      </c>
      <c r="D481" t="inlineStr">
        <is>
          <t>Cézanne : biographical and critical study / translated by James Emmons.</t>
        </is>
      </c>
      <c r="F481" t="inlineStr">
        <is>
          <t>No</t>
        </is>
      </c>
      <c r="G481" t="inlineStr">
        <is>
          <t>1</t>
        </is>
      </c>
      <c r="H481" t="inlineStr">
        <is>
          <t>No</t>
        </is>
      </c>
      <c r="I481" t="inlineStr">
        <is>
          <t>No</t>
        </is>
      </c>
      <c r="J481" t="inlineStr">
        <is>
          <t>0</t>
        </is>
      </c>
      <c r="K481" t="inlineStr">
        <is>
          <t>Raynal, Maurice.</t>
        </is>
      </c>
      <c r="L481" t="inlineStr">
        <is>
          <t>[Geneva] : Skira, [1954]</t>
        </is>
      </c>
      <c r="M481" t="inlineStr">
        <is>
          <t>1954</t>
        </is>
      </c>
      <c r="O481" t="inlineStr">
        <is>
          <t>eng</t>
        </is>
      </c>
      <c r="P481" t="inlineStr">
        <is>
          <t xml:space="preserve">sz </t>
        </is>
      </c>
      <c r="Q481" t="inlineStr">
        <is>
          <t>The Taste of our time, 8</t>
        </is>
      </c>
      <c r="R481" t="inlineStr">
        <is>
          <t xml:space="preserve">ND </t>
        </is>
      </c>
      <c r="S481" t="n">
        <v>1</v>
      </c>
      <c r="T481" t="n">
        <v>1</v>
      </c>
      <c r="U481" t="inlineStr">
        <is>
          <t>1995-11-28</t>
        </is>
      </c>
      <c r="V481" t="inlineStr">
        <is>
          <t>1995-11-28</t>
        </is>
      </c>
      <c r="W481" t="inlineStr">
        <is>
          <t>1992-11-07</t>
        </is>
      </c>
      <c r="X481" t="inlineStr">
        <is>
          <t>1992-11-07</t>
        </is>
      </c>
      <c r="Y481" t="n">
        <v>802</v>
      </c>
      <c r="Z481" t="n">
        <v>734</v>
      </c>
      <c r="AA481" t="n">
        <v>772</v>
      </c>
      <c r="AB481" t="n">
        <v>8</v>
      </c>
      <c r="AC481" t="n">
        <v>8</v>
      </c>
      <c r="AD481" t="n">
        <v>24</v>
      </c>
      <c r="AE481" t="n">
        <v>25</v>
      </c>
      <c r="AF481" t="n">
        <v>11</v>
      </c>
      <c r="AG481" t="n">
        <v>11</v>
      </c>
      <c r="AH481" t="n">
        <v>4</v>
      </c>
      <c r="AI481" t="n">
        <v>5</v>
      </c>
      <c r="AJ481" t="n">
        <v>9</v>
      </c>
      <c r="AK481" t="n">
        <v>10</v>
      </c>
      <c r="AL481" t="n">
        <v>5</v>
      </c>
      <c r="AM481" t="n">
        <v>5</v>
      </c>
      <c r="AN481" t="n">
        <v>0</v>
      </c>
      <c r="AO481" t="n">
        <v>0</v>
      </c>
      <c r="AP481" t="inlineStr">
        <is>
          <t>No</t>
        </is>
      </c>
      <c r="AQ481" t="inlineStr">
        <is>
          <t>Yes</t>
        </is>
      </c>
      <c r="AR481">
        <f>HYPERLINK("http://catalog.hathitrust.org/Record/000413508","HathiTrust Record")</f>
        <v/>
      </c>
      <c r="AS481">
        <f>HYPERLINK("https://creighton-primo.hosted.exlibrisgroup.com/primo-explore/search?tab=default_tab&amp;search_scope=EVERYTHING&amp;vid=01CRU&amp;lang=en_US&amp;offset=0&amp;query=any,contains,991003474859702656","Catalog Record")</f>
        <v/>
      </c>
      <c r="AT481">
        <f>HYPERLINK("http://www.worldcat.org/oclc/1019001","WorldCat Record")</f>
        <v/>
      </c>
      <c r="AU481" t="inlineStr">
        <is>
          <t>5608766694:eng</t>
        </is>
      </c>
      <c r="AV481" t="inlineStr">
        <is>
          <t>1019001</t>
        </is>
      </c>
      <c r="AW481" t="inlineStr">
        <is>
          <t>991003474859702656</t>
        </is>
      </c>
      <c r="AX481" t="inlineStr">
        <is>
          <t>991003474859702656</t>
        </is>
      </c>
      <c r="AY481" t="inlineStr">
        <is>
          <t>2258199470002656</t>
        </is>
      </c>
      <c r="AZ481" t="inlineStr">
        <is>
          <t>BOOK</t>
        </is>
      </c>
      <c r="BC481" t="inlineStr">
        <is>
          <t>32285001383354</t>
        </is>
      </c>
      <c r="BD481" t="inlineStr">
        <is>
          <t>893240230</t>
        </is>
      </c>
    </row>
    <row r="482">
      <c r="A482" t="inlineStr">
        <is>
          <t>No</t>
        </is>
      </c>
      <c r="B482" t="inlineStr">
        <is>
          <t>ND553.C33 R37 1990</t>
        </is>
      </c>
      <c r="C482" t="inlineStr">
        <is>
          <t>0                      ND 0553000C  33                 R  37          1990</t>
        </is>
      </c>
      <c r="D482" t="inlineStr">
        <is>
          <t>Cezanne : a biography / John Rewald.</t>
        </is>
      </c>
      <c r="F482" t="inlineStr">
        <is>
          <t>No</t>
        </is>
      </c>
      <c r="G482" t="inlineStr">
        <is>
          <t>1</t>
        </is>
      </c>
      <c r="H482" t="inlineStr">
        <is>
          <t>No</t>
        </is>
      </c>
      <c r="I482" t="inlineStr">
        <is>
          <t>No</t>
        </is>
      </c>
      <c r="J482" t="inlineStr">
        <is>
          <t>0</t>
        </is>
      </c>
      <c r="K482" t="inlineStr">
        <is>
          <t>Rewald, John, 1912-1994.</t>
        </is>
      </c>
      <c r="L482" t="inlineStr">
        <is>
          <t>New York : Abradale Press, H.N. Abrams, Inc. Publishers, 1990.</t>
        </is>
      </c>
      <c r="M482" t="inlineStr">
        <is>
          <t>1990</t>
        </is>
      </c>
      <c r="O482" t="inlineStr">
        <is>
          <t>eng</t>
        </is>
      </c>
      <c r="P482" t="inlineStr">
        <is>
          <t>nyu</t>
        </is>
      </c>
      <c r="R482" t="inlineStr">
        <is>
          <t xml:space="preserve">ND </t>
        </is>
      </c>
      <c r="S482" t="n">
        <v>20</v>
      </c>
      <c r="T482" t="n">
        <v>20</v>
      </c>
      <c r="U482" t="inlineStr">
        <is>
          <t>2003-04-02</t>
        </is>
      </c>
      <c r="V482" t="inlineStr">
        <is>
          <t>2003-04-02</t>
        </is>
      </c>
      <c r="W482" t="inlineStr">
        <is>
          <t>1991-06-19</t>
        </is>
      </c>
      <c r="X482" t="inlineStr">
        <is>
          <t>1991-06-19</t>
        </is>
      </c>
      <c r="Y482" t="n">
        <v>166</v>
      </c>
      <c r="Z482" t="n">
        <v>145</v>
      </c>
      <c r="AA482" t="n">
        <v>204</v>
      </c>
      <c r="AB482" t="n">
        <v>3</v>
      </c>
      <c r="AC482" t="n">
        <v>3</v>
      </c>
      <c r="AD482" t="n">
        <v>3</v>
      </c>
      <c r="AE482" t="n">
        <v>3</v>
      </c>
      <c r="AF482" t="n">
        <v>2</v>
      </c>
      <c r="AG482" t="n">
        <v>2</v>
      </c>
      <c r="AH482" t="n">
        <v>0</v>
      </c>
      <c r="AI482" t="n">
        <v>0</v>
      </c>
      <c r="AJ482" t="n">
        <v>0</v>
      </c>
      <c r="AK482" t="n">
        <v>0</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HYPERLINK("https://creighton-primo.hosted.exlibrisgroup.com/primo-explore/search?tab=default_tab&amp;search_scope=EVERYTHING&amp;vid=01CRU&amp;lang=en_US&amp;offset=0&amp;query=any,contains,991001667179702656","Catalog Record")</f>
        <v/>
      </c>
      <c r="AT482">
        <f>HYPERLINK("http://www.worldcat.org/oclc/21227946","WorldCat Record")</f>
        <v/>
      </c>
      <c r="AU482" t="inlineStr">
        <is>
          <t>3768838430:eng</t>
        </is>
      </c>
      <c r="AV482" t="inlineStr">
        <is>
          <t>21227946</t>
        </is>
      </c>
      <c r="AW482" t="inlineStr">
        <is>
          <t>991001667179702656</t>
        </is>
      </c>
      <c r="AX482" t="inlineStr">
        <is>
          <t>991001667179702656</t>
        </is>
      </c>
      <c r="AY482" t="inlineStr">
        <is>
          <t>2269308040002656</t>
        </is>
      </c>
      <c r="AZ482" t="inlineStr">
        <is>
          <t>BOOK</t>
        </is>
      </c>
      <c r="BB482" t="inlineStr">
        <is>
          <t>9780810981003</t>
        </is>
      </c>
      <c r="BC482" t="inlineStr">
        <is>
          <t>32285000657485</t>
        </is>
      </c>
      <c r="BD482" t="inlineStr">
        <is>
          <t>893785296</t>
        </is>
      </c>
    </row>
    <row r="483">
      <c r="A483" t="inlineStr">
        <is>
          <t>No</t>
        </is>
      </c>
      <c r="B483" t="inlineStr">
        <is>
          <t>ND553.C33 W42</t>
        </is>
      </c>
      <c r="C483" t="inlineStr">
        <is>
          <t>0                      ND 0553000C  33                 W  42</t>
        </is>
      </c>
      <c r="D483" t="inlineStr">
        <is>
          <t>Cézanne in perspective / edited by Judith Wechsler.</t>
        </is>
      </c>
      <c r="F483" t="inlineStr">
        <is>
          <t>No</t>
        </is>
      </c>
      <c r="G483" t="inlineStr">
        <is>
          <t>1</t>
        </is>
      </c>
      <c r="H483" t="inlineStr">
        <is>
          <t>No</t>
        </is>
      </c>
      <c r="I483" t="inlineStr">
        <is>
          <t>No</t>
        </is>
      </c>
      <c r="J483" t="inlineStr">
        <is>
          <t>0</t>
        </is>
      </c>
      <c r="K483" t="inlineStr">
        <is>
          <t>Wechsler, Judith, 1940-</t>
        </is>
      </c>
      <c r="L483" t="inlineStr">
        <is>
          <t>Englewood Cliffs, N.J., Prentice-Hall [1975]</t>
        </is>
      </c>
      <c r="M483" t="inlineStr">
        <is>
          <t>1975</t>
        </is>
      </c>
      <c r="O483" t="inlineStr">
        <is>
          <t>eng</t>
        </is>
      </c>
      <c r="P483" t="inlineStr">
        <is>
          <t>nju</t>
        </is>
      </c>
      <c r="Q483" t="inlineStr">
        <is>
          <t>A Spectrum book</t>
        </is>
      </c>
      <c r="R483" t="inlineStr">
        <is>
          <t xml:space="preserve">ND </t>
        </is>
      </c>
      <c r="S483" t="n">
        <v>8</v>
      </c>
      <c r="T483" t="n">
        <v>8</v>
      </c>
      <c r="U483" t="inlineStr">
        <is>
          <t>1999-04-19</t>
        </is>
      </c>
      <c r="V483" t="inlineStr">
        <is>
          <t>1999-04-19</t>
        </is>
      </c>
      <c r="W483" t="inlineStr">
        <is>
          <t>1992-04-14</t>
        </is>
      </c>
      <c r="X483" t="inlineStr">
        <is>
          <t>1992-04-14</t>
        </is>
      </c>
      <c r="Y483" t="n">
        <v>695</v>
      </c>
      <c r="Z483" t="n">
        <v>576</v>
      </c>
      <c r="AA483" t="n">
        <v>590</v>
      </c>
      <c r="AB483" t="n">
        <v>4</v>
      </c>
      <c r="AC483" t="n">
        <v>4</v>
      </c>
      <c r="AD483" t="n">
        <v>17</v>
      </c>
      <c r="AE483" t="n">
        <v>18</v>
      </c>
      <c r="AF483" t="n">
        <v>5</v>
      </c>
      <c r="AG483" t="n">
        <v>5</v>
      </c>
      <c r="AH483" t="n">
        <v>4</v>
      </c>
      <c r="AI483" t="n">
        <v>5</v>
      </c>
      <c r="AJ483" t="n">
        <v>10</v>
      </c>
      <c r="AK483" t="n">
        <v>10</v>
      </c>
      <c r="AL483" t="n">
        <v>2</v>
      </c>
      <c r="AM483" t="n">
        <v>2</v>
      </c>
      <c r="AN483" t="n">
        <v>0</v>
      </c>
      <c r="AO483" t="n">
        <v>0</v>
      </c>
      <c r="AP483" t="inlineStr">
        <is>
          <t>No</t>
        </is>
      </c>
      <c r="AQ483" t="inlineStr">
        <is>
          <t>Yes</t>
        </is>
      </c>
      <c r="AR483">
        <f>HYPERLINK("http://catalog.hathitrust.org/Record/000015900","HathiTrust Record")</f>
        <v/>
      </c>
      <c r="AS483">
        <f>HYPERLINK("https://creighton-primo.hosted.exlibrisgroup.com/primo-explore/search?tab=default_tab&amp;search_scope=EVERYTHING&amp;vid=01CRU&amp;lang=en_US&amp;offset=0&amp;query=any,contains,991003445179702656","Catalog Record")</f>
        <v/>
      </c>
      <c r="AT483">
        <f>HYPERLINK("http://www.worldcat.org/oclc/980372","WorldCat Record")</f>
        <v/>
      </c>
      <c r="AU483" t="inlineStr">
        <is>
          <t>119191099:eng</t>
        </is>
      </c>
      <c r="AV483" t="inlineStr">
        <is>
          <t>980372</t>
        </is>
      </c>
      <c r="AW483" t="inlineStr">
        <is>
          <t>991003445179702656</t>
        </is>
      </c>
      <c r="AX483" t="inlineStr">
        <is>
          <t>991003445179702656</t>
        </is>
      </c>
      <c r="AY483" t="inlineStr">
        <is>
          <t>2271391360002656</t>
        </is>
      </c>
      <c r="AZ483" t="inlineStr">
        <is>
          <t>BOOK</t>
        </is>
      </c>
      <c r="BB483" t="inlineStr">
        <is>
          <t>9780131233560</t>
        </is>
      </c>
      <c r="BC483" t="inlineStr">
        <is>
          <t>32285001068351</t>
        </is>
      </c>
      <c r="BD483" t="inlineStr">
        <is>
          <t>893623481</t>
        </is>
      </c>
    </row>
    <row r="484">
      <c r="A484" t="inlineStr">
        <is>
          <t>No</t>
        </is>
      </c>
      <c r="B484" t="inlineStr">
        <is>
          <t>ND553.C33 W43 1981</t>
        </is>
      </c>
      <c r="C484" t="inlineStr">
        <is>
          <t>0                      ND 0553000C  33                 W  43          1981</t>
        </is>
      </c>
      <c r="D484" t="inlineStr">
        <is>
          <t>The interpretation of Cézanne / by Judith Wechsler.</t>
        </is>
      </c>
      <c r="F484" t="inlineStr">
        <is>
          <t>No</t>
        </is>
      </c>
      <c r="G484" t="inlineStr">
        <is>
          <t>1</t>
        </is>
      </c>
      <c r="H484" t="inlineStr">
        <is>
          <t>No</t>
        </is>
      </c>
      <c r="I484" t="inlineStr">
        <is>
          <t>No</t>
        </is>
      </c>
      <c r="J484" t="inlineStr">
        <is>
          <t>0</t>
        </is>
      </c>
      <c r="K484" t="inlineStr">
        <is>
          <t>Wechsler, Judith, 1940-</t>
        </is>
      </c>
      <c r="L484" t="inlineStr">
        <is>
          <t>Ann Arbor, Mich. : UMI Research Press, c1981.</t>
        </is>
      </c>
      <c r="M484" t="inlineStr">
        <is>
          <t>1981</t>
        </is>
      </c>
      <c r="O484" t="inlineStr">
        <is>
          <t>eng</t>
        </is>
      </c>
      <c r="P484" t="inlineStr">
        <is>
          <t>miu</t>
        </is>
      </c>
      <c r="Q484" t="inlineStr">
        <is>
          <t>Studies in the fine arts. Art theory ; no. 8</t>
        </is>
      </c>
      <c r="R484" t="inlineStr">
        <is>
          <t xml:space="preserve">ND </t>
        </is>
      </c>
      <c r="S484" t="n">
        <v>3</v>
      </c>
      <c r="T484" t="n">
        <v>3</v>
      </c>
      <c r="U484" t="inlineStr">
        <is>
          <t>1995-02-21</t>
        </is>
      </c>
      <c r="V484" t="inlineStr">
        <is>
          <t>1995-02-21</t>
        </is>
      </c>
      <c r="W484" t="inlineStr">
        <is>
          <t>1993-05-21</t>
        </is>
      </c>
      <c r="X484" t="inlineStr">
        <is>
          <t>1993-05-21</t>
        </is>
      </c>
      <c r="Y484" t="n">
        <v>287</v>
      </c>
      <c r="Z484" t="n">
        <v>206</v>
      </c>
      <c r="AA484" t="n">
        <v>213</v>
      </c>
      <c r="AB484" t="n">
        <v>2</v>
      </c>
      <c r="AC484" t="n">
        <v>2</v>
      </c>
      <c r="AD484" t="n">
        <v>8</v>
      </c>
      <c r="AE484" t="n">
        <v>9</v>
      </c>
      <c r="AF484" t="n">
        <v>4</v>
      </c>
      <c r="AG484" t="n">
        <v>4</v>
      </c>
      <c r="AH484" t="n">
        <v>2</v>
      </c>
      <c r="AI484" t="n">
        <v>3</v>
      </c>
      <c r="AJ484" t="n">
        <v>4</v>
      </c>
      <c r="AK484" t="n">
        <v>4</v>
      </c>
      <c r="AL484" t="n">
        <v>1</v>
      </c>
      <c r="AM484" t="n">
        <v>1</v>
      </c>
      <c r="AN484" t="n">
        <v>0</v>
      </c>
      <c r="AO484" t="n">
        <v>0</v>
      </c>
      <c r="AP484" t="inlineStr">
        <is>
          <t>No</t>
        </is>
      </c>
      <c r="AQ484" t="inlineStr">
        <is>
          <t>Yes</t>
        </is>
      </c>
      <c r="AR484">
        <f>HYPERLINK("http://catalog.hathitrust.org/Record/000263314","HathiTrust Record")</f>
        <v/>
      </c>
      <c r="AS484">
        <f>HYPERLINK("https://creighton-primo.hosted.exlibrisgroup.com/primo-explore/search?tab=default_tab&amp;search_scope=EVERYTHING&amp;vid=01CRU&amp;lang=en_US&amp;offset=0&amp;query=any,contains,991005156619702656","Catalog Record")</f>
        <v/>
      </c>
      <c r="AT484">
        <f>HYPERLINK("http://www.worldcat.org/oclc/7740740","WorldCat Record")</f>
        <v/>
      </c>
      <c r="AU484" t="inlineStr">
        <is>
          <t>29794863:eng</t>
        </is>
      </c>
      <c r="AV484" t="inlineStr">
        <is>
          <t>7740740</t>
        </is>
      </c>
      <c r="AW484" t="inlineStr">
        <is>
          <t>991005156619702656</t>
        </is>
      </c>
      <c r="AX484" t="inlineStr">
        <is>
          <t>991005156619702656</t>
        </is>
      </c>
      <c r="AY484" t="inlineStr">
        <is>
          <t>2264128380002656</t>
        </is>
      </c>
      <c r="AZ484" t="inlineStr">
        <is>
          <t>BOOK</t>
        </is>
      </c>
      <c r="BB484" t="inlineStr">
        <is>
          <t>9780835712408</t>
        </is>
      </c>
      <c r="BC484" t="inlineStr">
        <is>
          <t>32285001691863</t>
        </is>
      </c>
      <c r="BD484" t="inlineStr">
        <is>
          <t>893332493</t>
        </is>
      </c>
    </row>
    <row r="485">
      <c r="A485" t="inlineStr">
        <is>
          <t>No</t>
        </is>
      </c>
      <c r="B485" t="inlineStr">
        <is>
          <t>ND553.C4 A4 2000</t>
        </is>
      </c>
      <c r="C485" t="inlineStr">
        <is>
          <t>0                      ND 0553000C  4                  A  4           2000</t>
        </is>
      </c>
      <c r="D485" t="inlineStr">
        <is>
          <t>Chardin : Paris, Galeries Nationales du Grand Palais, 7 September-22 November 1999 : Düsseldorf, Kunstmuseum im Ehrenhof, 5 December 1999-20 February 2000 : London, Royal Academy of Arts, 11 March-29 May 2000 : New York, the Metropolitan Museum of Art, 27 June-3 September 2000 / [exhibition committee, Pierre Rosenberg ; assisted by Florence Bruyant ; translated from the French by Caroline Beamish].</t>
        </is>
      </c>
      <c r="F485" t="inlineStr">
        <is>
          <t>No</t>
        </is>
      </c>
      <c r="G485" t="inlineStr">
        <is>
          <t>1</t>
        </is>
      </c>
      <c r="H485" t="inlineStr">
        <is>
          <t>No</t>
        </is>
      </c>
      <c r="I485" t="inlineStr">
        <is>
          <t>No</t>
        </is>
      </c>
      <c r="J485" t="inlineStr">
        <is>
          <t>0</t>
        </is>
      </c>
      <c r="K485" t="inlineStr">
        <is>
          <t>Chardin, Jean Baptiste Siméon, 1699-1779.</t>
        </is>
      </c>
      <c r="L485" t="inlineStr">
        <is>
          <t>London : Royal Academy of Arts ; New York : Metropolitan Museum of Art, c2000.</t>
        </is>
      </c>
      <c r="M485" t="inlineStr">
        <is>
          <t>2000</t>
        </is>
      </c>
      <c r="O485" t="inlineStr">
        <is>
          <t>eng</t>
        </is>
      </c>
      <c r="P485" t="inlineStr">
        <is>
          <t>enk</t>
        </is>
      </c>
      <c r="R485" t="inlineStr">
        <is>
          <t xml:space="preserve">ND </t>
        </is>
      </c>
      <c r="S485" t="n">
        <v>1</v>
      </c>
      <c r="T485" t="n">
        <v>1</v>
      </c>
      <c r="U485" t="inlineStr">
        <is>
          <t>2003-08-27</t>
        </is>
      </c>
      <c r="V485" t="inlineStr">
        <is>
          <t>2003-08-27</t>
        </is>
      </c>
      <c r="W485" t="inlineStr">
        <is>
          <t>2003-08-27</t>
        </is>
      </c>
      <c r="X485" t="inlineStr">
        <is>
          <t>2003-08-27</t>
        </is>
      </c>
      <c r="Y485" t="n">
        <v>677</v>
      </c>
      <c r="Z485" t="n">
        <v>608</v>
      </c>
      <c r="AA485" t="n">
        <v>608</v>
      </c>
      <c r="AB485" t="n">
        <v>5</v>
      </c>
      <c r="AC485" t="n">
        <v>5</v>
      </c>
      <c r="AD485" t="n">
        <v>27</v>
      </c>
      <c r="AE485" t="n">
        <v>27</v>
      </c>
      <c r="AF485" t="n">
        <v>12</v>
      </c>
      <c r="AG485" t="n">
        <v>12</v>
      </c>
      <c r="AH485" t="n">
        <v>7</v>
      </c>
      <c r="AI485" t="n">
        <v>7</v>
      </c>
      <c r="AJ485" t="n">
        <v>12</v>
      </c>
      <c r="AK485" t="n">
        <v>12</v>
      </c>
      <c r="AL485" t="n">
        <v>3</v>
      </c>
      <c r="AM485" t="n">
        <v>3</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HYPERLINK("https://creighton-primo.hosted.exlibrisgroup.com/primo-explore/search?tab=default_tab&amp;search_scope=EVERYTHING&amp;vid=01CRU&amp;lang=en_US&amp;offset=0&amp;query=any,contains,991004101019702656","Catalog Record")</f>
        <v/>
      </c>
      <c r="AT485">
        <f>HYPERLINK("http://www.worldcat.org/oclc/43718111","WorldCat Record")</f>
        <v/>
      </c>
      <c r="AU485" t="inlineStr">
        <is>
          <t>8910649158:eng</t>
        </is>
      </c>
      <c r="AV485" t="inlineStr">
        <is>
          <t>43718111</t>
        </is>
      </c>
      <c r="AW485" t="inlineStr">
        <is>
          <t>991004101019702656</t>
        </is>
      </c>
      <c r="AX485" t="inlineStr">
        <is>
          <t>991004101019702656</t>
        </is>
      </c>
      <c r="AY485" t="inlineStr">
        <is>
          <t>2271626660002656</t>
        </is>
      </c>
      <c r="AZ485" t="inlineStr">
        <is>
          <t>BOOK</t>
        </is>
      </c>
      <c r="BB485" t="inlineStr">
        <is>
          <t>9780300083484</t>
        </is>
      </c>
      <c r="BC485" t="inlineStr">
        <is>
          <t>32285004780119</t>
        </is>
      </c>
      <c r="BD485" t="inlineStr">
        <is>
          <t>893699853</t>
        </is>
      </c>
    </row>
    <row r="486">
      <c r="A486" t="inlineStr">
        <is>
          <t>No</t>
        </is>
      </c>
      <c r="B486" t="inlineStr">
        <is>
          <t>ND553.C8 H77</t>
        </is>
      </c>
      <c r="C486" t="inlineStr">
        <is>
          <t>0                      ND 0553000C  8                  H  77</t>
        </is>
      </c>
      <c r="D486" t="inlineStr">
        <is>
          <t>Jean-Baptiste-Camille Corot / text by Madeleine Hours.</t>
        </is>
      </c>
      <c r="F486" t="inlineStr">
        <is>
          <t>No</t>
        </is>
      </c>
      <c r="G486" t="inlineStr">
        <is>
          <t>1</t>
        </is>
      </c>
      <c r="H486" t="inlineStr">
        <is>
          <t>No</t>
        </is>
      </c>
      <c r="I486" t="inlineStr">
        <is>
          <t>No</t>
        </is>
      </c>
      <c r="J486" t="inlineStr">
        <is>
          <t>0</t>
        </is>
      </c>
      <c r="K486" t="inlineStr">
        <is>
          <t>Hours, Madeleine, 1913-2005.</t>
        </is>
      </c>
      <c r="L486" t="inlineStr">
        <is>
          <t>New York : H. N. Abrams [1972]</t>
        </is>
      </c>
      <c r="M486" t="inlineStr">
        <is>
          <t>1972</t>
        </is>
      </c>
      <c r="O486" t="inlineStr">
        <is>
          <t>eng</t>
        </is>
      </c>
      <c r="P486" t="inlineStr">
        <is>
          <t>nyu</t>
        </is>
      </c>
      <c r="Q486" t="inlineStr">
        <is>
          <t>The Library of great painters</t>
        </is>
      </c>
      <c r="R486" t="inlineStr">
        <is>
          <t xml:space="preserve">ND </t>
        </is>
      </c>
      <c r="S486" t="n">
        <v>1</v>
      </c>
      <c r="T486" t="n">
        <v>1</v>
      </c>
      <c r="U486" t="inlineStr">
        <is>
          <t>2000-10-02</t>
        </is>
      </c>
      <c r="V486" t="inlineStr">
        <is>
          <t>2000-10-02</t>
        </is>
      </c>
      <c r="W486" t="inlineStr">
        <is>
          <t>1993-05-21</t>
        </is>
      </c>
      <c r="X486" t="inlineStr">
        <is>
          <t>1993-05-21</t>
        </is>
      </c>
      <c r="Y486" t="n">
        <v>763</v>
      </c>
      <c r="Z486" t="n">
        <v>660</v>
      </c>
      <c r="AA486" t="n">
        <v>940</v>
      </c>
      <c r="AB486" t="n">
        <v>8</v>
      </c>
      <c r="AC486" t="n">
        <v>8</v>
      </c>
      <c r="AD486" t="n">
        <v>20</v>
      </c>
      <c r="AE486" t="n">
        <v>27</v>
      </c>
      <c r="AF486" t="n">
        <v>6</v>
      </c>
      <c r="AG486" t="n">
        <v>8</v>
      </c>
      <c r="AH486" t="n">
        <v>4</v>
      </c>
      <c r="AI486" t="n">
        <v>5</v>
      </c>
      <c r="AJ486" t="n">
        <v>8</v>
      </c>
      <c r="AK486" t="n">
        <v>14</v>
      </c>
      <c r="AL486" t="n">
        <v>5</v>
      </c>
      <c r="AM486" t="n">
        <v>5</v>
      </c>
      <c r="AN486" t="n">
        <v>0</v>
      </c>
      <c r="AO486" t="n">
        <v>0</v>
      </c>
      <c r="AP486" t="inlineStr">
        <is>
          <t>No</t>
        </is>
      </c>
      <c r="AQ486" t="inlineStr">
        <is>
          <t>Yes</t>
        </is>
      </c>
      <c r="AR486">
        <f>HYPERLINK("http://catalog.hathitrust.org/Record/000413284","HathiTrust Record")</f>
        <v/>
      </c>
      <c r="AS486">
        <f>HYPERLINK("https://creighton-primo.hosted.exlibrisgroup.com/primo-explore/search?tab=default_tab&amp;search_scope=EVERYTHING&amp;vid=01CRU&amp;lang=en_US&amp;offset=0&amp;query=any,contains,991002883319702656","Catalog Record")</f>
        <v/>
      </c>
      <c r="AT486">
        <f>HYPERLINK("http://www.worldcat.org/oclc/506947","WorldCat Record")</f>
        <v/>
      </c>
      <c r="AU486" t="inlineStr">
        <is>
          <t>3372272404:eng</t>
        </is>
      </c>
      <c r="AV486" t="inlineStr">
        <is>
          <t>506947</t>
        </is>
      </c>
      <c r="AW486" t="inlineStr">
        <is>
          <t>991002883319702656</t>
        </is>
      </c>
      <c r="AX486" t="inlineStr">
        <is>
          <t>991002883319702656</t>
        </is>
      </c>
      <c r="AY486" t="inlineStr">
        <is>
          <t>2259638520002656</t>
        </is>
      </c>
      <c r="AZ486" t="inlineStr">
        <is>
          <t>BOOK</t>
        </is>
      </c>
      <c r="BB486" t="inlineStr">
        <is>
          <t>9780810900585</t>
        </is>
      </c>
      <c r="BC486" t="inlineStr">
        <is>
          <t>32285001691871</t>
        </is>
      </c>
      <c r="BD486" t="inlineStr">
        <is>
          <t>893517873</t>
        </is>
      </c>
    </row>
    <row r="487">
      <c r="A487" t="inlineStr">
        <is>
          <t>No</t>
        </is>
      </c>
      <c r="B487" t="inlineStr">
        <is>
          <t>ND553.C9 F4153</t>
        </is>
      </c>
      <c r="C487" t="inlineStr">
        <is>
          <t>0                      ND 0553000C  9                  F  4153</t>
        </is>
      </c>
      <c r="D487" t="inlineStr">
        <is>
          <t>Gustave Courbet / with an introd. by Rene Huyghe. [Translated from the French by Marcus Bullock]</t>
        </is>
      </c>
      <c r="F487" t="inlineStr">
        <is>
          <t>No</t>
        </is>
      </c>
      <c r="G487" t="inlineStr">
        <is>
          <t>1</t>
        </is>
      </c>
      <c r="H487" t="inlineStr">
        <is>
          <t>No</t>
        </is>
      </c>
      <c r="I487" t="inlineStr">
        <is>
          <t>No</t>
        </is>
      </c>
      <c r="J487" t="inlineStr">
        <is>
          <t>0</t>
        </is>
      </c>
      <c r="K487" t="inlineStr">
        <is>
          <t>Fernier, Robert.</t>
        </is>
      </c>
      <c r="L487" t="inlineStr">
        <is>
          <t>New York : Praeger, [1969]</t>
        </is>
      </c>
      <c r="M487" t="inlineStr">
        <is>
          <t>1969</t>
        </is>
      </c>
      <c r="O487" t="inlineStr">
        <is>
          <t>eng</t>
        </is>
      </c>
      <c r="P487" t="inlineStr">
        <is>
          <t>nyu</t>
        </is>
      </c>
      <c r="R487" t="inlineStr">
        <is>
          <t xml:space="preserve">ND </t>
        </is>
      </c>
      <c r="S487" t="n">
        <v>4</v>
      </c>
      <c r="T487" t="n">
        <v>4</v>
      </c>
      <c r="U487" t="inlineStr">
        <is>
          <t>1993-11-12</t>
        </is>
      </c>
      <c r="V487" t="inlineStr">
        <is>
          <t>1993-11-12</t>
        </is>
      </c>
      <c r="W487" t="inlineStr">
        <is>
          <t>1992-02-14</t>
        </is>
      </c>
      <c r="X487" t="inlineStr">
        <is>
          <t>1992-02-14</t>
        </is>
      </c>
      <c r="Y487" t="n">
        <v>670</v>
      </c>
      <c r="Z487" t="n">
        <v>611</v>
      </c>
      <c r="AA487" t="n">
        <v>619</v>
      </c>
      <c r="AB487" t="n">
        <v>6</v>
      </c>
      <c r="AC487" t="n">
        <v>6</v>
      </c>
      <c r="AD487" t="n">
        <v>24</v>
      </c>
      <c r="AE487" t="n">
        <v>24</v>
      </c>
      <c r="AF487" t="n">
        <v>6</v>
      </c>
      <c r="AG487" t="n">
        <v>6</v>
      </c>
      <c r="AH487" t="n">
        <v>4</v>
      </c>
      <c r="AI487" t="n">
        <v>4</v>
      </c>
      <c r="AJ487" t="n">
        <v>12</v>
      </c>
      <c r="AK487" t="n">
        <v>12</v>
      </c>
      <c r="AL487" t="n">
        <v>5</v>
      </c>
      <c r="AM487" t="n">
        <v>5</v>
      </c>
      <c r="AN487" t="n">
        <v>0</v>
      </c>
      <c r="AO487" t="n">
        <v>0</v>
      </c>
      <c r="AP487" t="inlineStr">
        <is>
          <t>No</t>
        </is>
      </c>
      <c r="AQ487" t="inlineStr">
        <is>
          <t>Yes</t>
        </is>
      </c>
      <c r="AR487">
        <f>HYPERLINK("http://catalog.hathitrust.org/Record/000413447","HathiTrust Record")</f>
        <v/>
      </c>
      <c r="AS487">
        <f>HYPERLINK("https://creighton-primo.hosted.exlibrisgroup.com/primo-explore/search?tab=default_tab&amp;search_scope=EVERYTHING&amp;vid=01CRU&amp;lang=en_US&amp;offset=0&amp;query=any,contains,991000060319702656","Catalog Record")</f>
        <v/>
      </c>
      <c r="AT487">
        <f>HYPERLINK("http://www.worldcat.org/oclc/24443","WorldCat Record")</f>
        <v/>
      </c>
      <c r="AU487" t="inlineStr">
        <is>
          <t>4783269609:eng</t>
        </is>
      </c>
      <c r="AV487" t="inlineStr">
        <is>
          <t>24443</t>
        </is>
      </c>
      <c r="AW487" t="inlineStr">
        <is>
          <t>991000060319702656</t>
        </is>
      </c>
      <c r="AX487" t="inlineStr">
        <is>
          <t>991000060319702656</t>
        </is>
      </c>
      <c r="AY487" t="inlineStr">
        <is>
          <t>2266723140002656</t>
        </is>
      </c>
      <c r="AZ487" t="inlineStr">
        <is>
          <t>BOOK</t>
        </is>
      </c>
      <c r="BC487" t="inlineStr">
        <is>
          <t>32285000959006</t>
        </is>
      </c>
      <c r="BD487" t="inlineStr">
        <is>
          <t>893777643</t>
        </is>
      </c>
    </row>
    <row r="488">
      <c r="A488" t="inlineStr">
        <is>
          <t>No</t>
        </is>
      </c>
      <c r="B488" t="inlineStr">
        <is>
          <t>ND553.D24 R48</t>
        </is>
      </c>
      <c r="C488" t="inlineStr">
        <is>
          <t>0                      ND 0553000D  24                 R  48</t>
        </is>
      </c>
      <c r="D488" t="inlineStr">
        <is>
          <t>Honoré Daumier / text by Robert Rey. [Translated by Norbert Guterman]</t>
        </is>
      </c>
      <c r="F488" t="inlineStr">
        <is>
          <t>No</t>
        </is>
      </c>
      <c r="G488" t="inlineStr">
        <is>
          <t>1</t>
        </is>
      </c>
      <c r="H488" t="inlineStr">
        <is>
          <t>No</t>
        </is>
      </c>
      <c r="I488" t="inlineStr">
        <is>
          <t>No</t>
        </is>
      </c>
      <c r="J488" t="inlineStr">
        <is>
          <t>0</t>
        </is>
      </c>
      <c r="K488" t="inlineStr">
        <is>
          <t>Daumier, Honoré, 1808-1879.</t>
        </is>
      </c>
      <c r="L488" t="inlineStr">
        <is>
          <t>New York : H.N. Abrams, [1966]</t>
        </is>
      </c>
      <c r="M488" t="inlineStr">
        <is>
          <t>1966</t>
        </is>
      </c>
      <c r="O488" t="inlineStr">
        <is>
          <t>eng</t>
        </is>
      </c>
      <c r="P488" t="inlineStr">
        <is>
          <t>nyu</t>
        </is>
      </c>
      <c r="Q488" t="inlineStr">
        <is>
          <t>The Library of great painters</t>
        </is>
      </c>
      <c r="R488" t="inlineStr">
        <is>
          <t xml:space="preserve">ND </t>
        </is>
      </c>
      <c r="S488" t="n">
        <v>3</v>
      </c>
      <c r="T488" t="n">
        <v>3</v>
      </c>
      <c r="U488" t="inlineStr">
        <is>
          <t>1995-03-22</t>
        </is>
      </c>
      <c r="V488" t="inlineStr">
        <is>
          <t>1995-03-22</t>
        </is>
      </c>
      <c r="W488" t="inlineStr">
        <is>
          <t>1994-11-30</t>
        </is>
      </c>
      <c r="X488" t="inlineStr">
        <is>
          <t>1994-11-30</t>
        </is>
      </c>
      <c r="Y488" t="n">
        <v>673</v>
      </c>
      <c r="Z488" t="n">
        <v>621</v>
      </c>
      <c r="AA488" t="n">
        <v>630</v>
      </c>
      <c r="AB488" t="n">
        <v>4</v>
      </c>
      <c r="AC488" t="n">
        <v>4</v>
      </c>
      <c r="AD488" t="n">
        <v>18</v>
      </c>
      <c r="AE488" t="n">
        <v>18</v>
      </c>
      <c r="AF488" t="n">
        <v>7</v>
      </c>
      <c r="AG488" t="n">
        <v>7</v>
      </c>
      <c r="AH488" t="n">
        <v>3</v>
      </c>
      <c r="AI488" t="n">
        <v>3</v>
      </c>
      <c r="AJ488" t="n">
        <v>8</v>
      </c>
      <c r="AK488" t="n">
        <v>8</v>
      </c>
      <c r="AL488" t="n">
        <v>2</v>
      </c>
      <c r="AM488" t="n">
        <v>2</v>
      </c>
      <c r="AN488" t="n">
        <v>0</v>
      </c>
      <c r="AO488" t="n">
        <v>0</v>
      </c>
      <c r="AP488" t="inlineStr">
        <is>
          <t>No</t>
        </is>
      </c>
      <c r="AQ488" t="inlineStr">
        <is>
          <t>Yes</t>
        </is>
      </c>
      <c r="AR488">
        <f>HYPERLINK("http://catalog.hathitrust.org/Record/000413475","HathiTrust Record")</f>
        <v/>
      </c>
      <c r="AS488">
        <f>HYPERLINK("https://creighton-primo.hosted.exlibrisgroup.com/primo-explore/search?tab=default_tab&amp;search_scope=EVERYTHING&amp;vid=01CRU&amp;lang=en_US&amp;offset=0&amp;query=any,contains,991003771089702656","Catalog Record")</f>
        <v/>
      </c>
      <c r="AT488">
        <f>HYPERLINK("http://www.worldcat.org/oclc/1471455","WorldCat Record")</f>
        <v/>
      </c>
      <c r="AU488" t="inlineStr">
        <is>
          <t>8847666960:eng</t>
        </is>
      </c>
      <c r="AV488" t="inlineStr">
        <is>
          <t>1471455</t>
        </is>
      </c>
      <c r="AW488" t="inlineStr">
        <is>
          <t>991003771089702656</t>
        </is>
      </c>
      <c r="AX488" t="inlineStr">
        <is>
          <t>991003771089702656</t>
        </is>
      </c>
      <c r="AY488" t="inlineStr">
        <is>
          <t>2272743110002656</t>
        </is>
      </c>
      <c r="AZ488" t="inlineStr">
        <is>
          <t>BOOK</t>
        </is>
      </c>
      <c r="BC488" t="inlineStr">
        <is>
          <t>32285001968824</t>
        </is>
      </c>
      <c r="BD488" t="inlineStr">
        <is>
          <t>893617725</t>
        </is>
      </c>
    </row>
    <row r="489">
      <c r="A489" t="inlineStr">
        <is>
          <t>No</t>
        </is>
      </c>
      <c r="B489" t="inlineStr">
        <is>
          <t>ND553.D25 A66 1997</t>
        </is>
      </c>
      <c r="C489" t="inlineStr">
        <is>
          <t>0                      ND 0553000D  25                 A  66          1997</t>
        </is>
      </c>
      <c r="D489" t="inlineStr">
        <is>
          <t>Jacques-Louis David, the farewell of Telemachus and Eucharis / Dorothy Johnson.</t>
        </is>
      </c>
      <c r="F489" t="inlineStr">
        <is>
          <t>No</t>
        </is>
      </c>
      <c r="G489" t="inlineStr">
        <is>
          <t>1</t>
        </is>
      </c>
      <c r="H489" t="inlineStr">
        <is>
          <t>No</t>
        </is>
      </c>
      <c r="I489" t="inlineStr">
        <is>
          <t>No</t>
        </is>
      </c>
      <c r="J489" t="inlineStr">
        <is>
          <t>0</t>
        </is>
      </c>
      <c r="K489" t="inlineStr">
        <is>
          <t>Johnson, Dorothy.</t>
        </is>
      </c>
      <c r="L489" t="inlineStr">
        <is>
          <t>Los Angeles : J. Paul Getty Museum, c1997.</t>
        </is>
      </c>
      <c r="M489" t="inlineStr">
        <is>
          <t>1997</t>
        </is>
      </c>
      <c r="O489" t="inlineStr">
        <is>
          <t>eng</t>
        </is>
      </c>
      <c r="P489" t="inlineStr">
        <is>
          <t>cau</t>
        </is>
      </c>
      <c r="Q489" t="inlineStr">
        <is>
          <t>Getty Museum studies on art</t>
        </is>
      </c>
      <c r="R489" t="inlineStr">
        <is>
          <t xml:space="preserve">ND </t>
        </is>
      </c>
      <c r="S489" t="n">
        <v>3</v>
      </c>
      <c r="T489" t="n">
        <v>3</v>
      </c>
      <c r="U489" t="inlineStr">
        <is>
          <t>2000-01-12</t>
        </is>
      </c>
      <c r="V489" t="inlineStr">
        <is>
          <t>2000-01-12</t>
        </is>
      </c>
      <c r="W489" t="inlineStr">
        <is>
          <t>1999-04-13</t>
        </is>
      </c>
      <c r="X489" t="inlineStr">
        <is>
          <t>1999-04-13</t>
        </is>
      </c>
      <c r="Y489" t="n">
        <v>368</v>
      </c>
      <c r="Z489" t="n">
        <v>308</v>
      </c>
      <c r="AA489" t="n">
        <v>353</v>
      </c>
      <c r="AB489" t="n">
        <v>3</v>
      </c>
      <c r="AC489" t="n">
        <v>3</v>
      </c>
      <c r="AD489" t="n">
        <v>14</v>
      </c>
      <c r="AE489" t="n">
        <v>15</v>
      </c>
      <c r="AF489" t="n">
        <v>5</v>
      </c>
      <c r="AG489" t="n">
        <v>5</v>
      </c>
      <c r="AH489" t="n">
        <v>2</v>
      </c>
      <c r="AI489" t="n">
        <v>3</v>
      </c>
      <c r="AJ489" t="n">
        <v>10</v>
      </c>
      <c r="AK489" t="n">
        <v>10</v>
      </c>
      <c r="AL489" t="n">
        <v>2</v>
      </c>
      <c r="AM489" t="n">
        <v>2</v>
      </c>
      <c r="AN489" t="n">
        <v>0</v>
      </c>
      <c r="AO489" t="n">
        <v>0</v>
      </c>
      <c r="AP489" t="inlineStr">
        <is>
          <t>No</t>
        </is>
      </c>
      <c r="AQ489" t="inlineStr">
        <is>
          <t>Yes</t>
        </is>
      </c>
      <c r="AR489">
        <f>HYPERLINK("http://catalog.hathitrust.org/Record/003958658","HathiTrust Record")</f>
        <v/>
      </c>
      <c r="AS489">
        <f>HYPERLINK("https://creighton-primo.hosted.exlibrisgroup.com/primo-explore/search?tab=default_tab&amp;search_scope=EVERYTHING&amp;vid=01CRU&amp;lang=en_US&amp;offset=0&amp;query=any,contains,991002420799702656","Catalog Record")</f>
        <v/>
      </c>
      <c r="AT489">
        <f>HYPERLINK("http://www.worldcat.org/oclc/31518632","WorldCat Record")</f>
        <v/>
      </c>
      <c r="AU489" t="inlineStr">
        <is>
          <t>33285547:eng</t>
        </is>
      </c>
      <c r="AV489" t="inlineStr">
        <is>
          <t>31518632</t>
        </is>
      </c>
      <c r="AW489" t="inlineStr">
        <is>
          <t>991002420799702656</t>
        </is>
      </c>
      <c r="AX489" t="inlineStr">
        <is>
          <t>991002420799702656</t>
        </is>
      </c>
      <c r="AY489" t="inlineStr">
        <is>
          <t>2267171040002656</t>
        </is>
      </c>
      <c r="AZ489" t="inlineStr">
        <is>
          <t>BOOK</t>
        </is>
      </c>
      <c r="BB489" t="inlineStr">
        <is>
          <t>9780892362363</t>
        </is>
      </c>
      <c r="BC489" t="inlineStr">
        <is>
          <t>32285003551867</t>
        </is>
      </c>
      <c r="BD489" t="inlineStr">
        <is>
          <t>893898734</t>
        </is>
      </c>
    </row>
    <row r="490">
      <c r="A490" t="inlineStr">
        <is>
          <t>No</t>
        </is>
      </c>
      <c r="B490" t="inlineStr">
        <is>
          <t>ND553.D3 B37 1990</t>
        </is>
      </c>
      <c r="C490" t="inlineStr">
        <is>
          <t>0                      ND 0553000D  3                  B  37          1990</t>
        </is>
      </c>
      <c r="D490" t="inlineStr">
        <is>
          <t>Degas by Degas / [introduced and] edited by Rachel Barnes.</t>
        </is>
      </c>
      <c r="F490" t="inlineStr">
        <is>
          <t>No</t>
        </is>
      </c>
      <c r="G490" t="inlineStr">
        <is>
          <t>1</t>
        </is>
      </c>
      <c r="H490" t="inlineStr">
        <is>
          <t>No</t>
        </is>
      </c>
      <c r="I490" t="inlineStr">
        <is>
          <t>Yes</t>
        </is>
      </c>
      <c r="J490" t="inlineStr">
        <is>
          <t>0</t>
        </is>
      </c>
      <c r="K490" t="inlineStr">
        <is>
          <t>Degas, Edgar, 1834-1917.</t>
        </is>
      </c>
      <c r="L490" t="inlineStr">
        <is>
          <t>New York : Knopf : Distributed by Random House, 1990.</t>
        </is>
      </c>
      <c r="M490" t="inlineStr">
        <is>
          <t>1990</t>
        </is>
      </c>
      <c r="N490" t="inlineStr">
        <is>
          <t>1st American ed.</t>
        </is>
      </c>
      <c r="O490" t="inlineStr">
        <is>
          <t>eng</t>
        </is>
      </c>
      <c r="P490" t="inlineStr">
        <is>
          <t>nyu</t>
        </is>
      </c>
      <c r="Q490" t="inlineStr">
        <is>
          <t>Artists by themselves</t>
        </is>
      </c>
      <c r="R490" t="inlineStr">
        <is>
          <t xml:space="preserve">ND </t>
        </is>
      </c>
      <c r="S490" t="n">
        <v>6</v>
      </c>
      <c r="T490" t="n">
        <v>6</v>
      </c>
      <c r="U490" t="inlineStr">
        <is>
          <t>1998-01-26</t>
        </is>
      </c>
      <c r="V490" t="inlineStr">
        <is>
          <t>1998-01-26</t>
        </is>
      </c>
      <c r="W490" t="inlineStr">
        <is>
          <t>1991-05-17</t>
        </is>
      </c>
      <c r="X490" t="inlineStr">
        <is>
          <t>1991-05-17</t>
        </is>
      </c>
      <c r="Y490" t="n">
        <v>390</v>
      </c>
      <c r="Z490" t="n">
        <v>372</v>
      </c>
      <c r="AA490" t="n">
        <v>439</v>
      </c>
      <c r="AB490" t="n">
        <v>3</v>
      </c>
      <c r="AC490" t="n">
        <v>3</v>
      </c>
      <c r="AD490" t="n">
        <v>4</v>
      </c>
      <c r="AE490" t="n">
        <v>4</v>
      </c>
      <c r="AF490" t="n">
        <v>1</v>
      </c>
      <c r="AG490" t="n">
        <v>1</v>
      </c>
      <c r="AH490" t="n">
        <v>1</v>
      </c>
      <c r="AI490" t="n">
        <v>1</v>
      </c>
      <c r="AJ490" t="n">
        <v>2</v>
      </c>
      <c r="AK490" t="n">
        <v>2</v>
      </c>
      <c r="AL490" t="n">
        <v>1</v>
      </c>
      <c r="AM490" t="n">
        <v>1</v>
      </c>
      <c r="AN490" t="n">
        <v>0</v>
      </c>
      <c r="AO490" t="n">
        <v>0</v>
      </c>
      <c r="AP490" t="inlineStr">
        <is>
          <t>No</t>
        </is>
      </c>
      <c r="AQ490" t="inlineStr">
        <is>
          <t>Yes</t>
        </is>
      </c>
      <c r="AR490">
        <f>HYPERLINK("http://catalog.hathitrust.org/Record/101929806","HathiTrust Record")</f>
        <v/>
      </c>
      <c r="AS490">
        <f>HYPERLINK("https://creighton-primo.hosted.exlibrisgroup.com/primo-explore/search?tab=default_tab&amp;search_scope=EVERYTHING&amp;vid=01CRU&amp;lang=en_US&amp;offset=0&amp;query=any,contains,991001710099702656","Catalog Record")</f>
        <v/>
      </c>
      <c r="AT490">
        <f>HYPERLINK("http://www.worldcat.org/oclc/21594999","WorldCat Record")</f>
        <v/>
      </c>
      <c r="AU490" t="inlineStr">
        <is>
          <t>4915301107:eng</t>
        </is>
      </c>
      <c r="AV490" t="inlineStr">
        <is>
          <t>21594999</t>
        </is>
      </c>
      <c r="AW490" t="inlineStr">
        <is>
          <t>991001710099702656</t>
        </is>
      </c>
      <c r="AX490" t="inlineStr">
        <is>
          <t>991001710099702656</t>
        </is>
      </c>
      <c r="AY490" t="inlineStr">
        <is>
          <t>2256916970002656</t>
        </is>
      </c>
      <c r="AZ490" t="inlineStr">
        <is>
          <t>BOOK</t>
        </is>
      </c>
      <c r="BB490" t="inlineStr">
        <is>
          <t>9780394589077</t>
        </is>
      </c>
      <c r="BC490" t="inlineStr">
        <is>
          <t>32285000574011</t>
        </is>
      </c>
      <c r="BD490" t="inlineStr">
        <is>
          <t>893609081</t>
        </is>
      </c>
    </row>
    <row r="491">
      <c r="A491" t="inlineStr">
        <is>
          <t>No</t>
        </is>
      </c>
      <c r="B491" t="inlineStr">
        <is>
          <t>ND553.D3 B37 1992</t>
        </is>
      </c>
      <c r="C491" t="inlineStr">
        <is>
          <t>0                      ND 0553000D  3                  B  37          1992</t>
        </is>
      </c>
      <c r="D491" t="inlineStr">
        <is>
          <t>Degas by Degas / edited by Rachel Barnes.</t>
        </is>
      </c>
      <c r="F491" t="inlineStr">
        <is>
          <t>No</t>
        </is>
      </c>
      <c r="G491" t="inlineStr">
        <is>
          <t>1</t>
        </is>
      </c>
      <c r="H491" t="inlineStr">
        <is>
          <t>No</t>
        </is>
      </c>
      <c r="I491" t="inlineStr">
        <is>
          <t>Yes</t>
        </is>
      </c>
      <c r="J491" t="inlineStr">
        <is>
          <t>0</t>
        </is>
      </c>
      <c r="K491" t="inlineStr">
        <is>
          <t>Degas, Edgar, 1834-1917.</t>
        </is>
      </c>
      <c r="L491" t="inlineStr">
        <is>
          <t>London : Bracken Books, 1992, c1990.</t>
        </is>
      </c>
      <c r="M491" t="inlineStr">
        <is>
          <t>1992</t>
        </is>
      </c>
      <c r="O491" t="inlineStr">
        <is>
          <t>eng</t>
        </is>
      </c>
      <c r="P491" t="inlineStr">
        <is>
          <t>enk</t>
        </is>
      </c>
      <c r="Q491" t="inlineStr">
        <is>
          <t>Artists by themselves</t>
        </is>
      </c>
      <c r="R491" t="inlineStr">
        <is>
          <t xml:space="preserve">ND </t>
        </is>
      </c>
      <c r="S491" t="n">
        <v>6</v>
      </c>
      <c r="T491" t="n">
        <v>6</v>
      </c>
      <c r="U491" t="inlineStr">
        <is>
          <t>1998-01-26</t>
        </is>
      </c>
      <c r="V491" t="inlineStr">
        <is>
          <t>1998-01-26</t>
        </is>
      </c>
      <c r="W491" t="inlineStr">
        <is>
          <t>1995-10-30</t>
        </is>
      </c>
      <c r="X491" t="inlineStr">
        <is>
          <t>1995-10-30</t>
        </is>
      </c>
      <c r="Y491" t="n">
        <v>99</v>
      </c>
      <c r="Z491" t="n">
        <v>56</v>
      </c>
      <c r="AA491" t="n">
        <v>439</v>
      </c>
      <c r="AB491" t="n">
        <v>1</v>
      </c>
      <c r="AC491" t="n">
        <v>3</v>
      </c>
      <c r="AD491" t="n">
        <v>0</v>
      </c>
      <c r="AE491" t="n">
        <v>4</v>
      </c>
      <c r="AF491" t="n">
        <v>0</v>
      </c>
      <c r="AG491" t="n">
        <v>1</v>
      </c>
      <c r="AH491" t="n">
        <v>0</v>
      </c>
      <c r="AI491" t="n">
        <v>1</v>
      </c>
      <c r="AJ491" t="n">
        <v>0</v>
      </c>
      <c r="AK491" t="n">
        <v>2</v>
      </c>
      <c r="AL491" t="n">
        <v>0</v>
      </c>
      <c r="AM491" t="n">
        <v>1</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HYPERLINK("https://creighton-primo.hosted.exlibrisgroup.com/primo-explore/search?tab=default_tab&amp;search_scope=EVERYTHING&amp;vid=01CRU&amp;lang=en_US&amp;offset=0&amp;query=any,contains,991002404399702656","Catalog Record")</f>
        <v/>
      </c>
      <c r="AT491">
        <f>HYPERLINK("http://www.worldcat.org/oclc/31274763","WorldCat Record")</f>
        <v/>
      </c>
      <c r="AU491" t="inlineStr">
        <is>
          <t>4915301107:eng</t>
        </is>
      </c>
      <c r="AV491" t="inlineStr">
        <is>
          <t>31274763</t>
        </is>
      </c>
      <c r="AW491" t="inlineStr">
        <is>
          <t>991002404399702656</t>
        </is>
      </c>
      <c r="AX491" t="inlineStr">
        <is>
          <t>991002404399702656</t>
        </is>
      </c>
      <c r="AY491" t="inlineStr">
        <is>
          <t>2261443090002656</t>
        </is>
      </c>
      <c r="AZ491" t="inlineStr">
        <is>
          <t>BOOK</t>
        </is>
      </c>
      <c r="BB491" t="inlineStr">
        <is>
          <t>9781851709762</t>
        </is>
      </c>
      <c r="BC491" t="inlineStr">
        <is>
          <t>32285002069440</t>
        </is>
      </c>
      <c r="BD491" t="inlineStr">
        <is>
          <t>893238986</t>
        </is>
      </c>
    </row>
    <row r="492">
      <c r="A492" t="inlineStr">
        <is>
          <t>No</t>
        </is>
      </c>
      <c r="B492" t="inlineStr">
        <is>
          <t>ND553.D3 H273</t>
        </is>
      </c>
      <c r="C492" t="inlineStr">
        <is>
          <t>0                      ND 0553000D  3                  H  273</t>
        </is>
      </c>
      <c r="D492" t="inlineStr">
        <is>
          <t>My friend Degas / [by] Daniel Halévy. Translated and edited with notes by Mina Curtiss.</t>
        </is>
      </c>
      <c r="F492" t="inlineStr">
        <is>
          <t>No</t>
        </is>
      </c>
      <c r="G492" t="inlineStr">
        <is>
          <t>1</t>
        </is>
      </c>
      <c r="H492" t="inlineStr">
        <is>
          <t>No</t>
        </is>
      </c>
      <c r="I492" t="inlineStr">
        <is>
          <t>No</t>
        </is>
      </c>
      <c r="J492" t="inlineStr">
        <is>
          <t>0</t>
        </is>
      </c>
      <c r="K492" t="inlineStr">
        <is>
          <t>Degas, Edgar, 1834-1917.</t>
        </is>
      </c>
      <c r="L492" t="inlineStr">
        <is>
          <t>Middletown, Conn. : Wesleyan University Press, [1964]</t>
        </is>
      </c>
      <c r="M492" t="inlineStr">
        <is>
          <t>1964</t>
        </is>
      </c>
      <c r="N492" t="inlineStr">
        <is>
          <t>[1st American ed.]</t>
        </is>
      </c>
      <c r="O492" t="inlineStr">
        <is>
          <t>eng</t>
        </is>
      </c>
      <c r="P492" t="inlineStr">
        <is>
          <t>ctu</t>
        </is>
      </c>
      <c r="R492" t="inlineStr">
        <is>
          <t xml:space="preserve">ND </t>
        </is>
      </c>
      <c r="S492" t="n">
        <v>4</v>
      </c>
      <c r="T492" t="n">
        <v>4</v>
      </c>
      <c r="U492" t="inlineStr">
        <is>
          <t>1998-01-26</t>
        </is>
      </c>
      <c r="V492" t="inlineStr">
        <is>
          <t>1998-01-26</t>
        </is>
      </c>
      <c r="W492" t="inlineStr">
        <is>
          <t>1992-04-06</t>
        </is>
      </c>
      <c r="X492" t="inlineStr">
        <is>
          <t>1992-04-06</t>
        </is>
      </c>
      <c r="Y492" t="n">
        <v>623</v>
      </c>
      <c r="Z492" t="n">
        <v>598</v>
      </c>
      <c r="AA492" t="n">
        <v>640</v>
      </c>
      <c r="AB492" t="n">
        <v>3</v>
      </c>
      <c r="AC492" t="n">
        <v>4</v>
      </c>
      <c r="AD492" t="n">
        <v>14</v>
      </c>
      <c r="AE492" t="n">
        <v>15</v>
      </c>
      <c r="AF492" t="n">
        <v>4</v>
      </c>
      <c r="AG492" t="n">
        <v>4</v>
      </c>
      <c r="AH492" t="n">
        <v>4</v>
      </c>
      <c r="AI492" t="n">
        <v>4</v>
      </c>
      <c r="AJ492" t="n">
        <v>7</v>
      </c>
      <c r="AK492" t="n">
        <v>7</v>
      </c>
      <c r="AL492" t="n">
        <v>2</v>
      </c>
      <c r="AM492" t="n">
        <v>3</v>
      </c>
      <c r="AN492" t="n">
        <v>0</v>
      </c>
      <c r="AO492" t="n">
        <v>0</v>
      </c>
      <c r="AP492" t="inlineStr">
        <is>
          <t>No</t>
        </is>
      </c>
      <c r="AQ492" t="inlineStr">
        <is>
          <t>Yes</t>
        </is>
      </c>
      <c r="AR492">
        <f>HYPERLINK("http://catalog.hathitrust.org/Record/000413629","HathiTrust Record")</f>
        <v/>
      </c>
      <c r="AS492">
        <f>HYPERLINK("https://creighton-primo.hosted.exlibrisgroup.com/primo-explore/search?tab=default_tab&amp;search_scope=EVERYTHING&amp;vid=01CRU&amp;lang=en_US&amp;offset=0&amp;query=any,contains,991003093679702656","Catalog Record")</f>
        <v/>
      </c>
      <c r="AT492">
        <f>HYPERLINK("http://www.worldcat.org/oclc/643861","WorldCat Record")</f>
        <v/>
      </c>
      <c r="AU492" t="inlineStr">
        <is>
          <t>1864136550:eng</t>
        </is>
      </c>
      <c r="AV492" t="inlineStr">
        <is>
          <t>643861</t>
        </is>
      </c>
      <c r="AW492" t="inlineStr">
        <is>
          <t>991003093679702656</t>
        </is>
      </c>
      <c r="AX492" t="inlineStr">
        <is>
          <t>991003093679702656</t>
        </is>
      </c>
      <c r="AY492" t="inlineStr">
        <is>
          <t>2258473770002656</t>
        </is>
      </c>
      <c r="AZ492" t="inlineStr">
        <is>
          <t>BOOK</t>
        </is>
      </c>
      <c r="BC492" t="inlineStr">
        <is>
          <t>32285001034536</t>
        </is>
      </c>
      <c r="BD492" t="inlineStr">
        <is>
          <t>893616992</t>
        </is>
      </c>
    </row>
    <row r="493">
      <c r="A493" t="inlineStr">
        <is>
          <t>No</t>
        </is>
      </c>
      <c r="B493" t="inlineStr">
        <is>
          <t>ND553.D3 P6 1963</t>
        </is>
      </c>
      <c r="C493" t="inlineStr">
        <is>
          <t>0                      ND 0553000D  3                  P  6           1963</t>
        </is>
      </c>
      <c r="D493" t="inlineStr">
        <is>
          <t>Degas / by Phoebe Pool.</t>
        </is>
      </c>
      <c r="F493" t="inlineStr">
        <is>
          <t>No</t>
        </is>
      </c>
      <c r="G493" t="inlineStr">
        <is>
          <t>1</t>
        </is>
      </c>
      <c r="H493" t="inlineStr">
        <is>
          <t>No</t>
        </is>
      </c>
      <c r="I493" t="inlineStr">
        <is>
          <t>No</t>
        </is>
      </c>
      <c r="J493" t="inlineStr">
        <is>
          <t>0</t>
        </is>
      </c>
      <c r="K493" t="inlineStr">
        <is>
          <t>Degas, Edgar, 1834-1917.</t>
        </is>
      </c>
      <c r="L493" t="inlineStr">
        <is>
          <t>London : Spring Books, [c1963]</t>
        </is>
      </c>
      <c r="M493" t="inlineStr">
        <is>
          <t>1963</t>
        </is>
      </c>
      <c r="O493" t="inlineStr">
        <is>
          <t>eng</t>
        </is>
      </c>
      <c r="P493" t="inlineStr">
        <is>
          <t xml:space="preserve">xx </t>
        </is>
      </c>
      <c r="Q493" t="inlineStr">
        <is>
          <t>Spring art books</t>
        </is>
      </c>
      <c r="R493" t="inlineStr">
        <is>
          <t xml:space="preserve">ND </t>
        </is>
      </c>
      <c r="S493" t="n">
        <v>15</v>
      </c>
      <c r="T493" t="n">
        <v>15</v>
      </c>
      <c r="U493" t="inlineStr">
        <is>
          <t>1999-03-19</t>
        </is>
      </c>
      <c r="V493" t="inlineStr">
        <is>
          <t>1999-03-19</t>
        </is>
      </c>
      <c r="W493" t="inlineStr">
        <is>
          <t>1994-06-20</t>
        </is>
      </c>
      <c r="X493" t="inlineStr">
        <is>
          <t>1994-06-20</t>
        </is>
      </c>
      <c r="Y493" t="n">
        <v>332</v>
      </c>
      <c r="Z493" t="n">
        <v>274</v>
      </c>
      <c r="AA493" t="n">
        <v>304</v>
      </c>
      <c r="AB493" t="n">
        <v>3</v>
      </c>
      <c r="AC493" t="n">
        <v>4</v>
      </c>
      <c r="AD493" t="n">
        <v>8</v>
      </c>
      <c r="AE493" t="n">
        <v>10</v>
      </c>
      <c r="AF493" t="n">
        <v>4</v>
      </c>
      <c r="AG493" t="n">
        <v>5</v>
      </c>
      <c r="AH493" t="n">
        <v>0</v>
      </c>
      <c r="AI493" t="n">
        <v>0</v>
      </c>
      <c r="AJ493" t="n">
        <v>3</v>
      </c>
      <c r="AK493" t="n">
        <v>4</v>
      </c>
      <c r="AL493" t="n">
        <v>2</v>
      </c>
      <c r="AM493" t="n">
        <v>3</v>
      </c>
      <c r="AN493" t="n">
        <v>0</v>
      </c>
      <c r="AO493" t="n">
        <v>0</v>
      </c>
      <c r="AP493" t="inlineStr">
        <is>
          <t>No</t>
        </is>
      </c>
      <c r="AQ493" t="inlineStr">
        <is>
          <t>Yes</t>
        </is>
      </c>
      <c r="AR493">
        <f>HYPERLINK("http://catalog.hathitrust.org/Record/000413527","HathiTrust Record")</f>
        <v/>
      </c>
      <c r="AS493">
        <f>HYPERLINK("https://creighton-primo.hosted.exlibrisgroup.com/primo-explore/search?tab=default_tab&amp;search_scope=EVERYTHING&amp;vid=01CRU&amp;lang=en_US&amp;offset=0&amp;query=any,contains,991002905379702656","Catalog Record")</f>
        <v/>
      </c>
      <c r="AT493">
        <f>HYPERLINK("http://www.worldcat.org/oclc/519204","WorldCat Record")</f>
        <v/>
      </c>
      <c r="AU493" t="inlineStr">
        <is>
          <t>11431956:eng</t>
        </is>
      </c>
      <c r="AV493" t="inlineStr">
        <is>
          <t>519204</t>
        </is>
      </c>
      <c r="AW493" t="inlineStr">
        <is>
          <t>991002905379702656</t>
        </is>
      </c>
      <c r="AX493" t="inlineStr">
        <is>
          <t>991002905379702656</t>
        </is>
      </c>
      <c r="AY493" t="inlineStr">
        <is>
          <t>2256772980002656</t>
        </is>
      </c>
      <c r="AZ493" t="inlineStr">
        <is>
          <t>BOOK</t>
        </is>
      </c>
      <c r="BC493" t="inlineStr">
        <is>
          <t>32285001916138</t>
        </is>
      </c>
      <c r="BD493" t="inlineStr">
        <is>
          <t>893342009</t>
        </is>
      </c>
    </row>
    <row r="494">
      <c r="A494" t="inlineStr">
        <is>
          <t>No</t>
        </is>
      </c>
      <c r="B494" t="inlineStr">
        <is>
          <t>ND553.D3 R63</t>
        </is>
      </c>
      <c r="C494" t="inlineStr">
        <is>
          <t>0                      ND 0553000D  3                  R  63</t>
        </is>
      </c>
      <c r="D494" t="inlineStr">
        <is>
          <t>The unknown Degas and Renoir in the National Museum of Belgrade.</t>
        </is>
      </c>
      <c r="F494" t="inlineStr">
        <is>
          <t>No</t>
        </is>
      </c>
      <c r="G494" t="inlineStr">
        <is>
          <t>1</t>
        </is>
      </c>
      <c r="H494" t="inlineStr">
        <is>
          <t>No</t>
        </is>
      </c>
      <c r="I494" t="inlineStr">
        <is>
          <t>No</t>
        </is>
      </c>
      <c r="J494" t="inlineStr">
        <is>
          <t>0</t>
        </is>
      </c>
      <c r="K494" t="inlineStr">
        <is>
          <t>Rouart, Denis.</t>
        </is>
      </c>
      <c r="L494" t="inlineStr">
        <is>
          <t>New York : McGraw-Hill, 1964.</t>
        </is>
      </c>
      <c r="M494" t="inlineStr">
        <is>
          <t>1964</t>
        </is>
      </c>
      <c r="O494" t="inlineStr">
        <is>
          <t>eng</t>
        </is>
      </c>
      <c r="P494" t="inlineStr">
        <is>
          <t>nyu</t>
        </is>
      </c>
      <c r="R494" t="inlineStr">
        <is>
          <t xml:space="preserve">ND </t>
        </is>
      </c>
      <c r="S494" t="n">
        <v>6</v>
      </c>
      <c r="T494" t="n">
        <v>6</v>
      </c>
      <c r="U494" t="inlineStr">
        <is>
          <t>1995-01-20</t>
        </is>
      </c>
      <c r="V494" t="inlineStr">
        <is>
          <t>1995-01-20</t>
        </is>
      </c>
      <c r="W494" t="inlineStr">
        <is>
          <t>1992-04-06</t>
        </is>
      </c>
      <c r="X494" t="inlineStr">
        <is>
          <t>1992-04-06</t>
        </is>
      </c>
      <c r="Y494" t="n">
        <v>422</v>
      </c>
      <c r="Z494" t="n">
        <v>377</v>
      </c>
      <c r="AA494" t="n">
        <v>384</v>
      </c>
      <c r="AB494" t="n">
        <v>4</v>
      </c>
      <c r="AC494" t="n">
        <v>4</v>
      </c>
      <c r="AD494" t="n">
        <v>13</v>
      </c>
      <c r="AE494" t="n">
        <v>13</v>
      </c>
      <c r="AF494" t="n">
        <v>4</v>
      </c>
      <c r="AG494" t="n">
        <v>4</v>
      </c>
      <c r="AH494" t="n">
        <v>2</v>
      </c>
      <c r="AI494" t="n">
        <v>2</v>
      </c>
      <c r="AJ494" t="n">
        <v>7</v>
      </c>
      <c r="AK494" t="n">
        <v>7</v>
      </c>
      <c r="AL494" t="n">
        <v>3</v>
      </c>
      <c r="AM494" t="n">
        <v>3</v>
      </c>
      <c r="AN494" t="n">
        <v>0</v>
      </c>
      <c r="AO494" t="n">
        <v>0</v>
      </c>
      <c r="AP494" t="inlineStr">
        <is>
          <t>No</t>
        </is>
      </c>
      <c r="AQ494" t="inlineStr">
        <is>
          <t>Yes</t>
        </is>
      </c>
      <c r="AR494">
        <f>HYPERLINK("http://catalog.hathitrust.org/Record/000413533","HathiTrust Record")</f>
        <v/>
      </c>
      <c r="AS494">
        <f>HYPERLINK("https://creighton-primo.hosted.exlibrisgroup.com/primo-explore/search?tab=default_tab&amp;search_scope=EVERYTHING&amp;vid=01CRU&amp;lang=en_US&amp;offset=0&amp;query=any,contains,991002632579702656","Catalog Record")</f>
        <v/>
      </c>
      <c r="AT494">
        <f>HYPERLINK("http://www.worldcat.org/oclc/382276","WorldCat Record")</f>
        <v/>
      </c>
      <c r="AU494" t="inlineStr">
        <is>
          <t>1496708:eng</t>
        </is>
      </c>
      <c r="AV494" t="inlineStr">
        <is>
          <t>382276</t>
        </is>
      </c>
      <c r="AW494" t="inlineStr">
        <is>
          <t>991002632579702656</t>
        </is>
      </c>
      <c r="AX494" t="inlineStr">
        <is>
          <t>991002632579702656</t>
        </is>
      </c>
      <c r="AY494" t="inlineStr">
        <is>
          <t>2259981140002656</t>
        </is>
      </c>
      <c r="AZ494" t="inlineStr">
        <is>
          <t>BOOK</t>
        </is>
      </c>
      <c r="BC494" t="inlineStr">
        <is>
          <t>32285001034528</t>
        </is>
      </c>
      <c r="BD494" t="inlineStr">
        <is>
          <t>893445275</t>
        </is>
      </c>
    </row>
    <row r="495">
      <c r="A495" t="inlineStr">
        <is>
          <t>No</t>
        </is>
      </c>
      <c r="B495" t="inlineStr">
        <is>
          <t>ND553.D3 T7</t>
        </is>
      </c>
      <c r="C495" t="inlineStr">
        <is>
          <t>0                      ND 0553000D  3                  T  7</t>
        </is>
      </c>
      <c r="D495" t="inlineStr">
        <is>
          <t>Degas / [biographical and critical studies by François Fosca, pseud. Translated by James Emmons.</t>
        </is>
      </c>
      <c r="F495" t="inlineStr">
        <is>
          <t>No</t>
        </is>
      </c>
      <c r="G495" t="inlineStr">
        <is>
          <t>1</t>
        </is>
      </c>
      <c r="H495" t="inlineStr">
        <is>
          <t>No</t>
        </is>
      </c>
      <c r="I495" t="inlineStr">
        <is>
          <t>No</t>
        </is>
      </c>
      <c r="J495" t="inlineStr">
        <is>
          <t>0</t>
        </is>
      </c>
      <c r="K495" t="inlineStr">
        <is>
          <t>Fosca, François, 1881-1980.</t>
        </is>
      </c>
      <c r="L495" t="inlineStr">
        <is>
          <t>Geneva] : Skira, [1954]</t>
        </is>
      </c>
      <c r="M495" t="inlineStr">
        <is>
          <t>1954</t>
        </is>
      </c>
      <c r="O495" t="inlineStr">
        <is>
          <t>eng</t>
        </is>
      </c>
      <c r="P495" t="inlineStr">
        <is>
          <t xml:space="preserve">sz </t>
        </is>
      </c>
      <c r="Q495" t="inlineStr">
        <is>
          <t>The Taste of our time, v. 5</t>
        </is>
      </c>
      <c r="R495" t="inlineStr">
        <is>
          <t xml:space="preserve">ND </t>
        </is>
      </c>
      <c r="S495" t="n">
        <v>14</v>
      </c>
      <c r="T495" t="n">
        <v>14</v>
      </c>
      <c r="U495" t="inlineStr">
        <is>
          <t>1999-03-24</t>
        </is>
      </c>
      <c r="V495" t="inlineStr">
        <is>
          <t>1999-03-24</t>
        </is>
      </c>
      <c r="W495" t="inlineStr">
        <is>
          <t>1992-04-06</t>
        </is>
      </c>
      <c r="X495" t="inlineStr">
        <is>
          <t>1992-04-06</t>
        </is>
      </c>
      <c r="Y495" t="n">
        <v>661</v>
      </c>
      <c r="Z495" t="n">
        <v>584</v>
      </c>
      <c r="AA495" t="n">
        <v>587</v>
      </c>
      <c r="AB495" t="n">
        <v>5</v>
      </c>
      <c r="AC495" t="n">
        <v>5</v>
      </c>
      <c r="AD495" t="n">
        <v>20</v>
      </c>
      <c r="AE495" t="n">
        <v>20</v>
      </c>
      <c r="AF495" t="n">
        <v>9</v>
      </c>
      <c r="AG495" t="n">
        <v>9</v>
      </c>
      <c r="AH495" t="n">
        <v>5</v>
      </c>
      <c r="AI495" t="n">
        <v>5</v>
      </c>
      <c r="AJ495" t="n">
        <v>6</v>
      </c>
      <c r="AK495" t="n">
        <v>6</v>
      </c>
      <c r="AL495" t="n">
        <v>3</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HYPERLINK("https://creighton-primo.hosted.exlibrisgroup.com/primo-explore/search?tab=default_tab&amp;search_scope=EVERYTHING&amp;vid=01CRU&amp;lang=en_US&amp;offset=0&amp;query=any,contains,991003153329702656","Catalog Record")</f>
        <v/>
      </c>
      <c r="AT495">
        <f>HYPERLINK("http://www.worldcat.org/oclc/692483","WorldCat Record")</f>
        <v/>
      </c>
      <c r="AU495" t="inlineStr">
        <is>
          <t>4714410308:eng</t>
        </is>
      </c>
      <c r="AV495" t="inlineStr">
        <is>
          <t>692483</t>
        </is>
      </c>
      <c r="AW495" t="inlineStr">
        <is>
          <t>991003153329702656</t>
        </is>
      </c>
      <c r="AX495" t="inlineStr">
        <is>
          <t>991003153329702656</t>
        </is>
      </c>
      <c r="AY495" t="inlineStr">
        <is>
          <t>2268373380002656</t>
        </is>
      </c>
      <c r="AZ495" t="inlineStr">
        <is>
          <t>BOOK</t>
        </is>
      </c>
      <c r="BC495" t="inlineStr">
        <is>
          <t>32285001034510</t>
        </is>
      </c>
      <c r="BD495" t="inlineStr">
        <is>
          <t>893342278</t>
        </is>
      </c>
    </row>
    <row r="496">
      <c r="A496" t="inlineStr">
        <is>
          <t>No</t>
        </is>
      </c>
      <c r="B496" t="inlineStr">
        <is>
          <t>ND553.D33 R634 1970</t>
        </is>
      </c>
      <c r="C496" t="inlineStr">
        <is>
          <t>0                      ND 0553000D  33                 R  634         1970</t>
        </is>
      </c>
      <c r="D496" t="inlineStr">
        <is>
          <t>Delacroix's universe / by Claude Roger-Marx and Sabine Cotte. Translated from the French by Lynn Michelman.</t>
        </is>
      </c>
      <c r="F496" t="inlineStr">
        <is>
          <t>No</t>
        </is>
      </c>
      <c r="G496" t="inlineStr">
        <is>
          <t>1</t>
        </is>
      </c>
      <c r="H496" t="inlineStr">
        <is>
          <t>No</t>
        </is>
      </c>
      <c r="I496" t="inlineStr">
        <is>
          <t>No</t>
        </is>
      </c>
      <c r="J496" t="inlineStr">
        <is>
          <t>0</t>
        </is>
      </c>
      <c r="K496" t="inlineStr">
        <is>
          <t>Roger-Marx, Claude, 1888-1977.</t>
        </is>
      </c>
      <c r="L496" t="inlineStr">
        <is>
          <t>Paris : Henri Scrépel; Woodbury, N. Y. : Barrons, 1970.</t>
        </is>
      </c>
      <c r="M496" t="inlineStr">
        <is>
          <t>1971</t>
        </is>
      </c>
      <c r="O496" t="inlineStr">
        <is>
          <t>eng</t>
        </is>
      </c>
      <c r="P496" t="inlineStr">
        <is>
          <t xml:space="preserve">xx </t>
        </is>
      </c>
      <c r="Q496" t="inlineStr">
        <is>
          <t>Les Carnets de dessins</t>
        </is>
      </c>
      <c r="R496" t="inlineStr">
        <is>
          <t xml:space="preserve">ND </t>
        </is>
      </c>
      <c r="S496" t="n">
        <v>6</v>
      </c>
      <c r="T496" t="n">
        <v>6</v>
      </c>
      <c r="U496" t="inlineStr">
        <is>
          <t>2010-10-26</t>
        </is>
      </c>
      <c r="V496" t="inlineStr">
        <is>
          <t>2010-10-26</t>
        </is>
      </c>
      <c r="W496" t="inlineStr">
        <is>
          <t>1993-05-21</t>
        </is>
      </c>
      <c r="X496" t="inlineStr">
        <is>
          <t>1993-05-21</t>
        </is>
      </c>
      <c r="Y496" t="n">
        <v>119</v>
      </c>
      <c r="Z496" t="n">
        <v>110</v>
      </c>
      <c r="AA496" t="n">
        <v>112</v>
      </c>
      <c r="AB496" t="n">
        <v>2</v>
      </c>
      <c r="AC496" t="n">
        <v>2</v>
      </c>
      <c r="AD496" t="n">
        <v>4</v>
      </c>
      <c r="AE496" t="n">
        <v>4</v>
      </c>
      <c r="AF496" t="n">
        <v>1</v>
      </c>
      <c r="AG496" t="n">
        <v>1</v>
      </c>
      <c r="AH496" t="n">
        <v>1</v>
      </c>
      <c r="AI496" t="n">
        <v>1</v>
      </c>
      <c r="AJ496" t="n">
        <v>2</v>
      </c>
      <c r="AK496" t="n">
        <v>2</v>
      </c>
      <c r="AL496" t="n">
        <v>1</v>
      </c>
      <c r="AM496" t="n">
        <v>1</v>
      </c>
      <c r="AN496" t="n">
        <v>0</v>
      </c>
      <c r="AO496" t="n">
        <v>0</v>
      </c>
      <c r="AP496" t="inlineStr">
        <is>
          <t>No</t>
        </is>
      </c>
      <c r="AQ496" t="inlineStr">
        <is>
          <t>Yes</t>
        </is>
      </c>
      <c r="AR496">
        <f>HYPERLINK("http://catalog.hathitrust.org/Record/102002688","HathiTrust Record")</f>
        <v/>
      </c>
      <c r="AS496">
        <f>HYPERLINK("https://creighton-primo.hosted.exlibrisgroup.com/primo-explore/search?tab=default_tab&amp;search_scope=EVERYTHING&amp;vid=01CRU&amp;lang=en_US&amp;offset=0&amp;query=any,contains,991004421879702656","Catalog Record")</f>
        <v/>
      </c>
      <c r="AT496">
        <f>HYPERLINK("http://www.worldcat.org/oclc/3384357","WorldCat Record")</f>
        <v/>
      </c>
      <c r="AU496" t="inlineStr">
        <is>
          <t>2908604029:eng</t>
        </is>
      </c>
      <c r="AV496" t="inlineStr">
        <is>
          <t>3384357</t>
        </is>
      </c>
      <c r="AW496" t="inlineStr">
        <is>
          <t>991004421879702656</t>
        </is>
      </c>
      <c r="AX496" t="inlineStr">
        <is>
          <t>991004421879702656</t>
        </is>
      </c>
      <c r="AY496" t="inlineStr">
        <is>
          <t>2268837720002656</t>
        </is>
      </c>
      <c r="AZ496" t="inlineStr">
        <is>
          <t>BOOK</t>
        </is>
      </c>
      <c r="BC496" t="inlineStr">
        <is>
          <t>32285001691905</t>
        </is>
      </c>
      <c r="BD496" t="inlineStr">
        <is>
          <t>893519633</t>
        </is>
      </c>
    </row>
    <row r="497">
      <c r="A497" t="inlineStr">
        <is>
          <t>No</t>
        </is>
      </c>
      <c r="B497" t="inlineStr">
        <is>
          <t>ND553.D33 S63 1967</t>
        </is>
      </c>
      <c r="C497" t="inlineStr">
        <is>
          <t>0                      ND 0553000D  33                 S  63          1967</t>
        </is>
      </c>
      <c r="D497" t="inlineStr">
        <is>
          <t>The murals of Eugene Delacroix at Saint-Sulpice [by] Jack J. Spector.</t>
        </is>
      </c>
      <c r="F497" t="inlineStr">
        <is>
          <t>No</t>
        </is>
      </c>
      <c r="G497" t="inlineStr">
        <is>
          <t>1</t>
        </is>
      </c>
      <c r="H497" t="inlineStr">
        <is>
          <t>No</t>
        </is>
      </c>
      <c r="I497" t="inlineStr">
        <is>
          <t>No</t>
        </is>
      </c>
      <c r="J497" t="inlineStr">
        <is>
          <t>0</t>
        </is>
      </c>
      <c r="K497" t="inlineStr">
        <is>
          <t>Spector, Jack J.</t>
        </is>
      </c>
      <c r="L497" t="inlineStr">
        <is>
          <t>New York, College Art Association of America, 1967.</t>
        </is>
      </c>
      <c r="M497" t="inlineStr">
        <is>
          <t>1967</t>
        </is>
      </c>
      <c r="O497" t="inlineStr">
        <is>
          <t>eng</t>
        </is>
      </c>
      <c r="P497" t="inlineStr">
        <is>
          <t>nyu</t>
        </is>
      </c>
      <c r="Q497" t="inlineStr">
        <is>
          <t>Monographs on archaeology and fine arts ; 16</t>
        </is>
      </c>
      <c r="R497" t="inlineStr">
        <is>
          <t xml:space="preserve">ND </t>
        </is>
      </c>
      <c r="S497" t="n">
        <v>5</v>
      </c>
      <c r="T497" t="n">
        <v>5</v>
      </c>
      <c r="U497" t="inlineStr">
        <is>
          <t>1999-12-14</t>
        </is>
      </c>
      <c r="V497" t="inlineStr">
        <is>
          <t>1999-12-14</t>
        </is>
      </c>
      <c r="W497" t="inlineStr">
        <is>
          <t>1997-07-29</t>
        </is>
      </c>
      <c r="X497" t="inlineStr">
        <is>
          <t>1997-07-29</t>
        </is>
      </c>
      <c r="Y497" t="n">
        <v>639</v>
      </c>
      <c r="Z497" t="n">
        <v>501</v>
      </c>
      <c r="AA497" t="n">
        <v>639</v>
      </c>
      <c r="AB497" t="n">
        <v>4</v>
      </c>
      <c r="AC497" t="n">
        <v>5</v>
      </c>
      <c r="AD497" t="n">
        <v>24</v>
      </c>
      <c r="AE497" t="n">
        <v>31</v>
      </c>
      <c r="AF497" t="n">
        <v>9</v>
      </c>
      <c r="AG497" t="n">
        <v>12</v>
      </c>
      <c r="AH497" t="n">
        <v>6</v>
      </c>
      <c r="AI497" t="n">
        <v>9</v>
      </c>
      <c r="AJ497" t="n">
        <v>11</v>
      </c>
      <c r="AK497" t="n">
        <v>13</v>
      </c>
      <c r="AL497" t="n">
        <v>3</v>
      </c>
      <c r="AM497" t="n">
        <v>4</v>
      </c>
      <c r="AN497" t="n">
        <v>0</v>
      </c>
      <c r="AO497" t="n">
        <v>0</v>
      </c>
      <c r="AP497" t="inlineStr">
        <is>
          <t>No</t>
        </is>
      </c>
      <c r="AQ497" t="inlineStr">
        <is>
          <t>Yes</t>
        </is>
      </c>
      <c r="AR497">
        <f>HYPERLINK("http://catalog.hathitrust.org/Record/001684204","HathiTrust Record")</f>
        <v/>
      </c>
      <c r="AS497">
        <f>HYPERLINK("https://creighton-primo.hosted.exlibrisgroup.com/primo-explore/search?tab=default_tab&amp;search_scope=EVERYTHING&amp;vid=01CRU&amp;lang=en_US&amp;offset=0&amp;query=any,contains,991000128529702656","Catalog Record")</f>
        <v/>
      </c>
      <c r="AT497">
        <f>HYPERLINK("http://www.worldcat.org/oclc/53058","WorldCat Record")</f>
        <v/>
      </c>
      <c r="AU497" t="inlineStr">
        <is>
          <t>1176892:eng</t>
        </is>
      </c>
      <c r="AV497" t="inlineStr">
        <is>
          <t>53058</t>
        </is>
      </c>
      <c r="AW497" t="inlineStr">
        <is>
          <t>991000128529702656</t>
        </is>
      </c>
      <c r="AX497" t="inlineStr">
        <is>
          <t>991000128529702656</t>
        </is>
      </c>
      <c r="AY497" t="inlineStr">
        <is>
          <t>2257553520002656</t>
        </is>
      </c>
      <c r="AZ497" t="inlineStr">
        <is>
          <t>BOOK</t>
        </is>
      </c>
      <c r="BC497" t="inlineStr">
        <is>
          <t>32285002968013</t>
        </is>
      </c>
      <c r="BD497" t="inlineStr">
        <is>
          <t>893345407</t>
        </is>
      </c>
    </row>
    <row r="498">
      <c r="A498" t="inlineStr">
        <is>
          <t>No</t>
        </is>
      </c>
      <c r="B498" t="inlineStr">
        <is>
          <t>ND553.D357 B8 1982</t>
        </is>
      </c>
      <c r="C498" t="inlineStr">
        <is>
          <t>0                      ND 0553000D  357                B  8           1982</t>
        </is>
      </c>
      <c r="D498" t="inlineStr">
        <is>
          <t>Robert Delaunay : the discovery of simultaneity / by Sherry A. Buckberrough.</t>
        </is>
      </c>
      <c r="F498" t="inlineStr">
        <is>
          <t>No</t>
        </is>
      </c>
      <c r="G498" t="inlineStr">
        <is>
          <t>1</t>
        </is>
      </c>
      <c r="H498" t="inlineStr">
        <is>
          <t>No</t>
        </is>
      </c>
      <c r="I498" t="inlineStr">
        <is>
          <t>No</t>
        </is>
      </c>
      <c r="J498" t="inlineStr">
        <is>
          <t>0</t>
        </is>
      </c>
      <c r="K498" t="inlineStr">
        <is>
          <t>Buckberrough, Sherry A., 1945-</t>
        </is>
      </c>
      <c r="L498" t="inlineStr">
        <is>
          <t>Ann Arbor, Mich. : UMI Research Press, c1982.</t>
        </is>
      </c>
      <c r="M498" t="inlineStr">
        <is>
          <t>1982</t>
        </is>
      </c>
      <c r="O498" t="inlineStr">
        <is>
          <t>eng</t>
        </is>
      </c>
      <c r="P498" t="inlineStr">
        <is>
          <t>miu</t>
        </is>
      </c>
      <c r="Q498" t="inlineStr">
        <is>
          <t>Studies in fine arts. Avant-garde ; no. 21</t>
        </is>
      </c>
      <c r="R498" t="inlineStr">
        <is>
          <t xml:space="preserve">ND </t>
        </is>
      </c>
      <c r="S498" t="n">
        <v>1</v>
      </c>
      <c r="T498" t="n">
        <v>1</v>
      </c>
      <c r="U498" t="inlineStr">
        <is>
          <t>2009-05-05</t>
        </is>
      </c>
      <c r="V498" t="inlineStr">
        <is>
          <t>2009-05-05</t>
        </is>
      </c>
      <c r="W498" t="inlineStr">
        <is>
          <t>1993-05-21</t>
        </is>
      </c>
      <c r="X498" t="inlineStr">
        <is>
          <t>1993-05-21</t>
        </is>
      </c>
      <c r="Y498" t="n">
        <v>351</v>
      </c>
      <c r="Z498" t="n">
        <v>255</v>
      </c>
      <c r="AA498" t="n">
        <v>257</v>
      </c>
      <c r="AB498" t="n">
        <v>3</v>
      </c>
      <c r="AC498" t="n">
        <v>3</v>
      </c>
      <c r="AD498" t="n">
        <v>7</v>
      </c>
      <c r="AE498" t="n">
        <v>7</v>
      </c>
      <c r="AF498" t="n">
        <v>3</v>
      </c>
      <c r="AG498" t="n">
        <v>3</v>
      </c>
      <c r="AH498" t="n">
        <v>0</v>
      </c>
      <c r="AI498" t="n">
        <v>0</v>
      </c>
      <c r="AJ498" t="n">
        <v>2</v>
      </c>
      <c r="AK498" t="n">
        <v>2</v>
      </c>
      <c r="AL498" t="n">
        <v>2</v>
      </c>
      <c r="AM498" t="n">
        <v>2</v>
      </c>
      <c r="AN498" t="n">
        <v>0</v>
      </c>
      <c r="AO498" t="n">
        <v>0</v>
      </c>
      <c r="AP498" t="inlineStr">
        <is>
          <t>No</t>
        </is>
      </c>
      <c r="AQ498" t="inlineStr">
        <is>
          <t>Yes</t>
        </is>
      </c>
      <c r="AR498">
        <f>HYPERLINK("http://catalog.hathitrust.org/Record/000193455","HathiTrust Record")</f>
        <v/>
      </c>
      <c r="AS498">
        <f>HYPERLINK("https://creighton-primo.hosted.exlibrisgroup.com/primo-explore/search?tab=default_tab&amp;search_scope=EVERYTHING&amp;vid=01CRU&amp;lang=en_US&amp;offset=0&amp;query=any,contains,991005211279702656","Catalog Record")</f>
        <v/>
      </c>
      <c r="AT498">
        <f>HYPERLINK("http://www.worldcat.org/oclc/8169356","WorldCat Record")</f>
        <v/>
      </c>
      <c r="AU498" t="inlineStr">
        <is>
          <t>858448594:eng</t>
        </is>
      </c>
      <c r="AV498" t="inlineStr">
        <is>
          <t>8169356</t>
        </is>
      </c>
      <c r="AW498" t="inlineStr">
        <is>
          <t>991005211279702656</t>
        </is>
      </c>
      <c r="AX498" t="inlineStr">
        <is>
          <t>991005211279702656</t>
        </is>
      </c>
      <c r="AY498" t="inlineStr">
        <is>
          <t>2269777600002656</t>
        </is>
      </c>
      <c r="AZ498" t="inlineStr">
        <is>
          <t>BOOK</t>
        </is>
      </c>
      <c r="BB498" t="inlineStr">
        <is>
          <t>9780835712972</t>
        </is>
      </c>
      <c r="BC498" t="inlineStr">
        <is>
          <t>32285001691913</t>
        </is>
      </c>
      <c r="BD498" t="inlineStr">
        <is>
          <t>893810922</t>
        </is>
      </c>
    </row>
    <row r="499">
      <c r="A499" t="inlineStr">
        <is>
          <t>No</t>
        </is>
      </c>
      <c r="B499" t="inlineStr">
        <is>
          <t>ND553.D357 V713</t>
        </is>
      </c>
      <c r="C499" t="inlineStr">
        <is>
          <t>0                      ND 0553000D  357                V  713</t>
        </is>
      </c>
      <c r="D499" t="inlineStr">
        <is>
          <t>Robert Delaunay; light and color [by] Gustav Vriesen [and] Max Imdahl. [Translated from German by Maria Pelikan]</t>
        </is>
      </c>
      <c r="F499" t="inlineStr">
        <is>
          <t>No</t>
        </is>
      </c>
      <c r="G499" t="inlineStr">
        <is>
          <t>1</t>
        </is>
      </c>
      <c r="H499" t="inlineStr">
        <is>
          <t>No</t>
        </is>
      </c>
      <c r="I499" t="inlineStr">
        <is>
          <t>No</t>
        </is>
      </c>
      <c r="J499" t="inlineStr">
        <is>
          <t>0</t>
        </is>
      </c>
      <c r="K499" t="inlineStr">
        <is>
          <t>Vriesen, Gustav.</t>
        </is>
      </c>
      <c r="L499" t="inlineStr">
        <is>
          <t>New York, H.N. Abrams [1969, c1967]</t>
        </is>
      </c>
      <c r="M499" t="inlineStr">
        <is>
          <t>1969</t>
        </is>
      </c>
      <c r="O499" t="inlineStr">
        <is>
          <t>eng</t>
        </is>
      </c>
      <c r="P499" t="inlineStr">
        <is>
          <t>nyu</t>
        </is>
      </c>
      <c r="R499" t="inlineStr">
        <is>
          <t xml:space="preserve">ND </t>
        </is>
      </c>
      <c r="S499" t="n">
        <v>3</v>
      </c>
      <c r="T499" t="n">
        <v>3</v>
      </c>
      <c r="U499" t="inlineStr">
        <is>
          <t>2009-05-05</t>
        </is>
      </c>
      <c r="V499" t="inlineStr">
        <is>
          <t>2009-05-05</t>
        </is>
      </c>
      <c r="W499" t="inlineStr">
        <is>
          <t>1997-07-29</t>
        </is>
      </c>
      <c r="X499" t="inlineStr">
        <is>
          <t>1997-07-29</t>
        </is>
      </c>
      <c r="Y499" t="n">
        <v>633</v>
      </c>
      <c r="Z499" t="n">
        <v>579</v>
      </c>
      <c r="AA499" t="n">
        <v>593</v>
      </c>
      <c r="AB499" t="n">
        <v>4</v>
      </c>
      <c r="AC499" t="n">
        <v>4</v>
      </c>
      <c r="AD499" t="n">
        <v>17</v>
      </c>
      <c r="AE499" t="n">
        <v>17</v>
      </c>
      <c r="AF499" t="n">
        <v>4</v>
      </c>
      <c r="AG499" t="n">
        <v>4</v>
      </c>
      <c r="AH499" t="n">
        <v>2</v>
      </c>
      <c r="AI499" t="n">
        <v>2</v>
      </c>
      <c r="AJ499" t="n">
        <v>12</v>
      </c>
      <c r="AK499" t="n">
        <v>12</v>
      </c>
      <c r="AL499" t="n">
        <v>2</v>
      </c>
      <c r="AM499" t="n">
        <v>2</v>
      </c>
      <c r="AN499" t="n">
        <v>0</v>
      </c>
      <c r="AO499" t="n">
        <v>0</v>
      </c>
      <c r="AP499" t="inlineStr">
        <is>
          <t>No</t>
        </is>
      </c>
      <c r="AQ499" t="inlineStr">
        <is>
          <t>Yes</t>
        </is>
      </c>
      <c r="AR499">
        <f>HYPERLINK("http://catalog.hathitrust.org/Record/000414250","HathiTrust Record")</f>
        <v/>
      </c>
      <c r="AS499">
        <f>HYPERLINK("https://creighton-primo.hosted.exlibrisgroup.com/primo-explore/search?tab=default_tab&amp;search_scope=EVERYTHING&amp;vid=01CRU&amp;lang=en_US&amp;offset=0&amp;query=any,contains,991000004499702656","Catalog Record")</f>
        <v/>
      </c>
      <c r="AT499">
        <f>HYPERLINK("http://www.worldcat.org/oclc/12674","WorldCat Record")</f>
        <v/>
      </c>
      <c r="AU499" t="inlineStr">
        <is>
          <t>10596907033:eng</t>
        </is>
      </c>
      <c r="AV499" t="inlineStr">
        <is>
          <t>12674</t>
        </is>
      </c>
      <c r="AW499" t="inlineStr">
        <is>
          <t>991000004499702656</t>
        </is>
      </c>
      <c r="AX499" t="inlineStr">
        <is>
          <t>991000004499702656</t>
        </is>
      </c>
      <c r="AY499" t="inlineStr">
        <is>
          <t>2264972830002656</t>
        </is>
      </c>
      <c r="AZ499" t="inlineStr">
        <is>
          <t>BOOK</t>
        </is>
      </c>
      <c r="BC499" t="inlineStr">
        <is>
          <t>32285002968021</t>
        </is>
      </c>
      <c r="BD499" t="inlineStr">
        <is>
          <t>893345296</t>
        </is>
      </c>
    </row>
    <row r="500">
      <c r="A500" t="inlineStr">
        <is>
          <t>No</t>
        </is>
      </c>
      <c r="B500" t="inlineStr">
        <is>
          <t>ND553.D774 C313 1971</t>
        </is>
      </c>
      <c r="C500" t="inlineStr">
        <is>
          <t>0                      ND 0553000D  774                C  313         1971</t>
        </is>
      </c>
      <c r="D500" t="inlineStr">
        <is>
          <t>Dialogues with Marcel Duchamp. Translated from the French by Ron Padgett.</t>
        </is>
      </c>
      <c r="F500" t="inlineStr">
        <is>
          <t>No</t>
        </is>
      </c>
      <c r="G500" t="inlineStr">
        <is>
          <t>1</t>
        </is>
      </c>
      <c r="H500" t="inlineStr">
        <is>
          <t>No</t>
        </is>
      </c>
      <c r="I500" t="inlineStr">
        <is>
          <t>No</t>
        </is>
      </c>
      <c r="J500" t="inlineStr">
        <is>
          <t>0</t>
        </is>
      </c>
      <c r="K500" t="inlineStr">
        <is>
          <t>Cabanne, Pierre.</t>
        </is>
      </c>
      <c r="L500" t="inlineStr">
        <is>
          <t>New York, Viking Press [1971]</t>
        </is>
      </c>
      <c r="M500" t="inlineStr">
        <is>
          <t>1971</t>
        </is>
      </c>
      <c r="O500" t="inlineStr">
        <is>
          <t>eng</t>
        </is>
      </c>
      <c r="P500" t="inlineStr">
        <is>
          <t>nyu</t>
        </is>
      </c>
      <c r="Q500" t="inlineStr">
        <is>
          <t>The Documents of 20th century art</t>
        </is>
      </c>
      <c r="R500" t="inlineStr">
        <is>
          <t xml:space="preserve">ND </t>
        </is>
      </c>
      <c r="S500" t="n">
        <v>2</v>
      </c>
      <c r="T500" t="n">
        <v>2</v>
      </c>
      <c r="U500" t="inlineStr">
        <is>
          <t>2005-04-17</t>
        </is>
      </c>
      <c r="V500" t="inlineStr">
        <is>
          <t>2005-04-17</t>
        </is>
      </c>
      <c r="W500" t="inlineStr">
        <is>
          <t>1997-07-29</t>
        </is>
      </c>
      <c r="X500" t="inlineStr">
        <is>
          <t>1997-07-29</t>
        </is>
      </c>
      <c r="Y500" t="n">
        <v>801</v>
      </c>
      <c r="Z500" t="n">
        <v>747</v>
      </c>
      <c r="AA500" t="n">
        <v>928</v>
      </c>
      <c r="AB500" t="n">
        <v>6</v>
      </c>
      <c r="AC500" t="n">
        <v>7</v>
      </c>
      <c r="AD500" t="n">
        <v>26</v>
      </c>
      <c r="AE500" t="n">
        <v>31</v>
      </c>
      <c r="AF500" t="n">
        <v>10</v>
      </c>
      <c r="AG500" t="n">
        <v>11</v>
      </c>
      <c r="AH500" t="n">
        <v>5</v>
      </c>
      <c r="AI500" t="n">
        <v>5</v>
      </c>
      <c r="AJ500" t="n">
        <v>12</v>
      </c>
      <c r="AK500" t="n">
        <v>16</v>
      </c>
      <c r="AL500" t="n">
        <v>3</v>
      </c>
      <c r="AM500" t="n">
        <v>4</v>
      </c>
      <c r="AN500" t="n">
        <v>0</v>
      </c>
      <c r="AO500" t="n">
        <v>0</v>
      </c>
      <c r="AP500" t="inlineStr">
        <is>
          <t>No</t>
        </is>
      </c>
      <c r="AQ500" t="inlineStr">
        <is>
          <t>Yes</t>
        </is>
      </c>
      <c r="AR500">
        <f>HYPERLINK("http://catalog.hathitrust.org/Record/007470633","HathiTrust Record")</f>
        <v/>
      </c>
      <c r="AS500">
        <f>HYPERLINK("https://creighton-primo.hosted.exlibrisgroup.com/primo-explore/search?tab=default_tab&amp;search_scope=EVERYTHING&amp;vid=01CRU&amp;lang=en_US&amp;offset=0&amp;query=any,contains,991000888579702656","Catalog Record")</f>
        <v/>
      </c>
      <c r="AT500">
        <f>HYPERLINK("http://www.worldcat.org/oclc/153498","WorldCat Record")</f>
        <v/>
      </c>
      <c r="AU500" t="inlineStr">
        <is>
          <t>1150896140:eng</t>
        </is>
      </c>
      <c r="AV500" t="inlineStr">
        <is>
          <t>153498</t>
        </is>
      </c>
      <c r="AW500" t="inlineStr">
        <is>
          <t>991000888579702656</t>
        </is>
      </c>
      <c r="AX500" t="inlineStr">
        <is>
          <t>991000888579702656</t>
        </is>
      </c>
      <c r="AY500" t="inlineStr">
        <is>
          <t>2269698600002656</t>
        </is>
      </c>
      <c r="AZ500" t="inlineStr">
        <is>
          <t>BOOK</t>
        </is>
      </c>
      <c r="BB500" t="inlineStr">
        <is>
          <t>9780670240173</t>
        </is>
      </c>
      <c r="BC500" t="inlineStr">
        <is>
          <t>32285002968039</t>
        </is>
      </c>
      <c r="BD500" t="inlineStr">
        <is>
          <t>893602142</t>
        </is>
      </c>
    </row>
    <row r="501">
      <c r="A501" t="inlineStr">
        <is>
          <t>No</t>
        </is>
      </c>
      <c r="B501" t="inlineStr">
        <is>
          <t>ND553.D774 P352 1990</t>
        </is>
      </c>
      <c r="C501" t="inlineStr">
        <is>
          <t>0                      ND 0553000D  774                P  352         1990</t>
        </is>
      </c>
      <c r="D501" t="inlineStr">
        <is>
          <t>Marcel Duchamp, appearance stripped bare / by Octavio Paz ; translated from the Spanish by Rachel Phillips and Donald Gardner.</t>
        </is>
      </c>
      <c r="F501" t="inlineStr">
        <is>
          <t>No</t>
        </is>
      </c>
      <c r="G501" t="inlineStr">
        <is>
          <t>1</t>
        </is>
      </c>
      <c r="H501" t="inlineStr">
        <is>
          <t>No</t>
        </is>
      </c>
      <c r="I501" t="inlineStr">
        <is>
          <t>No</t>
        </is>
      </c>
      <c r="J501" t="inlineStr">
        <is>
          <t>0</t>
        </is>
      </c>
      <c r="K501" t="inlineStr">
        <is>
          <t>Paz, Octavio, 1914-1998.</t>
        </is>
      </c>
      <c r="L501" t="inlineStr">
        <is>
          <t>New York : Arcade Pub., 1990.</t>
        </is>
      </c>
      <c r="M501" t="inlineStr">
        <is>
          <t>1990</t>
        </is>
      </c>
      <c r="N501" t="inlineStr">
        <is>
          <t>1st Arcade ed.</t>
        </is>
      </c>
      <c r="O501" t="inlineStr">
        <is>
          <t>eng</t>
        </is>
      </c>
      <c r="P501" t="inlineStr">
        <is>
          <t>mau</t>
        </is>
      </c>
      <c r="R501" t="inlineStr">
        <is>
          <t xml:space="preserve">ND </t>
        </is>
      </c>
      <c r="S501" t="n">
        <v>6</v>
      </c>
      <c r="T501" t="n">
        <v>6</v>
      </c>
      <c r="U501" t="inlineStr">
        <is>
          <t>2005-04-17</t>
        </is>
      </c>
      <c r="V501" t="inlineStr">
        <is>
          <t>2005-04-17</t>
        </is>
      </c>
      <c r="W501" t="inlineStr">
        <is>
          <t>1992-08-26</t>
        </is>
      </c>
      <c r="X501" t="inlineStr">
        <is>
          <t>1992-08-26</t>
        </is>
      </c>
      <c r="Y501" t="n">
        <v>134</v>
      </c>
      <c r="Z501" t="n">
        <v>100</v>
      </c>
      <c r="AA501" t="n">
        <v>675</v>
      </c>
      <c r="AB501" t="n">
        <v>1</v>
      </c>
      <c r="AC501" t="n">
        <v>5</v>
      </c>
      <c r="AD501" t="n">
        <v>4</v>
      </c>
      <c r="AE501" t="n">
        <v>23</v>
      </c>
      <c r="AF501" t="n">
        <v>3</v>
      </c>
      <c r="AG501" t="n">
        <v>10</v>
      </c>
      <c r="AH501" t="n">
        <v>1</v>
      </c>
      <c r="AI501" t="n">
        <v>5</v>
      </c>
      <c r="AJ501" t="n">
        <v>0</v>
      </c>
      <c r="AK501" t="n">
        <v>11</v>
      </c>
      <c r="AL501" t="n">
        <v>0</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HYPERLINK("https://creighton-primo.hosted.exlibrisgroup.com/primo-explore/search?tab=default_tab&amp;search_scope=EVERYTHING&amp;vid=01CRU&amp;lang=en_US&amp;offset=0&amp;query=any,contains,991001818139702656","Catalog Record")</f>
        <v/>
      </c>
      <c r="AT501">
        <f>HYPERLINK("http://www.worldcat.org/oclc/22860549","WorldCat Record")</f>
        <v/>
      </c>
      <c r="AU501" t="inlineStr">
        <is>
          <t>2070281602:eng</t>
        </is>
      </c>
      <c r="AV501" t="inlineStr">
        <is>
          <t>22860549</t>
        </is>
      </c>
      <c r="AW501" t="inlineStr">
        <is>
          <t>991001818139702656</t>
        </is>
      </c>
      <c r="AX501" t="inlineStr">
        <is>
          <t>991001818139702656</t>
        </is>
      </c>
      <c r="AY501" t="inlineStr">
        <is>
          <t>2267381830002656</t>
        </is>
      </c>
      <c r="AZ501" t="inlineStr">
        <is>
          <t>BOOK</t>
        </is>
      </c>
      <c r="BB501" t="inlineStr">
        <is>
          <t>9781559701389</t>
        </is>
      </c>
      <c r="BC501" t="inlineStr">
        <is>
          <t>32285001199370</t>
        </is>
      </c>
      <c r="BD501" t="inlineStr">
        <is>
          <t>893328398</t>
        </is>
      </c>
    </row>
    <row r="502">
      <c r="A502" t="inlineStr">
        <is>
          <t>No</t>
        </is>
      </c>
      <c r="B502" t="inlineStr">
        <is>
          <t>ND553.D774 S3 1970</t>
        </is>
      </c>
      <c r="C502" t="inlineStr">
        <is>
          <t>0                      ND 0553000D  774                S  3           1970</t>
        </is>
      </c>
      <c r="D502" t="inlineStr">
        <is>
          <t>The complete works of Marcel Duchamp.</t>
        </is>
      </c>
      <c r="F502" t="inlineStr">
        <is>
          <t>No</t>
        </is>
      </c>
      <c r="G502" t="inlineStr">
        <is>
          <t>1</t>
        </is>
      </c>
      <c r="H502" t="inlineStr">
        <is>
          <t>No</t>
        </is>
      </c>
      <c r="I502" t="inlineStr">
        <is>
          <t>No</t>
        </is>
      </c>
      <c r="J502" t="inlineStr">
        <is>
          <t>0</t>
        </is>
      </c>
      <c r="K502" t="inlineStr">
        <is>
          <t>Schwarz, Arturo, 1924-</t>
        </is>
      </c>
      <c r="L502" t="inlineStr">
        <is>
          <t>New York : H. N. Abrams, [1970]</t>
        </is>
      </c>
      <c r="M502" t="inlineStr">
        <is>
          <t>1970</t>
        </is>
      </c>
      <c r="N502" t="inlineStr">
        <is>
          <t>[2d rev. ed.]</t>
        </is>
      </c>
      <c r="O502" t="inlineStr">
        <is>
          <t>eng</t>
        </is>
      </c>
      <c r="P502" t="inlineStr">
        <is>
          <t xml:space="preserve">xx </t>
        </is>
      </c>
      <c r="R502" t="inlineStr">
        <is>
          <t xml:space="preserve">ND </t>
        </is>
      </c>
      <c r="S502" t="n">
        <v>4</v>
      </c>
      <c r="T502" t="n">
        <v>4</v>
      </c>
      <c r="U502" t="inlineStr">
        <is>
          <t>1997-02-10</t>
        </is>
      </c>
      <c r="V502" t="inlineStr">
        <is>
          <t>1997-02-10</t>
        </is>
      </c>
      <c r="W502" t="inlineStr">
        <is>
          <t>1993-12-01</t>
        </is>
      </c>
      <c r="X502" t="inlineStr">
        <is>
          <t>1993-12-01</t>
        </is>
      </c>
      <c r="Y502" t="n">
        <v>251</v>
      </c>
      <c r="Z502" t="n">
        <v>226</v>
      </c>
      <c r="AA502" t="n">
        <v>231</v>
      </c>
      <c r="AB502" t="n">
        <v>4</v>
      </c>
      <c r="AC502" t="n">
        <v>4</v>
      </c>
      <c r="AD502" t="n">
        <v>10</v>
      </c>
      <c r="AE502" t="n">
        <v>10</v>
      </c>
      <c r="AF502" t="n">
        <v>3</v>
      </c>
      <c r="AG502" t="n">
        <v>3</v>
      </c>
      <c r="AH502" t="n">
        <v>0</v>
      </c>
      <c r="AI502" t="n">
        <v>0</v>
      </c>
      <c r="AJ502" t="n">
        <v>4</v>
      </c>
      <c r="AK502" t="n">
        <v>4</v>
      </c>
      <c r="AL502" t="n">
        <v>3</v>
      </c>
      <c r="AM502" t="n">
        <v>3</v>
      </c>
      <c r="AN502" t="n">
        <v>0</v>
      </c>
      <c r="AO502" t="n">
        <v>0</v>
      </c>
      <c r="AP502" t="inlineStr">
        <is>
          <t>No</t>
        </is>
      </c>
      <c r="AQ502" t="inlineStr">
        <is>
          <t>Yes</t>
        </is>
      </c>
      <c r="AR502">
        <f>HYPERLINK("http://catalog.hathitrust.org/Record/004504429","HathiTrust Record")</f>
        <v/>
      </c>
      <c r="AS502">
        <f>HYPERLINK("https://creighton-primo.hosted.exlibrisgroup.com/primo-explore/search?tab=default_tab&amp;search_scope=EVERYTHING&amp;vid=01CRU&amp;lang=en_US&amp;offset=0&amp;query=any,contains,991002252449702656","Catalog Record")</f>
        <v/>
      </c>
      <c r="AT502">
        <f>HYPERLINK("http://www.worldcat.org/oclc/299732","WorldCat Record")</f>
        <v/>
      </c>
      <c r="AU502" t="inlineStr">
        <is>
          <t>4732362279:eng</t>
        </is>
      </c>
      <c r="AV502" t="inlineStr">
        <is>
          <t>299732</t>
        </is>
      </c>
      <c r="AW502" t="inlineStr">
        <is>
          <t>991002252449702656</t>
        </is>
      </c>
      <c r="AX502" t="inlineStr">
        <is>
          <t>991002252449702656</t>
        </is>
      </c>
      <c r="AY502" t="inlineStr">
        <is>
          <t>2264378340002656</t>
        </is>
      </c>
      <c r="AZ502" t="inlineStr">
        <is>
          <t>BOOK</t>
        </is>
      </c>
      <c r="BC502" t="inlineStr">
        <is>
          <t>32285001805141</t>
        </is>
      </c>
      <c r="BD502" t="inlineStr">
        <is>
          <t>893622071</t>
        </is>
      </c>
    </row>
    <row r="503">
      <c r="A503" t="inlineStr">
        <is>
          <t>No</t>
        </is>
      </c>
      <c r="B503" t="inlineStr">
        <is>
          <t>ND553.D774 T6</t>
        </is>
      </c>
      <c r="C503" t="inlineStr">
        <is>
          <t>0                      ND 0553000D  774                T  6</t>
        </is>
      </c>
      <c r="D503" t="inlineStr">
        <is>
          <t>The bride &amp; the bachelors : the heretical courtship in modern art.</t>
        </is>
      </c>
      <c r="F503" t="inlineStr">
        <is>
          <t>No</t>
        </is>
      </c>
      <c r="G503" t="inlineStr">
        <is>
          <t>1</t>
        </is>
      </c>
      <c r="H503" t="inlineStr">
        <is>
          <t>No</t>
        </is>
      </c>
      <c r="I503" t="inlineStr">
        <is>
          <t>No</t>
        </is>
      </c>
      <c r="J503" t="inlineStr">
        <is>
          <t>0</t>
        </is>
      </c>
      <c r="K503" t="inlineStr">
        <is>
          <t>Tomkins, Calvin, 1925-</t>
        </is>
      </c>
      <c r="L503" t="inlineStr">
        <is>
          <t>New York : Viking Press, [1965]</t>
        </is>
      </c>
      <c r="M503" t="inlineStr">
        <is>
          <t>1965</t>
        </is>
      </c>
      <c r="O503" t="inlineStr">
        <is>
          <t>eng</t>
        </is>
      </c>
      <c r="P503" t="inlineStr">
        <is>
          <t>nyu</t>
        </is>
      </c>
      <c r="R503" t="inlineStr">
        <is>
          <t xml:space="preserve">ND </t>
        </is>
      </c>
      <c r="S503" t="n">
        <v>1</v>
      </c>
      <c r="T503" t="n">
        <v>1</v>
      </c>
      <c r="U503" t="inlineStr">
        <is>
          <t>1994-12-03</t>
        </is>
      </c>
      <c r="V503" t="inlineStr">
        <is>
          <t>1994-12-03</t>
        </is>
      </c>
      <c r="W503" t="inlineStr">
        <is>
          <t>1994-04-18</t>
        </is>
      </c>
      <c r="X503" t="inlineStr">
        <is>
          <t>1994-04-18</t>
        </is>
      </c>
      <c r="Y503" t="n">
        <v>776</v>
      </c>
      <c r="Z503" t="n">
        <v>731</v>
      </c>
      <c r="AA503" t="n">
        <v>748</v>
      </c>
      <c r="AB503" t="n">
        <v>8</v>
      </c>
      <c r="AC503" t="n">
        <v>8</v>
      </c>
      <c r="AD503" t="n">
        <v>27</v>
      </c>
      <c r="AE503" t="n">
        <v>27</v>
      </c>
      <c r="AF503" t="n">
        <v>9</v>
      </c>
      <c r="AG503" t="n">
        <v>9</v>
      </c>
      <c r="AH503" t="n">
        <v>2</v>
      </c>
      <c r="AI503" t="n">
        <v>2</v>
      </c>
      <c r="AJ503" t="n">
        <v>10</v>
      </c>
      <c r="AK503" t="n">
        <v>10</v>
      </c>
      <c r="AL503" t="n">
        <v>7</v>
      </c>
      <c r="AM503" t="n">
        <v>7</v>
      </c>
      <c r="AN503" t="n">
        <v>0</v>
      </c>
      <c r="AO503" t="n">
        <v>0</v>
      </c>
      <c r="AP503" t="inlineStr">
        <is>
          <t>No</t>
        </is>
      </c>
      <c r="AQ503" t="inlineStr">
        <is>
          <t>Yes</t>
        </is>
      </c>
      <c r="AR503">
        <f>HYPERLINK("http://catalog.hathitrust.org/Record/000418271","HathiTrust Record")</f>
        <v/>
      </c>
      <c r="AS503">
        <f>HYPERLINK("https://creighton-primo.hosted.exlibrisgroup.com/primo-explore/search?tab=default_tab&amp;search_scope=EVERYTHING&amp;vid=01CRU&amp;lang=en_US&amp;offset=0&amp;query=any,contains,991002902259702656","Catalog Record")</f>
        <v/>
      </c>
      <c r="AT503">
        <f>HYPERLINK("http://www.worldcat.org/oclc/517779","WorldCat Record")</f>
        <v/>
      </c>
      <c r="AU503" t="inlineStr">
        <is>
          <t>1506116:eng</t>
        </is>
      </c>
      <c r="AV503" t="inlineStr">
        <is>
          <t>517779</t>
        </is>
      </c>
      <c r="AW503" t="inlineStr">
        <is>
          <t>991002902259702656</t>
        </is>
      </c>
      <c r="AX503" t="inlineStr">
        <is>
          <t>991002902259702656</t>
        </is>
      </c>
      <c r="AY503" t="inlineStr">
        <is>
          <t>2254924450002656</t>
        </is>
      </c>
      <c r="AZ503" t="inlineStr">
        <is>
          <t>BOOK</t>
        </is>
      </c>
      <c r="BC503" t="inlineStr">
        <is>
          <t>32285001889368</t>
        </is>
      </c>
      <c r="BD503" t="inlineStr">
        <is>
          <t>893233580</t>
        </is>
      </c>
    </row>
    <row r="504">
      <c r="A504" t="inlineStr">
        <is>
          <t>No</t>
        </is>
      </c>
      <c r="B504" t="inlineStr">
        <is>
          <t>ND553.F7 S53 1990</t>
        </is>
      </c>
      <c r="C504" t="inlineStr">
        <is>
          <t>0                      ND 0553000F  7                  S  53          1990</t>
        </is>
      </c>
      <c r="D504" t="inlineStr">
        <is>
          <t>Fragonard : art and eroticism / Mary D. Sheriff.</t>
        </is>
      </c>
      <c r="F504" t="inlineStr">
        <is>
          <t>No</t>
        </is>
      </c>
      <c r="G504" t="inlineStr">
        <is>
          <t>1</t>
        </is>
      </c>
      <c r="H504" t="inlineStr">
        <is>
          <t>No</t>
        </is>
      </c>
      <c r="I504" t="inlineStr">
        <is>
          <t>No</t>
        </is>
      </c>
      <c r="J504" t="inlineStr">
        <is>
          <t>0</t>
        </is>
      </c>
      <c r="K504" t="inlineStr">
        <is>
          <t>Sheriff, Mary D.</t>
        </is>
      </c>
      <c r="L504" t="inlineStr">
        <is>
          <t>Chicago : University of Chicago Press, 1990.</t>
        </is>
      </c>
      <c r="M504" t="inlineStr">
        <is>
          <t>1990</t>
        </is>
      </c>
      <c r="O504" t="inlineStr">
        <is>
          <t>eng</t>
        </is>
      </c>
      <c r="P504" t="inlineStr">
        <is>
          <t>ilu</t>
        </is>
      </c>
      <c r="R504" t="inlineStr">
        <is>
          <t xml:space="preserve">ND </t>
        </is>
      </c>
      <c r="S504" t="n">
        <v>6</v>
      </c>
      <c r="T504" t="n">
        <v>6</v>
      </c>
      <c r="U504" t="inlineStr">
        <is>
          <t>2003-11-29</t>
        </is>
      </c>
      <c r="V504" t="inlineStr">
        <is>
          <t>2003-11-29</t>
        </is>
      </c>
      <c r="W504" t="inlineStr">
        <is>
          <t>1995-12-11</t>
        </is>
      </c>
      <c r="X504" t="inlineStr">
        <is>
          <t>1995-12-11</t>
        </is>
      </c>
      <c r="Y504" t="n">
        <v>594</v>
      </c>
      <c r="Z504" t="n">
        <v>468</v>
      </c>
      <c r="AA504" t="n">
        <v>475</v>
      </c>
      <c r="AB504" t="n">
        <v>3</v>
      </c>
      <c r="AC504" t="n">
        <v>3</v>
      </c>
      <c r="AD504" t="n">
        <v>21</v>
      </c>
      <c r="AE504" t="n">
        <v>21</v>
      </c>
      <c r="AF504" t="n">
        <v>6</v>
      </c>
      <c r="AG504" t="n">
        <v>6</v>
      </c>
      <c r="AH504" t="n">
        <v>5</v>
      </c>
      <c r="AI504" t="n">
        <v>5</v>
      </c>
      <c r="AJ504" t="n">
        <v>11</v>
      </c>
      <c r="AK504" t="n">
        <v>11</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HYPERLINK("https://creighton-primo.hosted.exlibrisgroup.com/primo-explore/search?tab=default_tab&amp;search_scope=EVERYTHING&amp;vid=01CRU&amp;lang=en_US&amp;offset=0&amp;query=any,contains,991001454579702656","Catalog Record")</f>
        <v/>
      </c>
      <c r="AT504">
        <f>HYPERLINK("http://www.worldcat.org/oclc/19353762","WorldCat Record")</f>
        <v/>
      </c>
      <c r="AU504" t="inlineStr">
        <is>
          <t>836868220:eng</t>
        </is>
      </c>
      <c r="AV504" t="inlineStr">
        <is>
          <t>19353762</t>
        </is>
      </c>
      <c r="AW504" t="inlineStr">
        <is>
          <t>991001454579702656</t>
        </is>
      </c>
      <c r="AX504" t="inlineStr">
        <is>
          <t>991001454579702656</t>
        </is>
      </c>
      <c r="AY504" t="inlineStr">
        <is>
          <t>2269003520002656</t>
        </is>
      </c>
      <c r="AZ504" t="inlineStr">
        <is>
          <t>BOOK</t>
        </is>
      </c>
      <c r="BB504" t="inlineStr">
        <is>
          <t>9780226752730</t>
        </is>
      </c>
      <c r="BC504" t="inlineStr">
        <is>
          <t>32285002110079</t>
        </is>
      </c>
      <c r="BD504" t="inlineStr">
        <is>
          <t>893244150</t>
        </is>
      </c>
    </row>
    <row r="505">
      <c r="A505" t="inlineStr">
        <is>
          <t>No</t>
        </is>
      </c>
      <c r="B505" t="inlineStr">
        <is>
          <t>ND553.F7 T413 1967</t>
        </is>
      </c>
      <c r="C505" t="inlineStr">
        <is>
          <t>0                      ND 0553000F  7                  T  413         1967</t>
        </is>
      </c>
      <c r="D505" t="inlineStr">
        <is>
          <t>Fragonard; biographical and critical study. Translated from the French by Robert Allen.</t>
        </is>
      </c>
      <c r="F505" t="inlineStr">
        <is>
          <t>No</t>
        </is>
      </c>
      <c r="G505" t="inlineStr">
        <is>
          <t>1</t>
        </is>
      </c>
      <c r="H505" t="inlineStr">
        <is>
          <t>No</t>
        </is>
      </c>
      <c r="I505" t="inlineStr">
        <is>
          <t>Yes</t>
        </is>
      </c>
      <c r="J505" t="inlineStr">
        <is>
          <t>0</t>
        </is>
      </c>
      <c r="K505" t="inlineStr">
        <is>
          <t>Thuillier, Jacques.</t>
        </is>
      </c>
      <c r="L505" t="inlineStr">
        <is>
          <t>[Geneva] Skira [distributed in the U.S. by the World Pub. Co., Cleveland, 1967]</t>
        </is>
      </c>
      <c r="M505" t="inlineStr">
        <is>
          <t>1967</t>
        </is>
      </c>
      <c r="O505" t="inlineStr">
        <is>
          <t>eng</t>
        </is>
      </c>
      <c r="P505" t="inlineStr">
        <is>
          <t xml:space="preserve">sz </t>
        </is>
      </c>
      <c r="Q505" t="inlineStr">
        <is>
          <t>The Taste of our time [v. 46]</t>
        </is>
      </c>
      <c r="R505" t="inlineStr">
        <is>
          <t xml:space="preserve">ND </t>
        </is>
      </c>
      <c r="S505" t="n">
        <v>3</v>
      </c>
      <c r="T505" t="n">
        <v>3</v>
      </c>
      <c r="U505" t="inlineStr">
        <is>
          <t>2003-12-04</t>
        </is>
      </c>
      <c r="V505" t="inlineStr">
        <is>
          <t>2003-12-04</t>
        </is>
      </c>
      <c r="W505" t="inlineStr">
        <is>
          <t>1997-07-29</t>
        </is>
      </c>
      <c r="X505" t="inlineStr">
        <is>
          <t>1997-07-29</t>
        </is>
      </c>
      <c r="Y505" t="n">
        <v>613</v>
      </c>
      <c r="Z505" t="n">
        <v>564</v>
      </c>
      <c r="AA505" t="n">
        <v>714</v>
      </c>
      <c r="AB505" t="n">
        <v>3</v>
      </c>
      <c r="AC505" t="n">
        <v>4</v>
      </c>
      <c r="AD505" t="n">
        <v>16</v>
      </c>
      <c r="AE505" t="n">
        <v>19</v>
      </c>
      <c r="AF505" t="n">
        <v>4</v>
      </c>
      <c r="AG505" t="n">
        <v>5</v>
      </c>
      <c r="AH505" t="n">
        <v>5</v>
      </c>
      <c r="AI505" t="n">
        <v>6</v>
      </c>
      <c r="AJ505" t="n">
        <v>11</v>
      </c>
      <c r="AK505" t="n">
        <v>14</v>
      </c>
      <c r="AL505" t="n">
        <v>2</v>
      </c>
      <c r="AM505" t="n">
        <v>2</v>
      </c>
      <c r="AN505" t="n">
        <v>0</v>
      </c>
      <c r="AO505" t="n">
        <v>0</v>
      </c>
      <c r="AP505" t="inlineStr">
        <is>
          <t>No</t>
        </is>
      </c>
      <c r="AQ505" t="inlineStr">
        <is>
          <t>Yes</t>
        </is>
      </c>
      <c r="AR505">
        <f>HYPERLINK("http://catalog.hathitrust.org/Record/000414786","HathiTrust Record")</f>
        <v/>
      </c>
      <c r="AS505">
        <f>HYPERLINK("https://creighton-primo.hosted.exlibrisgroup.com/primo-explore/search?tab=default_tab&amp;search_scope=EVERYTHING&amp;vid=01CRU&amp;lang=en_US&amp;offset=0&amp;query=any,contains,991003595699702656","Catalog Record")</f>
        <v/>
      </c>
      <c r="AT505">
        <f>HYPERLINK("http://www.worldcat.org/oclc/1175643","WorldCat Record")</f>
        <v/>
      </c>
      <c r="AU505" t="inlineStr">
        <is>
          <t>4241306373:eng</t>
        </is>
      </c>
      <c r="AV505" t="inlineStr">
        <is>
          <t>1175643</t>
        </is>
      </c>
      <c r="AW505" t="inlineStr">
        <is>
          <t>991003595699702656</t>
        </is>
      </c>
      <c r="AX505" t="inlineStr">
        <is>
          <t>991003595699702656</t>
        </is>
      </c>
      <c r="AY505" t="inlineStr">
        <is>
          <t>2271932830002656</t>
        </is>
      </c>
      <c r="AZ505" t="inlineStr">
        <is>
          <t>BOOK</t>
        </is>
      </c>
      <c r="BC505" t="inlineStr">
        <is>
          <t>32285002968054</t>
        </is>
      </c>
      <c r="BD505" t="inlineStr">
        <is>
          <t>893441465</t>
        </is>
      </c>
    </row>
    <row r="506">
      <c r="A506" t="inlineStr">
        <is>
          <t>No</t>
        </is>
      </c>
      <c r="B506" t="inlineStr">
        <is>
          <t>ND553.G27 B633</t>
        </is>
      </c>
      <c r="C506" t="inlineStr">
        <is>
          <t>0                      ND 0553000G  27                 B  633</t>
        </is>
      </c>
      <c r="D506" t="inlineStr">
        <is>
          <t>Gauguin / Georges Boudaille ; translated from the French by Alisa Jaffa.</t>
        </is>
      </c>
      <c r="F506" t="inlineStr">
        <is>
          <t>No</t>
        </is>
      </c>
      <c r="G506" t="inlineStr">
        <is>
          <t>1</t>
        </is>
      </c>
      <c r="H506" t="inlineStr">
        <is>
          <t>No</t>
        </is>
      </c>
      <c r="I506" t="inlineStr">
        <is>
          <t>No</t>
        </is>
      </c>
      <c r="J506" t="inlineStr">
        <is>
          <t>0</t>
        </is>
      </c>
      <c r="K506" t="inlineStr">
        <is>
          <t>Boudaille, Georges.</t>
        </is>
      </c>
      <c r="L506" t="inlineStr">
        <is>
          <t>New York : Tudor Publishing Company, c1964.</t>
        </is>
      </c>
      <c r="M506" t="inlineStr">
        <is>
          <t>1964</t>
        </is>
      </c>
      <c r="O506" t="inlineStr">
        <is>
          <t>eng</t>
        </is>
      </c>
      <c r="P506" t="inlineStr">
        <is>
          <t>nyu</t>
        </is>
      </c>
      <c r="R506" t="inlineStr">
        <is>
          <t xml:space="preserve">ND </t>
        </is>
      </c>
      <c r="S506" t="n">
        <v>1</v>
      </c>
      <c r="T506" t="n">
        <v>1</v>
      </c>
      <c r="U506" t="inlineStr">
        <is>
          <t>1999-04-07</t>
        </is>
      </c>
      <c r="V506" t="inlineStr">
        <is>
          <t>1999-04-07</t>
        </is>
      </c>
      <c r="W506" t="inlineStr">
        <is>
          <t>1993-12-13</t>
        </is>
      </c>
      <c r="X506" t="inlineStr">
        <is>
          <t>1993-12-13</t>
        </is>
      </c>
      <c r="Y506" t="n">
        <v>82</v>
      </c>
      <c r="Z506" t="n">
        <v>76</v>
      </c>
      <c r="AA506" t="n">
        <v>389</v>
      </c>
      <c r="AB506" t="n">
        <v>1</v>
      </c>
      <c r="AC506" t="n">
        <v>5</v>
      </c>
      <c r="AD506" t="n">
        <v>0</v>
      </c>
      <c r="AE506" t="n">
        <v>14</v>
      </c>
      <c r="AF506" t="n">
        <v>0</v>
      </c>
      <c r="AG506" t="n">
        <v>5</v>
      </c>
      <c r="AH506" t="n">
        <v>0</v>
      </c>
      <c r="AI506" t="n">
        <v>2</v>
      </c>
      <c r="AJ506" t="n">
        <v>0</v>
      </c>
      <c r="AK506" t="n">
        <v>6</v>
      </c>
      <c r="AL506" t="n">
        <v>0</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HYPERLINK("https://creighton-primo.hosted.exlibrisgroup.com/primo-explore/search?tab=default_tab&amp;search_scope=EVERYTHING&amp;vid=01CRU&amp;lang=en_US&amp;offset=0&amp;query=any,contains,991001684679702656","Catalog Record")</f>
        <v/>
      </c>
      <c r="AT506">
        <f>HYPERLINK("http://www.worldcat.org/oclc/21378739","WorldCat Record")</f>
        <v/>
      </c>
      <c r="AU506" t="inlineStr">
        <is>
          <t>3855252909:eng</t>
        </is>
      </c>
      <c r="AV506" t="inlineStr">
        <is>
          <t>21378739</t>
        </is>
      </c>
      <c r="AW506" t="inlineStr">
        <is>
          <t>991001684679702656</t>
        </is>
      </c>
      <c r="AX506" t="inlineStr">
        <is>
          <t>991001684679702656</t>
        </is>
      </c>
      <c r="AY506" t="inlineStr">
        <is>
          <t>2260399530002656</t>
        </is>
      </c>
      <c r="AZ506" t="inlineStr">
        <is>
          <t>BOOK</t>
        </is>
      </c>
      <c r="BC506" t="inlineStr">
        <is>
          <t>32285001808103</t>
        </is>
      </c>
      <c r="BD506" t="inlineStr">
        <is>
          <t>893891736</t>
        </is>
      </c>
    </row>
    <row r="507">
      <c r="A507" t="inlineStr">
        <is>
          <t>No</t>
        </is>
      </c>
      <c r="B507" t="inlineStr">
        <is>
          <t>ND553.G27 E8</t>
        </is>
      </c>
      <c r="C507" t="inlineStr">
        <is>
          <t>0                      ND 0553000G  27                 E  8</t>
        </is>
      </c>
      <c r="D507" t="inlineStr">
        <is>
          <t>Gauguin : [biographical and critical studies / translated by James Emmons.</t>
        </is>
      </c>
      <c r="F507" t="inlineStr">
        <is>
          <t>No</t>
        </is>
      </c>
      <c r="G507" t="inlineStr">
        <is>
          <t>1</t>
        </is>
      </c>
      <c r="H507" t="inlineStr">
        <is>
          <t>No</t>
        </is>
      </c>
      <c r="I507" t="inlineStr">
        <is>
          <t>No</t>
        </is>
      </c>
      <c r="J507" t="inlineStr">
        <is>
          <t>0</t>
        </is>
      </c>
      <c r="K507" t="inlineStr">
        <is>
          <t>Estienne, Charles.</t>
        </is>
      </c>
      <c r="L507" t="inlineStr">
        <is>
          <t>Geneva] : Skira ; Cleveland, Ohio : World Publ., [1953]</t>
        </is>
      </c>
      <c r="M507" t="inlineStr">
        <is>
          <t>1953</t>
        </is>
      </c>
      <c r="O507" t="inlineStr">
        <is>
          <t>eng</t>
        </is>
      </c>
      <c r="P507" t="inlineStr">
        <is>
          <t xml:space="preserve">sz </t>
        </is>
      </c>
      <c r="Q507" t="inlineStr">
        <is>
          <t>The Taste of our time, v. 1</t>
        </is>
      </c>
      <c r="R507" t="inlineStr">
        <is>
          <t xml:space="preserve">ND </t>
        </is>
      </c>
      <c r="S507" t="n">
        <v>6</v>
      </c>
      <c r="T507" t="n">
        <v>6</v>
      </c>
      <c r="U507" t="inlineStr">
        <is>
          <t>1996-01-30</t>
        </is>
      </c>
      <c r="V507" t="inlineStr">
        <is>
          <t>1996-01-30</t>
        </is>
      </c>
      <c r="W507" t="inlineStr">
        <is>
          <t>1992-12-18</t>
        </is>
      </c>
      <c r="X507" t="inlineStr">
        <is>
          <t>1992-12-18</t>
        </is>
      </c>
      <c r="Y507" t="n">
        <v>864</v>
      </c>
      <c r="Z507" t="n">
        <v>773</v>
      </c>
      <c r="AA507" t="n">
        <v>777</v>
      </c>
      <c r="AB507" t="n">
        <v>6</v>
      </c>
      <c r="AC507" t="n">
        <v>6</v>
      </c>
      <c r="AD507" t="n">
        <v>22</v>
      </c>
      <c r="AE507" t="n">
        <v>22</v>
      </c>
      <c r="AF507" t="n">
        <v>11</v>
      </c>
      <c r="AG507" t="n">
        <v>11</v>
      </c>
      <c r="AH507" t="n">
        <v>5</v>
      </c>
      <c r="AI507" t="n">
        <v>5</v>
      </c>
      <c r="AJ507" t="n">
        <v>8</v>
      </c>
      <c r="AK507" t="n">
        <v>8</v>
      </c>
      <c r="AL507" t="n">
        <v>4</v>
      </c>
      <c r="AM507" t="n">
        <v>4</v>
      </c>
      <c r="AN507" t="n">
        <v>0</v>
      </c>
      <c r="AO507" t="n">
        <v>0</v>
      </c>
      <c r="AP507" t="inlineStr">
        <is>
          <t>No</t>
        </is>
      </c>
      <c r="AQ507" t="inlineStr">
        <is>
          <t>Yes</t>
        </is>
      </c>
      <c r="AR507">
        <f>HYPERLINK("http://catalog.hathitrust.org/Record/000415401","HathiTrust Record")</f>
        <v/>
      </c>
      <c r="AS507">
        <f>HYPERLINK("https://creighton-primo.hosted.exlibrisgroup.com/primo-explore/search?tab=default_tab&amp;search_scope=EVERYTHING&amp;vid=01CRU&amp;lang=en_US&amp;offset=0&amp;query=any,contains,991004291279702656","Catalog Record")</f>
        <v/>
      </c>
      <c r="AT507">
        <f>HYPERLINK("http://www.worldcat.org/oclc/2946975","WorldCat Record")</f>
        <v/>
      </c>
      <c r="AU507" t="inlineStr">
        <is>
          <t>4417426542:eng</t>
        </is>
      </c>
      <c r="AV507" t="inlineStr">
        <is>
          <t>2946975</t>
        </is>
      </c>
      <c r="AW507" t="inlineStr">
        <is>
          <t>991004291279702656</t>
        </is>
      </c>
      <c r="AX507" t="inlineStr">
        <is>
          <t>991004291279702656</t>
        </is>
      </c>
      <c r="AY507" t="inlineStr">
        <is>
          <t>2267720330002656</t>
        </is>
      </c>
      <c r="AZ507" t="inlineStr">
        <is>
          <t>BOOK</t>
        </is>
      </c>
      <c r="BC507" t="inlineStr">
        <is>
          <t>32285001444081</t>
        </is>
      </c>
      <c r="BD507" t="inlineStr">
        <is>
          <t>893349831</t>
        </is>
      </c>
    </row>
    <row r="508">
      <c r="A508" t="inlineStr">
        <is>
          <t>No</t>
        </is>
      </c>
      <c r="B508" t="inlineStr">
        <is>
          <t>ND553.G27 S96 1995</t>
        </is>
      </c>
      <c r="C508" t="inlineStr">
        <is>
          <t>0                      ND 0553000G  27                 S  96          1995</t>
        </is>
      </c>
      <c r="D508" t="inlineStr">
        <is>
          <t>Paul Gauguin : a life / David Sweetman.</t>
        </is>
      </c>
      <c r="F508" t="inlineStr">
        <is>
          <t>No</t>
        </is>
      </c>
      <c r="G508" t="inlineStr">
        <is>
          <t>1</t>
        </is>
      </c>
      <c r="H508" t="inlineStr">
        <is>
          <t>No</t>
        </is>
      </c>
      <c r="I508" t="inlineStr">
        <is>
          <t>No</t>
        </is>
      </c>
      <c r="J508" t="inlineStr">
        <is>
          <t>0</t>
        </is>
      </c>
      <c r="K508" t="inlineStr">
        <is>
          <t>Sweetman, David, 1943-</t>
        </is>
      </c>
      <c r="L508" t="inlineStr">
        <is>
          <t>New York : Simon &amp; Schuster, c1995.</t>
        </is>
      </c>
      <c r="M508" t="inlineStr">
        <is>
          <t>1995</t>
        </is>
      </c>
      <c r="O508" t="inlineStr">
        <is>
          <t>eng</t>
        </is>
      </c>
      <c r="P508" t="inlineStr">
        <is>
          <t>nyu</t>
        </is>
      </c>
      <c r="R508" t="inlineStr">
        <is>
          <t xml:space="preserve">ND </t>
        </is>
      </c>
      <c r="S508" t="n">
        <v>2</v>
      </c>
      <c r="T508" t="n">
        <v>2</v>
      </c>
      <c r="U508" t="inlineStr">
        <is>
          <t>2005-02-19</t>
        </is>
      </c>
      <c r="V508" t="inlineStr">
        <is>
          <t>2005-02-19</t>
        </is>
      </c>
      <c r="W508" t="inlineStr">
        <is>
          <t>1996-02-15</t>
        </is>
      </c>
      <c r="X508" t="inlineStr">
        <is>
          <t>1996-02-15</t>
        </is>
      </c>
      <c r="Y508" t="n">
        <v>988</v>
      </c>
      <c r="Z508" t="n">
        <v>960</v>
      </c>
      <c r="AA508" t="n">
        <v>983</v>
      </c>
      <c r="AB508" t="n">
        <v>7</v>
      </c>
      <c r="AC508" t="n">
        <v>7</v>
      </c>
      <c r="AD508" t="n">
        <v>21</v>
      </c>
      <c r="AE508" t="n">
        <v>21</v>
      </c>
      <c r="AF508" t="n">
        <v>6</v>
      </c>
      <c r="AG508" t="n">
        <v>6</v>
      </c>
      <c r="AH508" t="n">
        <v>6</v>
      </c>
      <c r="AI508" t="n">
        <v>6</v>
      </c>
      <c r="AJ508" t="n">
        <v>10</v>
      </c>
      <c r="AK508" t="n">
        <v>10</v>
      </c>
      <c r="AL508" t="n">
        <v>4</v>
      </c>
      <c r="AM508" t="n">
        <v>4</v>
      </c>
      <c r="AN508" t="n">
        <v>0</v>
      </c>
      <c r="AO508" t="n">
        <v>0</v>
      </c>
      <c r="AP508" t="inlineStr">
        <is>
          <t>No</t>
        </is>
      </c>
      <c r="AQ508" t="inlineStr">
        <is>
          <t>Yes</t>
        </is>
      </c>
      <c r="AR508">
        <f>HYPERLINK("http://catalog.hathitrust.org/Record/003055337","HathiTrust Record")</f>
        <v/>
      </c>
      <c r="AS508">
        <f>HYPERLINK("https://creighton-primo.hosted.exlibrisgroup.com/primo-explore/search?tab=default_tab&amp;search_scope=EVERYTHING&amp;vid=01CRU&amp;lang=en_US&amp;offset=0&amp;query=any,contains,991002586309702656","Catalog Record")</f>
        <v/>
      </c>
      <c r="AT508">
        <f>HYPERLINK("http://www.worldcat.org/oclc/33897713","WorldCat Record")</f>
        <v/>
      </c>
      <c r="AU508" t="inlineStr">
        <is>
          <t>4535775363:eng</t>
        </is>
      </c>
      <c r="AV508" t="inlineStr">
        <is>
          <t>33897713</t>
        </is>
      </c>
      <c r="AW508" t="inlineStr">
        <is>
          <t>991002586309702656</t>
        </is>
      </c>
      <c r="AX508" t="inlineStr">
        <is>
          <t>991002586309702656</t>
        </is>
      </c>
      <c r="AY508" t="inlineStr">
        <is>
          <t>2270953270002656</t>
        </is>
      </c>
      <c r="AZ508" t="inlineStr">
        <is>
          <t>BOOK</t>
        </is>
      </c>
      <c r="BB508" t="inlineStr">
        <is>
          <t>9780684809410</t>
        </is>
      </c>
      <c r="BC508" t="inlineStr">
        <is>
          <t>32285002135753</t>
        </is>
      </c>
      <c r="BD508" t="inlineStr">
        <is>
          <t>893616302</t>
        </is>
      </c>
    </row>
    <row r="509">
      <c r="A509" t="inlineStr">
        <is>
          <t>No</t>
        </is>
      </c>
      <c r="B509" t="inlineStr">
        <is>
          <t>ND553.G3 R6</t>
        </is>
      </c>
      <c r="C509" t="inlineStr">
        <is>
          <t>0                      ND 0553000G  3                  R  6</t>
        </is>
      </c>
      <c r="D509" t="inlineStr">
        <is>
          <t>Claude Lorrain : the paintings.</t>
        </is>
      </c>
      <c r="E509" t="inlineStr">
        <is>
          <t>V.2</t>
        </is>
      </c>
      <c r="F509" t="inlineStr">
        <is>
          <t>Yes</t>
        </is>
      </c>
      <c r="G509" t="inlineStr">
        <is>
          <t>1</t>
        </is>
      </c>
      <c r="H509" t="inlineStr">
        <is>
          <t>No</t>
        </is>
      </c>
      <c r="I509" t="inlineStr">
        <is>
          <t>No</t>
        </is>
      </c>
      <c r="J509" t="inlineStr">
        <is>
          <t>0</t>
        </is>
      </c>
      <c r="K509" t="inlineStr">
        <is>
          <t>Röthlisberger, Marcel.</t>
        </is>
      </c>
      <c r="L509" t="inlineStr">
        <is>
          <t>New Haven : Yale University Press, 1961.</t>
        </is>
      </c>
      <c r="M509" t="inlineStr">
        <is>
          <t>1961</t>
        </is>
      </c>
      <c r="O509" t="inlineStr">
        <is>
          <t>eng</t>
        </is>
      </c>
      <c r="P509" t="inlineStr">
        <is>
          <t>ctu</t>
        </is>
      </c>
      <c r="Q509" t="inlineStr">
        <is>
          <t>Yale publications in the history of art ; 13</t>
        </is>
      </c>
      <c r="R509" t="inlineStr">
        <is>
          <t xml:space="preserve">ND </t>
        </is>
      </c>
      <c r="S509" t="n">
        <v>7</v>
      </c>
      <c r="T509" t="n">
        <v>8</v>
      </c>
      <c r="U509" t="inlineStr">
        <is>
          <t>2002-11-20</t>
        </is>
      </c>
      <c r="V509" t="inlineStr">
        <is>
          <t>2002-11-20</t>
        </is>
      </c>
      <c r="W509" t="inlineStr">
        <is>
          <t>1997-09-16</t>
        </is>
      </c>
      <c r="X509" t="inlineStr">
        <is>
          <t>1997-09-16</t>
        </is>
      </c>
      <c r="Y509" t="n">
        <v>494</v>
      </c>
      <c r="Z509" t="n">
        <v>434</v>
      </c>
      <c r="AA509" t="n">
        <v>438</v>
      </c>
      <c r="AB509" t="n">
        <v>3</v>
      </c>
      <c r="AC509" t="n">
        <v>3</v>
      </c>
      <c r="AD509" t="n">
        <v>10</v>
      </c>
      <c r="AE509" t="n">
        <v>10</v>
      </c>
      <c r="AF509" t="n">
        <v>3</v>
      </c>
      <c r="AG509" t="n">
        <v>3</v>
      </c>
      <c r="AH509" t="n">
        <v>1</v>
      </c>
      <c r="AI509" t="n">
        <v>1</v>
      </c>
      <c r="AJ509" t="n">
        <v>5</v>
      </c>
      <c r="AK509" t="n">
        <v>5</v>
      </c>
      <c r="AL509" t="n">
        <v>1</v>
      </c>
      <c r="AM509" t="n">
        <v>1</v>
      </c>
      <c r="AN509" t="n">
        <v>0</v>
      </c>
      <c r="AO509" t="n">
        <v>0</v>
      </c>
      <c r="AP509" t="inlineStr">
        <is>
          <t>No</t>
        </is>
      </c>
      <c r="AQ509" t="inlineStr">
        <is>
          <t>Yes</t>
        </is>
      </c>
      <c r="AR509">
        <f>HYPERLINK("http://catalog.hathitrust.org/Record/000415541","HathiTrust Record")</f>
        <v/>
      </c>
      <c r="AS509">
        <f>HYPERLINK("https://creighton-primo.hosted.exlibrisgroup.com/primo-explore/search?tab=default_tab&amp;search_scope=EVERYTHING&amp;vid=01CRU&amp;lang=en_US&amp;offset=0&amp;query=any,contains,991002050509702656","Catalog Record")</f>
        <v/>
      </c>
      <c r="AT509">
        <f>HYPERLINK("http://www.worldcat.org/oclc/261625","WorldCat Record")</f>
        <v/>
      </c>
      <c r="AU509" t="inlineStr">
        <is>
          <t>119983872:eng</t>
        </is>
      </c>
      <c r="AV509" t="inlineStr">
        <is>
          <t>261625</t>
        </is>
      </c>
      <c r="AW509" t="inlineStr">
        <is>
          <t>991002050509702656</t>
        </is>
      </c>
      <c r="AX509" t="inlineStr">
        <is>
          <t>991002050509702656</t>
        </is>
      </c>
      <c r="AY509" t="inlineStr">
        <is>
          <t>2266702240002656</t>
        </is>
      </c>
      <c r="AZ509" t="inlineStr">
        <is>
          <t>BOOK</t>
        </is>
      </c>
      <c r="BC509" t="inlineStr">
        <is>
          <t>32285003171781</t>
        </is>
      </c>
      <c r="BD509" t="inlineStr">
        <is>
          <t>893433424</t>
        </is>
      </c>
    </row>
    <row r="510">
      <c r="A510" t="inlineStr">
        <is>
          <t>No</t>
        </is>
      </c>
      <c r="B510" t="inlineStr">
        <is>
          <t>ND553.G3 R6</t>
        </is>
      </c>
      <c r="C510" t="inlineStr">
        <is>
          <t>0                      ND 0553000G  3                  R  6</t>
        </is>
      </c>
      <c r="D510" t="inlineStr">
        <is>
          <t>Claude Lorrain : the paintings.</t>
        </is>
      </c>
      <c r="E510" t="inlineStr">
        <is>
          <t>V.1</t>
        </is>
      </c>
      <c r="F510" t="inlineStr">
        <is>
          <t>Yes</t>
        </is>
      </c>
      <c r="G510" t="inlineStr">
        <is>
          <t>1</t>
        </is>
      </c>
      <c r="H510" t="inlineStr">
        <is>
          <t>No</t>
        </is>
      </c>
      <c r="I510" t="inlineStr">
        <is>
          <t>No</t>
        </is>
      </c>
      <c r="J510" t="inlineStr">
        <is>
          <t>0</t>
        </is>
      </c>
      <c r="K510" t="inlineStr">
        <is>
          <t>Röthlisberger, Marcel.</t>
        </is>
      </c>
      <c r="L510" t="inlineStr">
        <is>
          <t>New Haven : Yale University Press, 1961.</t>
        </is>
      </c>
      <c r="M510" t="inlineStr">
        <is>
          <t>1961</t>
        </is>
      </c>
      <c r="O510" t="inlineStr">
        <is>
          <t>eng</t>
        </is>
      </c>
      <c r="P510" t="inlineStr">
        <is>
          <t>ctu</t>
        </is>
      </c>
      <c r="Q510" t="inlineStr">
        <is>
          <t>Yale publications in the history of art ; 13</t>
        </is>
      </c>
      <c r="R510" t="inlineStr">
        <is>
          <t xml:space="preserve">ND </t>
        </is>
      </c>
      <c r="S510" t="n">
        <v>1</v>
      </c>
      <c r="T510" t="n">
        <v>8</v>
      </c>
      <c r="U510" t="inlineStr">
        <is>
          <t>2000-11-26</t>
        </is>
      </c>
      <c r="V510" t="inlineStr">
        <is>
          <t>2002-11-20</t>
        </is>
      </c>
      <c r="W510" t="inlineStr">
        <is>
          <t>1994-12-08</t>
        </is>
      </c>
      <c r="X510" t="inlineStr">
        <is>
          <t>1997-09-16</t>
        </is>
      </c>
      <c r="Y510" t="n">
        <v>494</v>
      </c>
      <c r="Z510" t="n">
        <v>434</v>
      </c>
      <c r="AA510" t="n">
        <v>438</v>
      </c>
      <c r="AB510" t="n">
        <v>3</v>
      </c>
      <c r="AC510" t="n">
        <v>3</v>
      </c>
      <c r="AD510" t="n">
        <v>10</v>
      </c>
      <c r="AE510" t="n">
        <v>10</v>
      </c>
      <c r="AF510" t="n">
        <v>3</v>
      </c>
      <c r="AG510" t="n">
        <v>3</v>
      </c>
      <c r="AH510" t="n">
        <v>1</v>
      </c>
      <c r="AI510" t="n">
        <v>1</v>
      </c>
      <c r="AJ510" t="n">
        <v>5</v>
      </c>
      <c r="AK510" t="n">
        <v>5</v>
      </c>
      <c r="AL510" t="n">
        <v>1</v>
      </c>
      <c r="AM510" t="n">
        <v>1</v>
      </c>
      <c r="AN510" t="n">
        <v>0</v>
      </c>
      <c r="AO510" t="n">
        <v>0</v>
      </c>
      <c r="AP510" t="inlineStr">
        <is>
          <t>No</t>
        </is>
      </c>
      <c r="AQ510" t="inlineStr">
        <is>
          <t>Yes</t>
        </is>
      </c>
      <c r="AR510">
        <f>HYPERLINK("http://catalog.hathitrust.org/Record/000415541","HathiTrust Record")</f>
        <v/>
      </c>
      <c r="AS510">
        <f>HYPERLINK("https://creighton-primo.hosted.exlibrisgroup.com/primo-explore/search?tab=default_tab&amp;search_scope=EVERYTHING&amp;vid=01CRU&amp;lang=en_US&amp;offset=0&amp;query=any,contains,991002050509702656","Catalog Record")</f>
        <v/>
      </c>
      <c r="AT510">
        <f>HYPERLINK("http://www.worldcat.org/oclc/261625","WorldCat Record")</f>
        <v/>
      </c>
      <c r="AU510" t="inlineStr">
        <is>
          <t>119983872:eng</t>
        </is>
      </c>
      <c r="AV510" t="inlineStr">
        <is>
          <t>261625</t>
        </is>
      </c>
      <c r="AW510" t="inlineStr">
        <is>
          <t>991002050509702656</t>
        </is>
      </c>
      <c r="AX510" t="inlineStr">
        <is>
          <t>991002050509702656</t>
        </is>
      </c>
      <c r="AY510" t="inlineStr">
        <is>
          <t>2266702240002656</t>
        </is>
      </c>
      <c r="AZ510" t="inlineStr">
        <is>
          <t>BOOK</t>
        </is>
      </c>
      <c r="BC510" t="inlineStr">
        <is>
          <t>32285001980878</t>
        </is>
      </c>
      <c r="BD510" t="inlineStr">
        <is>
          <t>893408632</t>
        </is>
      </c>
    </row>
    <row r="511">
      <c r="A511" t="inlineStr">
        <is>
          <t>No</t>
        </is>
      </c>
      <c r="B511" t="inlineStr">
        <is>
          <t>ND553.G45 E317 1983</t>
        </is>
      </c>
      <c r="C511" t="inlineStr">
        <is>
          <t>0                      ND 0553000G  45                 E  317         1983</t>
        </is>
      </c>
      <c r="D511" t="inlineStr">
        <is>
          <t>Géricault, his life and work / Lorenz E.A. Eitner.</t>
        </is>
      </c>
      <c r="F511" t="inlineStr">
        <is>
          <t>No</t>
        </is>
      </c>
      <c r="G511" t="inlineStr">
        <is>
          <t>1</t>
        </is>
      </c>
      <c r="H511" t="inlineStr">
        <is>
          <t>No</t>
        </is>
      </c>
      <c r="I511" t="inlineStr">
        <is>
          <t>No</t>
        </is>
      </c>
      <c r="J511" t="inlineStr">
        <is>
          <t>0</t>
        </is>
      </c>
      <c r="K511" t="inlineStr">
        <is>
          <t>Eitner, Lorenz.</t>
        </is>
      </c>
      <c r="L511" t="inlineStr">
        <is>
          <t>London : Orbis Pub., c1983.</t>
        </is>
      </c>
      <c r="M511" t="inlineStr">
        <is>
          <t>1983</t>
        </is>
      </c>
      <c r="O511" t="inlineStr">
        <is>
          <t>eng</t>
        </is>
      </c>
      <c r="P511" t="inlineStr">
        <is>
          <t>enk</t>
        </is>
      </c>
      <c r="R511" t="inlineStr">
        <is>
          <t xml:space="preserve">ND </t>
        </is>
      </c>
      <c r="S511" t="n">
        <v>5</v>
      </c>
      <c r="T511" t="n">
        <v>5</v>
      </c>
      <c r="U511" t="inlineStr">
        <is>
          <t>1999-03-23</t>
        </is>
      </c>
      <c r="V511" t="inlineStr">
        <is>
          <t>1999-03-23</t>
        </is>
      </c>
      <c r="W511" t="inlineStr">
        <is>
          <t>1991-12-09</t>
        </is>
      </c>
      <c r="X511" t="inlineStr">
        <is>
          <t>1991-12-09</t>
        </is>
      </c>
      <c r="Y511" t="n">
        <v>807</v>
      </c>
      <c r="Z511" t="n">
        <v>643</v>
      </c>
      <c r="AA511" t="n">
        <v>647</v>
      </c>
      <c r="AB511" t="n">
        <v>3</v>
      </c>
      <c r="AC511" t="n">
        <v>3</v>
      </c>
      <c r="AD511" t="n">
        <v>31</v>
      </c>
      <c r="AE511" t="n">
        <v>31</v>
      </c>
      <c r="AF511" t="n">
        <v>15</v>
      </c>
      <c r="AG511" t="n">
        <v>15</v>
      </c>
      <c r="AH511" t="n">
        <v>8</v>
      </c>
      <c r="AI511" t="n">
        <v>8</v>
      </c>
      <c r="AJ511" t="n">
        <v>18</v>
      </c>
      <c r="AK511" t="n">
        <v>18</v>
      </c>
      <c r="AL511" t="n">
        <v>1</v>
      </c>
      <c r="AM511" t="n">
        <v>1</v>
      </c>
      <c r="AN511" t="n">
        <v>0</v>
      </c>
      <c r="AO511" t="n">
        <v>0</v>
      </c>
      <c r="AP511" t="inlineStr">
        <is>
          <t>No</t>
        </is>
      </c>
      <c r="AQ511" t="inlineStr">
        <is>
          <t>Yes</t>
        </is>
      </c>
      <c r="AR511">
        <f>HYPERLINK("http://catalog.hathitrust.org/Record/000194404","HathiTrust Record")</f>
        <v/>
      </c>
      <c r="AS511">
        <f>HYPERLINK("https://creighton-primo.hosted.exlibrisgroup.com/primo-explore/search?tab=default_tab&amp;search_scope=EVERYTHING&amp;vid=01CRU&amp;lang=en_US&amp;offset=0&amp;query=any,contains,991000181239702656","Catalog Record")</f>
        <v/>
      </c>
      <c r="AT511">
        <f>HYPERLINK("http://www.worldcat.org/oclc/9382710","WorldCat Record")</f>
        <v/>
      </c>
      <c r="AU511" t="inlineStr">
        <is>
          <t>42942931:eng</t>
        </is>
      </c>
      <c r="AV511" t="inlineStr">
        <is>
          <t>9382710</t>
        </is>
      </c>
      <c r="AW511" t="inlineStr">
        <is>
          <t>991000181239702656</t>
        </is>
      </c>
      <c r="AX511" t="inlineStr">
        <is>
          <t>991000181239702656</t>
        </is>
      </c>
      <c r="AY511" t="inlineStr">
        <is>
          <t>2265457060002656</t>
        </is>
      </c>
      <c r="AZ511" t="inlineStr">
        <is>
          <t>BOOK</t>
        </is>
      </c>
      <c r="BB511" t="inlineStr">
        <is>
          <t>9780801414688</t>
        </is>
      </c>
      <c r="BC511" t="inlineStr">
        <is>
          <t>32285000885433</t>
        </is>
      </c>
      <c r="BD511" t="inlineStr">
        <is>
          <t>893877874</t>
        </is>
      </c>
    </row>
    <row r="512">
      <c r="A512" t="inlineStr">
        <is>
          <t>No</t>
        </is>
      </c>
      <c r="B512" t="inlineStr">
        <is>
          <t>ND553.I5 P513</t>
        </is>
      </c>
      <c r="C512" t="inlineStr">
        <is>
          <t>0                      ND 0553000I  5                  P  513</t>
        </is>
      </c>
      <c r="D512" t="inlineStr">
        <is>
          <t>Ingres; biographical and critical study. Translated from the French by Stuart Gilbert.</t>
        </is>
      </c>
      <c r="F512" t="inlineStr">
        <is>
          <t>No</t>
        </is>
      </c>
      <c r="G512" t="inlineStr">
        <is>
          <t>1</t>
        </is>
      </c>
      <c r="H512" t="inlineStr">
        <is>
          <t>No</t>
        </is>
      </c>
      <c r="I512" t="inlineStr">
        <is>
          <t>No</t>
        </is>
      </c>
      <c r="J512" t="inlineStr">
        <is>
          <t>0</t>
        </is>
      </c>
      <c r="K512" t="inlineStr">
        <is>
          <t>Picon, Gaëtan.</t>
        </is>
      </c>
      <c r="L512" t="inlineStr">
        <is>
          <t>[Geneva] Skira [1967]</t>
        </is>
      </c>
      <c r="M512" t="inlineStr">
        <is>
          <t>1967</t>
        </is>
      </c>
      <c r="O512" t="inlineStr">
        <is>
          <t>eng</t>
        </is>
      </c>
      <c r="P512" t="inlineStr">
        <is>
          <t xml:space="preserve">sz </t>
        </is>
      </c>
      <c r="Q512" t="inlineStr">
        <is>
          <t>The taste of our time, v. 47</t>
        </is>
      </c>
      <c r="R512" t="inlineStr">
        <is>
          <t xml:space="preserve">ND </t>
        </is>
      </c>
      <c r="S512" t="n">
        <v>2</v>
      </c>
      <c r="T512" t="n">
        <v>2</v>
      </c>
      <c r="U512" t="inlineStr">
        <is>
          <t>2001-01-18</t>
        </is>
      </c>
      <c r="V512" t="inlineStr">
        <is>
          <t>2001-01-18</t>
        </is>
      </c>
      <c r="W512" t="inlineStr">
        <is>
          <t>1997-07-29</t>
        </is>
      </c>
      <c r="X512" t="inlineStr">
        <is>
          <t>1997-07-29</t>
        </is>
      </c>
      <c r="Y512" t="n">
        <v>551</v>
      </c>
      <c r="Z512" t="n">
        <v>513</v>
      </c>
      <c r="AA512" t="n">
        <v>520</v>
      </c>
      <c r="AB512" t="n">
        <v>4</v>
      </c>
      <c r="AC512" t="n">
        <v>4</v>
      </c>
      <c r="AD512" t="n">
        <v>17</v>
      </c>
      <c r="AE512" t="n">
        <v>17</v>
      </c>
      <c r="AF512" t="n">
        <v>7</v>
      </c>
      <c r="AG512" t="n">
        <v>7</v>
      </c>
      <c r="AH512" t="n">
        <v>3</v>
      </c>
      <c r="AI512" t="n">
        <v>3</v>
      </c>
      <c r="AJ512" t="n">
        <v>10</v>
      </c>
      <c r="AK512" t="n">
        <v>10</v>
      </c>
      <c r="AL512" t="n">
        <v>3</v>
      </c>
      <c r="AM512" t="n">
        <v>3</v>
      </c>
      <c r="AN512" t="n">
        <v>0</v>
      </c>
      <c r="AO512" t="n">
        <v>0</v>
      </c>
      <c r="AP512" t="inlineStr">
        <is>
          <t>No</t>
        </is>
      </c>
      <c r="AQ512" t="inlineStr">
        <is>
          <t>Yes</t>
        </is>
      </c>
      <c r="AR512">
        <f>HYPERLINK("http://catalog.hathitrust.org/Record/000415797","HathiTrust Record")</f>
        <v/>
      </c>
      <c r="AS512">
        <f>HYPERLINK("https://creighton-primo.hosted.exlibrisgroup.com/primo-explore/search?tab=default_tab&amp;search_scope=EVERYTHING&amp;vid=01CRU&amp;lang=en_US&amp;offset=0&amp;query=any,contains,991003968389702656","Catalog Record")</f>
        <v/>
      </c>
      <c r="AT512">
        <f>HYPERLINK("http://www.worldcat.org/oclc/1990888","WorldCat Record")</f>
        <v/>
      </c>
      <c r="AU512" t="inlineStr">
        <is>
          <t>8907484291:eng</t>
        </is>
      </c>
      <c r="AV512" t="inlineStr">
        <is>
          <t>1990888</t>
        </is>
      </c>
      <c r="AW512" t="inlineStr">
        <is>
          <t>991003968389702656</t>
        </is>
      </c>
      <c r="AX512" t="inlineStr">
        <is>
          <t>991003968389702656</t>
        </is>
      </c>
      <c r="AY512" t="inlineStr">
        <is>
          <t>2262024440002656</t>
        </is>
      </c>
      <c r="AZ512" t="inlineStr">
        <is>
          <t>BOOK</t>
        </is>
      </c>
      <c r="BC512" t="inlineStr">
        <is>
          <t>32285004286554</t>
        </is>
      </c>
      <c r="BD512" t="inlineStr">
        <is>
          <t>893794327</t>
        </is>
      </c>
    </row>
    <row r="513">
      <c r="A513" t="inlineStr">
        <is>
          <t>No</t>
        </is>
      </c>
      <c r="B513" t="inlineStr">
        <is>
          <t>ND553.I5 R63</t>
        </is>
      </c>
      <c r="C513" t="inlineStr">
        <is>
          <t>0                      ND 0553000I  5                  R  63</t>
        </is>
      </c>
      <c r="D513" t="inlineStr">
        <is>
          <t>Jean-Auguste-Dominique Ingres. Text by Robert Rosenblum.</t>
        </is>
      </c>
      <c r="F513" t="inlineStr">
        <is>
          <t>No</t>
        </is>
      </c>
      <c r="G513" t="inlineStr">
        <is>
          <t>1</t>
        </is>
      </c>
      <c r="H513" t="inlineStr">
        <is>
          <t>No</t>
        </is>
      </c>
      <c r="I513" t="inlineStr">
        <is>
          <t>Yes</t>
        </is>
      </c>
      <c r="J513" t="inlineStr">
        <is>
          <t>0</t>
        </is>
      </c>
      <c r="K513" t="inlineStr">
        <is>
          <t>Ingres, Jean-Auguste-Dominique, 1780-1867.</t>
        </is>
      </c>
      <c r="L513" t="inlineStr">
        <is>
          <t>New York, H. N. Abrams [1967]</t>
        </is>
      </c>
      <c r="M513" t="inlineStr">
        <is>
          <t>1967</t>
        </is>
      </c>
      <c r="O513" t="inlineStr">
        <is>
          <t>eng</t>
        </is>
      </c>
      <c r="P513" t="inlineStr">
        <is>
          <t>nyu</t>
        </is>
      </c>
      <c r="Q513" t="inlineStr">
        <is>
          <t>The Library of great painters</t>
        </is>
      </c>
      <c r="R513" t="inlineStr">
        <is>
          <t xml:space="preserve">ND </t>
        </is>
      </c>
      <c r="S513" t="n">
        <v>4</v>
      </c>
      <c r="T513" t="n">
        <v>4</v>
      </c>
      <c r="U513" t="inlineStr">
        <is>
          <t>1995-02-20</t>
        </is>
      </c>
      <c r="V513" t="inlineStr">
        <is>
          <t>1995-02-20</t>
        </is>
      </c>
      <c r="W513" t="inlineStr">
        <is>
          <t>1993-09-02</t>
        </is>
      </c>
      <c r="X513" t="inlineStr">
        <is>
          <t>1993-09-02</t>
        </is>
      </c>
      <c r="Y513" t="n">
        <v>808</v>
      </c>
      <c r="Z513" t="n">
        <v>748</v>
      </c>
      <c r="AA513" t="n">
        <v>1182</v>
      </c>
      <c r="AB513" t="n">
        <v>6</v>
      </c>
      <c r="AC513" t="n">
        <v>8</v>
      </c>
      <c r="AD513" t="n">
        <v>29</v>
      </c>
      <c r="AE513" t="n">
        <v>39</v>
      </c>
      <c r="AF513" t="n">
        <v>9</v>
      </c>
      <c r="AG513" t="n">
        <v>13</v>
      </c>
      <c r="AH513" t="n">
        <v>8</v>
      </c>
      <c r="AI513" t="n">
        <v>9</v>
      </c>
      <c r="AJ513" t="n">
        <v>14</v>
      </c>
      <c r="AK513" t="n">
        <v>21</v>
      </c>
      <c r="AL513" t="n">
        <v>4</v>
      </c>
      <c r="AM513" t="n">
        <v>5</v>
      </c>
      <c r="AN513" t="n">
        <v>0</v>
      </c>
      <c r="AO513" t="n">
        <v>0</v>
      </c>
      <c r="AP513" t="inlineStr">
        <is>
          <t>No</t>
        </is>
      </c>
      <c r="AQ513" t="inlineStr">
        <is>
          <t>Yes</t>
        </is>
      </c>
      <c r="AR513">
        <f>HYPERLINK("http://catalog.hathitrust.org/Record/000148075","HathiTrust Record")</f>
        <v/>
      </c>
      <c r="AS513">
        <f>HYPERLINK("https://creighton-primo.hosted.exlibrisgroup.com/primo-explore/search?tab=default_tab&amp;search_scope=EVERYTHING&amp;vid=01CRU&amp;lang=en_US&amp;offset=0&amp;query=any,contains,991002902899702656","Catalog Record")</f>
        <v/>
      </c>
      <c r="AT513">
        <f>HYPERLINK("http://www.worldcat.org/oclc/518102","WorldCat Record")</f>
        <v/>
      </c>
      <c r="AU513" t="inlineStr">
        <is>
          <t>3856226806:eng</t>
        </is>
      </c>
      <c r="AV513" t="inlineStr">
        <is>
          <t>518102</t>
        </is>
      </c>
      <c r="AW513" t="inlineStr">
        <is>
          <t>991002902899702656</t>
        </is>
      </c>
      <c r="AX513" t="inlineStr">
        <is>
          <t>991002902899702656</t>
        </is>
      </c>
      <c r="AY513" t="inlineStr">
        <is>
          <t>2255760630002656</t>
        </is>
      </c>
      <c r="AZ513" t="inlineStr">
        <is>
          <t>BOOK</t>
        </is>
      </c>
      <c r="BC513" t="inlineStr">
        <is>
          <t>32285001415115</t>
        </is>
      </c>
      <c r="BD513" t="inlineStr">
        <is>
          <t>893886883</t>
        </is>
      </c>
    </row>
    <row r="514">
      <c r="A514" t="inlineStr">
        <is>
          <t>No</t>
        </is>
      </c>
      <c r="B514" t="inlineStr">
        <is>
          <t>ND553.I5 R63 1990</t>
        </is>
      </c>
      <c r="C514" t="inlineStr">
        <is>
          <t>0                      ND 0553000I  5                  R  63          1990</t>
        </is>
      </c>
      <c r="D514" t="inlineStr">
        <is>
          <t>Jean-Auguste-Dominique Ingres / text by Robert Rosenblum.</t>
        </is>
      </c>
      <c r="F514" t="inlineStr">
        <is>
          <t>No</t>
        </is>
      </c>
      <c r="G514" t="inlineStr">
        <is>
          <t>1</t>
        </is>
      </c>
      <c r="H514" t="inlineStr">
        <is>
          <t>No</t>
        </is>
      </c>
      <c r="I514" t="inlineStr">
        <is>
          <t>Yes</t>
        </is>
      </c>
      <c r="J514" t="inlineStr">
        <is>
          <t>0</t>
        </is>
      </c>
      <c r="K514" t="inlineStr">
        <is>
          <t>Rosenblum, Robert.</t>
        </is>
      </c>
      <c r="L514" t="inlineStr">
        <is>
          <t>New York : H.N. Abrams, 1990.</t>
        </is>
      </c>
      <c r="M514" t="inlineStr">
        <is>
          <t>1990</t>
        </is>
      </c>
      <c r="O514" t="inlineStr">
        <is>
          <t>eng</t>
        </is>
      </c>
      <c r="P514" t="inlineStr">
        <is>
          <t>nyu</t>
        </is>
      </c>
      <c r="Q514" t="inlineStr">
        <is>
          <t>Masters of art</t>
        </is>
      </c>
      <c r="R514" t="inlineStr">
        <is>
          <t xml:space="preserve">ND </t>
        </is>
      </c>
      <c r="S514" t="n">
        <v>5</v>
      </c>
      <c r="T514" t="n">
        <v>5</v>
      </c>
      <c r="U514" t="inlineStr">
        <is>
          <t>2002-05-28</t>
        </is>
      </c>
      <c r="V514" t="inlineStr">
        <is>
          <t>2002-05-28</t>
        </is>
      </c>
      <c r="W514" t="inlineStr">
        <is>
          <t>1991-04-09</t>
        </is>
      </c>
      <c r="X514" t="inlineStr">
        <is>
          <t>1991-04-09</t>
        </is>
      </c>
      <c r="Y514" t="n">
        <v>327</v>
      </c>
      <c r="Z514" t="n">
        <v>302</v>
      </c>
      <c r="AA514" t="n">
        <v>1182</v>
      </c>
      <c r="AB514" t="n">
        <v>2</v>
      </c>
      <c r="AC514" t="n">
        <v>8</v>
      </c>
      <c r="AD514" t="n">
        <v>7</v>
      </c>
      <c r="AE514" t="n">
        <v>39</v>
      </c>
      <c r="AF514" t="n">
        <v>1</v>
      </c>
      <c r="AG514" t="n">
        <v>13</v>
      </c>
      <c r="AH514" t="n">
        <v>2</v>
      </c>
      <c r="AI514" t="n">
        <v>9</v>
      </c>
      <c r="AJ514" t="n">
        <v>5</v>
      </c>
      <c r="AK514" t="n">
        <v>21</v>
      </c>
      <c r="AL514" t="n">
        <v>1</v>
      </c>
      <c r="AM514" t="n">
        <v>5</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HYPERLINK("https://creighton-primo.hosted.exlibrisgroup.com/primo-explore/search?tab=default_tab&amp;search_scope=EVERYTHING&amp;vid=01CRU&amp;lang=en_US&amp;offset=0&amp;query=any,contains,991001665459702656","Catalog Record")</f>
        <v/>
      </c>
      <c r="AT514">
        <f>HYPERLINK("http://www.worldcat.org/oclc/21226088","WorldCat Record")</f>
        <v/>
      </c>
      <c r="AU514" t="inlineStr">
        <is>
          <t>3856226806:eng</t>
        </is>
      </c>
      <c r="AV514" t="inlineStr">
        <is>
          <t>21226088</t>
        </is>
      </c>
      <c r="AW514" t="inlineStr">
        <is>
          <t>991001665459702656</t>
        </is>
      </c>
      <c r="AX514" t="inlineStr">
        <is>
          <t>991001665459702656</t>
        </is>
      </c>
      <c r="AY514" t="inlineStr">
        <is>
          <t>2268818290002656</t>
        </is>
      </c>
      <c r="AZ514" t="inlineStr">
        <is>
          <t>BOOK</t>
        </is>
      </c>
      <c r="BB514" t="inlineStr">
        <is>
          <t>9780810934511</t>
        </is>
      </c>
      <c r="BC514" t="inlineStr">
        <is>
          <t>32285000566819</t>
        </is>
      </c>
      <c r="BD514" t="inlineStr">
        <is>
          <t>893778969</t>
        </is>
      </c>
    </row>
    <row r="515">
      <c r="A515" t="inlineStr">
        <is>
          <t>No</t>
        </is>
      </c>
      <c r="B515" t="inlineStr">
        <is>
          <t>ND553.L38 L3</t>
        </is>
      </c>
      <c r="C515" t="inlineStr">
        <is>
          <t>0                      ND 0553000L  38                 L  3</t>
        </is>
      </c>
      <c r="D515" t="inlineStr">
        <is>
          <t>Lautrec. Biographical and critical studies. Translated by Stuart Gilbert.</t>
        </is>
      </c>
      <c r="F515" t="inlineStr">
        <is>
          <t>No</t>
        </is>
      </c>
      <c r="G515" t="inlineStr">
        <is>
          <t>1</t>
        </is>
      </c>
      <c r="H515" t="inlineStr">
        <is>
          <t>No</t>
        </is>
      </c>
      <c r="I515" t="inlineStr">
        <is>
          <t>No</t>
        </is>
      </c>
      <c r="J515" t="inlineStr">
        <is>
          <t>0</t>
        </is>
      </c>
      <c r="K515" t="inlineStr">
        <is>
          <t>Lassaigne, Jacques, 1911-1983.</t>
        </is>
      </c>
      <c r="L515" t="inlineStr">
        <is>
          <t>Geneva] Skira [1953]</t>
        </is>
      </c>
      <c r="M515" t="inlineStr">
        <is>
          <t>1953</t>
        </is>
      </c>
      <c r="O515" t="inlineStr">
        <is>
          <t>eng</t>
        </is>
      </c>
      <c r="P515" t="inlineStr">
        <is>
          <t xml:space="preserve">sz </t>
        </is>
      </c>
      <c r="Q515" t="inlineStr">
        <is>
          <t>The Taste of our time, v. 3</t>
        </is>
      </c>
      <c r="R515" t="inlineStr">
        <is>
          <t xml:space="preserve">ND </t>
        </is>
      </c>
      <c r="S515" t="n">
        <v>4</v>
      </c>
      <c r="T515" t="n">
        <v>4</v>
      </c>
      <c r="U515" t="inlineStr">
        <is>
          <t>1999-03-24</t>
        </is>
      </c>
      <c r="V515" t="inlineStr">
        <is>
          <t>1999-03-24</t>
        </is>
      </c>
      <c r="W515" t="inlineStr">
        <is>
          <t>1997-07-29</t>
        </is>
      </c>
      <c r="X515" t="inlineStr">
        <is>
          <t>1997-07-29</t>
        </is>
      </c>
      <c r="Y515" t="n">
        <v>845</v>
      </c>
      <c r="Z515" t="n">
        <v>761</v>
      </c>
      <c r="AA515" t="n">
        <v>832</v>
      </c>
      <c r="AB515" t="n">
        <v>7</v>
      </c>
      <c r="AC515" t="n">
        <v>7</v>
      </c>
      <c r="AD515" t="n">
        <v>29</v>
      </c>
      <c r="AE515" t="n">
        <v>30</v>
      </c>
      <c r="AF515" t="n">
        <v>10</v>
      </c>
      <c r="AG515" t="n">
        <v>10</v>
      </c>
      <c r="AH515" t="n">
        <v>6</v>
      </c>
      <c r="AI515" t="n">
        <v>6</v>
      </c>
      <c r="AJ515" t="n">
        <v>13</v>
      </c>
      <c r="AK515" t="n">
        <v>14</v>
      </c>
      <c r="AL515" t="n">
        <v>5</v>
      </c>
      <c r="AM515" t="n">
        <v>5</v>
      </c>
      <c r="AN515" t="n">
        <v>0</v>
      </c>
      <c r="AO515" t="n">
        <v>0</v>
      </c>
      <c r="AP515" t="inlineStr">
        <is>
          <t>No</t>
        </is>
      </c>
      <c r="AQ515" t="inlineStr">
        <is>
          <t>Yes</t>
        </is>
      </c>
      <c r="AR515">
        <f>HYPERLINK("http://catalog.hathitrust.org/Record/009511374","HathiTrust Record")</f>
        <v/>
      </c>
      <c r="AS515">
        <f>HYPERLINK("https://creighton-primo.hosted.exlibrisgroup.com/primo-explore/search?tab=default_tab&amp;search_scope=EVERYTHING&amp;vid=01CRU&amp;lang=en_US&amp;offset=0&amp;query=any,contains,991002903789702656","Catalog Record")</f>
        <v/>
      </c>
      <c r="AT515">
        <f>HYPERLINK("http://www.worldcat.org/oclc/518509","WorldCat Record")</f>
        <v/>
      </c>
      <c r="AU515" t="inlineStr">
        <is>
          <t>2643479667:eng</t>
        </is>
      </c>
      <c r="AV515" t="inlineStr">
        <is>
          <t>518509</t>
        </is>
      </c>
      <c r="AW515" t="inlineStr">
        <is>
          <t>991002903789702656</t>
        </is>
      </c>
      <c r="AX515" t="inlineStr">
        <is>
          <t>991002903789702656</t>
        </is>
      </c>
      <c r="AY515" t="inlineStr">
        <is>
          <t>2255799180002656</t>
        </is>
      </c>
      <c r="AZ515" t="inlineStr">
        <is>
          <t>BOOK</t>
        </is>
      </c>
      <c r="BC515" t="inlineStr">
        <is>
          <t>32285002968146</t>
        </is>
      </c>
      <c r="BD515" t="inlineStr">
        <is>
          <t>893774167</t>
        </is>
      </c>
    </row>
    <row r="516">
      <c r="A516" t="inlineStr">
        <is>
          <t>No</t>
        </is>
      </c>
      <c r="B516" t="inlineStr">
        <is>
          <t>ND553.L58 A4 1998</t>
        </is>
      </c>
      <c r="C516" t="inlineStr">
        <is>
          <t>0                      ND 0553000L  58                 A  4           1998</t>
        </is>
      </c>
      <c r="D516" t="inlineStr">
        <is>
          <t>Fernand Léger / [exhibition organized by] Carolyn Lanchner ; with essays by Carolyn Lanchner, Jodi Hauptman and Matthew Affron ; and contributions by Beth Handler and Kristen Erickson.</t>
        </is>
      </c>
      <c r="F516" t="inlineStr">
        <is>
          <t>No</t>
        </is>
      </c>
      <c r="G516" t="inlineStr">
        <is>
          <t>1</t>
        </is>
      </c>
      <c r="H516" t="inlineStr">
        <is>
          <t>No</t>
        </is>
      </c>
      <c r="I516" t="inlineStr">
        <is>
          <t>No</t>
        </is>
      </c>
      <c r="J516" t="inlineStr">
        <is>
          <t>0</t>
        </is>
      </c>
      <c r="K516" t="inlineStr">
        <is>
          <t>Léger, Fernand, 1881-1955.</t>
        </is>
      </c>
      <c r="L516" t="inlineStr">
        <is>
          <t>New York : Museum of Modern Art : Distributed by Harry N. Abrams, 1998.</t>
        </is>
      </c>
      <c r="M516" t="inlineStr">
        <is>
          <t>1998</t>
        </is>
      </c>
      <c r="O516" t="inlineStr">
        <is>
          <t>eng</t>
        </is>
      </c>
      <c r="P516" t="inlineStr">
        <is>
          <t>nyu</t>
        </is>
      </c>
      <c r="R516" t="inlineStr">
        <is>
          <t xml:space="preserve">ND </t>
        </is>
      </c>
      <c r="S516" t="n">
        <v>3</v>
      </c>
      <c r="T516" t="n">
        <v>3</v>
      </c>
      <c r="U516" t="inlineStr">
        <is>
          <t>2002-11-07</t>
        </is>
      </c>
      <c r="V516" t="inlineStr">
        <is>
          <t>2002-11-07</t>
        </is>
      </c>
      <c r="W516" t="inlineStr">
        <is>
          <t>1998-08-26</t>
        </is>
      </c>
      <c r="X516" t="inlineStr">
        <is>
          <t>1998-08-26</t>
        </is>
      </c>
      <c r="Y516" t="n">
        <v>686</v>
      </c>
      <c r="Z516" t="n">
        <v>549</v>
      </c>
      <c r="AA516" t="n">
        <v>579</v>
      </c>
      <c r="AB516" t="n">
        <v>5</v>
      </c>
      <c r="AC516" t="n">
        <v>5</v>
      </c>
      <c r="AD516" t="n">
        <v>18</v>
      </c>
      <c r="AE516" t="n">
        <v>18</v>
      </c>
      <c r="AF516" t="n">
        <v>3</v>
      </c>
      <c r="AG516" t="n">
        <v>3</v>
      </c>
      <c r="AH516" t="n">
        <v>5</v>
      </c>
      <c r="AI516" t="n">
        <v>5</v>
      </c>
      <c r="AJ516" t="n">
        <v>10</v>
      </c>
      <c r="AK516" t="n">
        <v>10</v>
      </c>
      <c r="AL516" t="n">
        <v>4</v>
      </c>
      <c r="AM516" t="n">
        <v>4</v>
      </c>
      <c r="AN516" t="n">
        <v>0</v>
      </c>
      <c r="AO516" t="n">
        <v>0</v>
      </c>
      <c r="AP516" t="inlineStr">
        <is>
          <t>No</t>
        </is>
      </c>
      <c r="AQ516" t="inlineStr">
        <is>
          <t>Yes</t>
        </is>
      </c>
      <c r="AR516">
        <f>HYPERLINK("http://catalog.hathitrust.org/Record/003971168","HathiTrust Record")</f>
        <v/>
      </c>
      <c r="AS516">
        <f>HYPERLINK("https://creighton-primo.hosted.exlibrisgroup.com/primo-explore/search?tab=default_tab&amp;search_scope=EVERYTHING&amp;vid=01CRU&amp;lang=en_US&amp;offset=0&amp;query=any,contains,991002918289702656","Catalog Record")</f>
        <v/>
      </c>
      <c r="AT516">
        <f>HYPERLINK("http://www.worldcat.org/oclc/38594176","WorldCat Record")</f>
        <v/>
      </c>
      <c r="AU516" t="inlineStr">
        <is>
          <t>1929137576:eng</t>
        </is>
      </c>
      <c r="AV516" t="inlineStr">
        <is>
          <t>38594176</t>
        </is>
      </c>
      <c r="AW516" t="inlineStr">
        <is>
          <t>991002918289702656</t>
        </is>
      </c>
      <c r="AX516" t="inlineStr">
        <is>
          <t>991002918289702656</t>
        </is>
      </c>
      <c r="AY516" t="inlineStr">
        <is>
          <t>2256814550002656</t>
        </is>
      </c>
      <c r="AZ516" t="inlineStr">
        <is>
          <t>BOOK</t>
        </is>
      </c>
      <c r="BB516" t="inlineStr">
        <is>
          <t>9780810961852</t>
        </is>
      </c>
      <c r="BC516" t="inlineStr">
        <is>
          <t>32285003463147</t>
        </is>
      </c>
      <c r="BD516" t="inlineStr">
        <is>
          <t>893421953</t>
        </is>
      </c>
    </row>
    <row r="517">
      <c r="A517" t="inlineStr">
        <is>
          <t>No</t>
        </is>
      </c>
      <c r="B517" t="inlineStr">
        <is>
          <t>ND553.M3 A67 1998</t>
        </is>
      </c>
      <c r="C517" t="inlineStr">
        <is>
          <t>0                      ND 0553000M  3                  A  67          1998</t>
        </is>
      </c>
      <c r="D517" t="inlineStr">
        <is>
          <t>Manet, Monet, and the Gare Saint-Lazare / Juliet Wilson-Bareau.</t>
        </is>
      </c>
      <c r="F517" t="inlineStr">
        <is>
          <t>No</t>
        </is>
      </c>
      <c r="G517" t="inlineStr">
        <is>
          <t>1</t>
        </is>
      </c>
      <c r="H517" t="inlineStr">
        <is>
          <t>No</t>
        </is>
      </c>
      <c r="I517" t="inlineStr">
        <is>
          <t>No</t>
        </is>
      </c>
      <c r="J517" t="inlineStr">
        <is>
          <t>0</t>
        </is>
      </c>
      <c r="K517" t="inlineStr">
        <is>
          <t>Wilson-Bareau, Juliet.</t>
        </is>
      </c>
      <c r="L517" t="inlineStr">
        <is>
          <t>Washington : National Gallery of Art ; New Haven : Yale University Press, c1998.</t>
        </is>
      </c>
      <c r="M517" t="inlineStr">
        <is>
          <t>1998</t>
        </is>
      </c>
      <c r="O517" t="inlineStr">
        <is>
          <t>eng</t>
        </is>
      </c>
      <c r="P517" t="inlineStr">
        <is>
          <t>dcu</t>
        </is>
      </c>
      <c r="R517" t="inlineStr">
        <is>
          <t xml:space="preserve">ND </t>
        </is>
      </c>
      <c r="S517" t="n">
        <v>4</v>
      </c>
      <c r="T517" t="n">
        <v>4</v>
      </c>
      <c r="U517" t="inlineStr">
        <is>
          <t>2001-03-15</t>
        </is>
      </c>
      <c r="V517" t="inlineStr">
        <is>
          <t>2001-03-15</t>
        </is>
      </c>
      <c r="W517" t="inlineStr">
        <is>
          <t>1998-08-03</t>
        </is>
      </c>
      <c r="X517" t="inlineStr">
        <is>
          <t>1998-08-03</t>
        </is>
      </c>
      <c r="Y517" t="n">
        <v>605</v>
      </c>
      <c r="Z517" t="n">
        <v>506</v>
      </c>
      <c r="AA517" t="n">
        <v>511</v>
      </c>
      <c r="AB517" t="n">
        <v>6</v>
      </c>
      <c r="AC517" t="n">
        <v>6</v>
      </c>
      <c r="AD517" t="n">
        <v>24</v>
      </c>
      <c r="AE517" t="n">
        <v>24</v>
      </c>
      <c r="AF517" t="n">
        <v>8</v>
      </c>
      <c r="AG517" t="n">
        <v>8</v>
      </c>
      <c r="AH517" t="n">
        <v>6</v>
      </c>
      <c r="AI517" t="n">
        <v>6</v>
      </c>
      <c r="AJ517" t="n">
        <v>12</v>
      </c>
      <c r="AK517" t="n">
        <v>12</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HYPERLINK("https://creighton-primo.hosted.exlibrisgroup.com/primo-explore/search?tab=default_tab&amp;search_scope=EVERYTHING&amp;vid=01CRU&amp;lang=en_US&amp;offset=0&amp;query=any,contains,991002870509702656","Catalog Record")</f>
        <v/>
      </c>
      <c r="AT517">
        <f>HYPERLINK("http://www.worldcat.org/oclc/37843791","WorldCat Record")</f>
        <v/>
      </c>
      <c r="AU517" t="inlineStr">
        <is>
          <t>574043858:eng</t>
        </is>
      </c>
      <c r="AV517" t="inlineStr">
        <is>
          <t>37843791</t>
        </is>
      </c>
      <c r="AW517" t="inlineStr">
        <is>
          <t>991002870509702656</t>
        </is>
      </c>
      <c r="AX517" t="inlineStr">
        <is>
          <t>991002870509702656</t>
        </is>
      </c>
      <c r="AY517" t="inlineStr">
        <is>
          <t>2263727190002656</t>
        </is>
      </c>
      <c r="AZ517" t="inlineStr">
        <is>
          <t>BOOK</t>
        </is>
      </c>
      <c r="BB517" t="inlineStr">
        <is>
          <t>9780300075106</t>
        </is>
      </c>
      <c r="BC517" t="inlineStr">
        <is>
          <t>32285003448106</t>
        </is>
      </c>
      <c r="BD517" t="inlineStr">
        <is>
          <t>893524142</t>
        </is>
      </c>
    </row>
    <row r="518">
      <c r="A518" t="inlineStr">
        <is>
          <t>No</t>
        </is>
      </c>
      <c r="B518" t="inlineStr">
        <is>
          <t>ND553.M3 A72 1998</t>
        </is>
      </c>
      <c r="C518" t="inlineStr">
        <is>
          <t>0                      ND 0553000M  3                  A  72          1998</t>
        </is>
      </c>
      <c r="D518" t="inlineStr">
        <is>
          <t>Manet's Le déjeuner sur l'herbe / edited by Paul Hayes Tucker.</t>
        </is>
      </c>
      <c r="F518" t="inlineStr">
        <is>
          <t>No</t>
        </is>
      </c>
      <c r="G518" t="inlineStr">
        <is>
          <t>1</t>
        </is>
      </c>
      <c r="H518" t="inlineStr">
        <is>
          <t>No</t>
        </is>
      </c>
      <c r="I518" t="inlineStr">
        <is>
          <t>No</t>
        </is>
      </c>
      <c r="J518" t="inlineStr">
        <is>
          <t>0</t>
        </is>
      </c>
      <c r="L518" t="inlineStr">
        <is>
          <t>Cambridge ; New York : Cambridge University Press, 1998.</t>
        </is>
      </c>
      <c r="M518" t="inlineStr">
        <is>
          <t>1998</t>
        </is>
      </c>
      <c r="O518" t="inlineStr">
        <is>
          <t>eng</t>
        </is>
      </c>
      <c r="P518" t="inlineStr">
        <is>
          <t>enk</t>
        </is>
      </c>
      <c r="Q518" t="inlineStr">
        <is>
          <t>Masterpieces of Western painting</t>
        </is>
      </c>
      <c r="R518" t="inlineStr">
        <is>
          <t xml:space="preserve">ND </t>
        </is>
      </c>
      <c r="S518" t="n">
        <v>1</v>
      </c>
      <c r="T518" t="n">
        <v>1</v>
      </c>
      <c r="U518" t="inlineStr">
        <is>
          <t>2006-03-16</t>
        </is>
      </c>
      <c r="V518" t="inlineStr">
        <is>
          <t>2006-03-16</t>
        </is>
      </c>
      <c r="W518" t="inlineStr">
        <is>
          <t>1999-03-24</t>
        </is>
      </c>
      <c r="X518" t="inlineStr">
        <is>
          <t>1999-03-24</t>
        </is>
      </c>
      <c r="Y518" t="n">
        <v>571</v>
      </c>
      <c r="Z518" t="n">
        <v>415</v>
      </c>
      <c r="AA518" t="n">
        <v>426</v>
      </c>
      <c r="AB518" t="n">
        <v>3</v>
      </c>
      <c r="AC518" t="n">
        <v>3</v>
      </c>
      <c r="AD518" t="n">
        <v>20</v>
      </c>
      <c r="AE518" t="n">
        <v>21</v>
      </c>
      <c r="AF518" t="n">
        <v>7</v>
      </c>
      <c r="AG518" t="n">
        <v>8</v>
      </c>
      <c r="AH518" t="n">
        <v>5</v>
      </c>
      <c r="AI518" t="n">
        <v>6</v>
      </c>
      <c r="AJ518" t="n">
        <v>12</v>
      </c>
      <c r="AK518" t="n">
        <v>12</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HYPERLINK("https://creighton-primo.hosted.exlibrisgroup.com/primo-explore/search?tab=default_tab&amp;search_scope=EVERYTHING&amp;vid=01CRU&amp;lang=en_US&amp;offset=0&amp;query=any,contains,991002831799702656","Catalog Record")</f>
        <v/>
      </c>
      <c r="AT518">
        <f>HYPERLINK("http://www.worldcat.org/oclc/37293272","WorldCat Record")</f>
        <v/>
      </c>
      <c r="AU518" t="inlineStr">
        <is>
          <t>555813:eng</t>
        </is>
      </c>
      <c r="AV518" t="inlineStr">
        <is>
          <t>37293272</t>
        </is>
      </c>
      <c r="AW518" t="inlineStr">
        <is>
          <t>991002831799702656</t>
        </is>
      </c>
      <c r="AX518" t="inlineStr">
        <is>
          <t>991002831799702656</t>
        </is>
      </c>
      <c r="AY518" t="inlineStr">
        <is>
          <t>2267092660002656</t>
        </is>
      </c>
      <c r="AZ518" t="inlineStr">
        <is>
          <t>BOOK</t>
        </is>
      </c>
      <c r="BB518" t="inlineStr">
        <is>
          <t>9780521474665</t>
        </is>
      </c>
      <c r="BC518" t="inlineStr">
        <is>
          <t>32285003545596</t>
        </is>
      </c>
      <c r="BD518" t="inlineStr">
        <is>
          <t>893434345</t>
        </is>
      </c>
    </row>
    <row r="519">
      <c r="A519" t="inlineStr">
        <is>
          <t>No</t>
        </is>
      </c>
      <c r="B519" t="inlineStr">
        <is>
          <t>ND553.M3 B275</t>
        </is>
      </c>
      <c r="C519" t="inlineStr">
        <is>
          <t>0                      ND 0553000M  3                  B  275</t>
        </is>
      </c>
      <c r="D519" t="inlineStr">
        <is>
          <t>Manet : biographical and critical study / translated by Austryn Wainhouse and James Emmons.</t>
        </is>
      </c>
      <c r="F519" t="inlineStr">
        <is>
          <t>No</t>
        </is>
      </c>
      <c r="G519" t="inlineStr">
        <is>
          <t>1</t>
        </is>
      </c>
      <c r="H519" t="inlineStr">
        <is>
          <t>No</t>
        </is>
      </c>
      <c r="I519" t="inlineStr">
        <is>
          <t>No</t>
        </is>
      </c>
      <c r="J519" t="inlineStr">
        <is>
          <t>0</t>
        </is>
      </c>
      <c r="K519" t="inlineStr">
        <is>
          <t>Bataille, Georges, 1897-1962.</t>
        </is>
      </c>
      <c r="L519" t="inlineStr">
        <is>
          <t>New York] : Skira, [1955?]</t>
        </is>
      </c>
      <c r="M519" t="inlineStr">
        <is>
          <t>1955</t>
        </is>
      </c>
      <c r="O519" t="inlineStr">
        <is>
          <t>eng</t>
        </is>
      </c>
      <c r="P519" t="inlineStr">
        <is>
          <t>nyu</t>
        </is>
      </c>
      <c r="Q519" t="inlineStr">
        <is>
          <t>The Taste of our time, v. 14</t>
        </is>
      </c>
      <c r="R519" t="inlineStr">
        <is>
          <t xml:space="preserve">ND </t>
        </is>
      </c>
      <c r="S519" t="n">
        <v>4</v>
      </c>
      <c r="T519" t="n">
        <v>4</v>
      </c>
      <c r="U519" t="inlineStr">
        <is>
          <t>1999-03-31</t>
        </is>
      </c>
      <c r="V519" t="inlineStr">
        <is>
          <t>1999-03-31</t>
        </is>
      </c>
      <c r="W519" t="inlineStr">
        <is>
          <t>1991-11-06</t>
        </is>
      </c>
      <c r="X519" t="inlineStr">
        <is>
          <t>1991-11-06</t>
        </is>
      </c>
      <c r="Y519" t="n">
        <v>905</v>
      </c>
      <c r="Z519" t="n">
        <v>817</v>
      </c>
      <c r="AA519" t="n">
        <v>829</v>
      </c>
      <c r="AB519" t="n">
        <v>6</v>
      </c>
      <c r="AC519" t="n">
        <v>6</v>
      </c>
      <c r="AD519" t="n">
        <v>26</v>
      </c>
      <c r="AE519" t="n">
        <v>26</v>
      </c>
      <c r="AF519" t="n">
        <v>13</v>
      </c>
      <c r="AG519" t="n">
        <v>13</v>
      </c>
      <c r="AH519" t="n">
        <v>5</v>
      </c>
      <c r="AI519" t="n">
        <v>5</v>
      </c>
      <c r="AJ519" t="n">
        <v>11</v>
      </c>
      <c r="AK519" t="n">
        <v>11</v>
      </c>
      <c r="AL519" t="n">
        <v>3</v>
      </c>
      <c r="AM519" t="n">
        <v>3</v>
      </c>
      <c r="AN519" t="n">
        <v>0</v>
      </c>
      <c r="AO519" t="n">
        <v>0</v>
      </c>
      <c r="AP519" t="inlineStr">
        <is>
          <t>No</t>
        </is>
      </c>
      <c r="AQ519" t="inlineStr">
        <is>
          <t>Yes</t>
        </is>
      </c>
      <c r="AR519">
        <f>HYPERLINK("http://catalog.hathitrust.org/Record/000457577","HathiTrust Record")</f>
        <v/>
      </c>
      <c r="AS519">
        <f>HYPERLINK("https://creighton-primo.hosted.exlibrisgroup.com/primo-explore/search?tab=default_tab&amp;search_scope=EVERYTHING&amp;vid=01CRU&amp;lang=en_US&amp;offset=0&amp;query=any,contains,991002856249702656","Catalog Record")</f>
        <v/>
      </c>
      <c r="AT519">
        <f>HYPERLINK("http://www.worldcat.org/oclc/490014","WorldCat Record")</f>
        <v/>
      </c>
      <c r="AU519" t="inlineStr">
        <is>
          <t>8909276214:eng</t>
        </is>
      </c>
      <c r="AV519" t="inlineStr">
        <is>
          <t>490014</t>
        </is>
      </c>
      <c r="AW519" t="inlineStr">
        <is>
          <t>991002856249702656</t>
        </is>
      </c>
      <c r="AX519" t="inlineStr">
        <is>
          <t>991002856249702656</t>
        </is>
      </c>
      <c r="AY519" t="inlineStr">
        <is>
          <t>2257737370002656</t>
        </is>
      </c>
      <c r="AZ519" t="inlineStr">
        <is>
          <t>BOOK</t>
        </is>
      </c>
      <c r="BC519" t="inlineStr">
        <is>
          <t>32285000798289</t>
        </is>
      </c>
      <c r="BD519" t="inlineStr">
        <is>
          <t>893434379</t>
        </is>
      </c>
    </row>
    <row r="520">
      <c r="A520" t="inlineStr">
        <is>
          <t>No</t>
        </is>
      </c>
      <c r="B520" t="inlineStr">
        <is>
          <t>ND553.M3 B76 1996</t>
        </is>
      </c>
      <c r="C520" t="inlineStr">
        <is>
          <t>0                      ND 0553000M  3                  B  76          1996</t>
        </is>
      </c>
      <c r="D520" t="inlineStr">
        <is>
          <t>Edouard Manet : rebel in a frock coat / Beth Archer Brombert.</t>
        </is>
      </c>
      <c r="F520" t="inlineStr">
        <is>
          <t>No</t>
        </is>
      </c>
      <c r="G520" t="inlineStr">
        <is>
          <t>1</t>
        </is>
      </c>
      <c r="H520" t="inlineStr">
        <is>
          <t>No</t>
        </is>
      </c>
      <c r="I520" t="inlineStr">
        <is>
          <t>No</t>
        </is>
      </c>
      <c r="J520" t="inlineStr">
        <is>
          <t>0</t>
        </is>
      </c>
      <c r="K520" t="inlineStr">
        <is>
          <t>Brombert, Beth Archer.</t>
        </is>
      </c>
      <c r="L520" t="inlineStr">
        <is>
          <t>Boston : Little, Brown, c1996.</t>
        </is>
      </c>
      <c r="M520" t="inlineStr">
        <is>
          <t>1996</t>
        </is>
      </c>
      <c r="N520" t="inlineStr">
        <is>
          <t>1st ed.</t>
        </is>
      </c>
      <c r="O520" t="inlineStr">
        <is>
          <t>eng</t>
        </is>
      </c>
      <c r="P520" t="inlineStr">
        <is>
          <t>mau</t>
        </is>
      </c>
      <c r="R520" t="inlineStr">
        <is>
          <t xml:space="preserve">ND </t>
        </is>
      </c>
      <c r="S520" t="n">
        <v>10</v>
      </c>
      <c r="T520" t="n">
        <v>10</v>
      </c>
      <c r="U520" t="inlineStr">
        <is>
          <t>2004-11-04</t>
        </is>
      </c>
      <c r="V520" t="inlineStr">
        <is>
          <t>2004-11-04</t>
        </is>
      </c>
      <c r="W520" t="inlineStr">
        <is>
          <t>1996-05-22</t>
        </is>
      </c>
      <c r="X520" t="inlineStr">
        <is>
          <t>1996-05-22</t>
        </is>
      </c>
      <c r="Y520" t="n">
        <v>1020</v>
      </c>
      <c r="Z520" t="n">
        <v>926</v>
      </c>
      <c r="AA520" t="n">
        <v>1075</v>
      </c>
      <c r="AB520" t="n">
        <v>5</v>
      </c>
      <c r="AC520" t="n">
        <v>8</v>
      </c>
      <c r="AD520" t="n">
        <v>33</v>
      </c>
      <c r="AE520" t="n">
        <v>35</v>
      </c>
      <c r="AF520" t="n">
        <v>12</v>
      </c>
      <c r="AG520" t="n">
        <v>13</v>
      </c>
      <c r="AH520" t="n">
        <v>6</v>
      </c>
      <c r="AI520" t="n">
        <v>6</v>
      </c>
      <c r="AJ520" t="n">
        <v>20</v>
      </c>
      <c r="AK520" t="n">
        <v>20</v>
      </c>
      <c r="AL520" t="n">
        <v>4</v>
      </c>
      <c r="AM520" t="n">
        <v>5</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HYPERLINK("https://creighton-primo.hosted.exlibrisgroup.com/primo-explore/search?tab=default_tab&amp;search_scope=EVERYTHING&amp;vid=01CRU&amp;lang=en_US&amp;offset=0&amp;query=any,contains,991002438539702656","Catalog Record")</f>
        <v/>
      </c>
      <c r="AT520">
        <f>HYPERLINK("http://www.worldcat.org/oclc/31782430","WorldCat Record")</f>
        <v/>
      </c>
      <c r="AU520" t="inlineStr">
        <is>
          <t>863917777:eng</t>
        </is>
      </c>
      <c r="AV520" t="inlineStr">
        <is>
          <t>31782430</t>
        </is>
      </c>
      <c r="AW520" t="inlineStr">
        <is>
          <t>991002438539702656</t>
        </is>
      </c>
      <c r="AX520" t="inlineStr">
        <is>
          <t>991002438539702656</t>
        </is>
      </c>
      <c r="AY520" t="inlineStr">
        <is>
          <t>2261059680002656</t>
        </is>
      </c>
      <c r="AZ520" t="inlineStr">
        <is>
          <t>BOOK</t>
        </is>
      </c>
      <c r="BB520" t="inlineStr">
        <is>
          <t>9780316109475</t>
        </is>
      </c>
      <c r="BC520" t="inlineStr">
        <is>
          <t>32285002177375</t>
        </is>
      </c>
      <c r="BD520" t="inlineStr">
        <is>
          <t>893898755</t>
        </is>
      </c>
    </row>
    <row r="521">
      <c r="A521" t="inlineStr">
        <is>
          <t>No</t>
        </is>
      </c>
      <c r="B521" t="inlineStr">
        <is>
          <t>ND553.M3 F75 1996</t>
        </is>
      </c>
      <c r="C521" t="inlineStr">
        <is>
          <t>0                      ND 0553000M  3                  F  75          1996</t>
        </is>
      </c>
      <c r="D521" t="inlineStr">
        <is>
          <t>Manet's modernism, or, The face of painting in the 1860s / Michael Fried.</t>
        </is>
      </c>
      <c r="F521" t="inlineStr">
        <is>
          <t>No</t>
        </is>
      </c>
      <c r="G521" t="inlineStr">
        <is>
          <t>1</t>
        </is>
      </c>
      <c r="H521" t="inlineStr">
        <is>
          <t>No</t>
        </is>
      </c>
      <c r="I521" t="inlineStr">
        <is>
          <t>No</t>
        </is>
      </c>
      <c r="J521" t="inlineStr">
        <is>
          <t>0</t>
        </is>
      </c>
      <c r="K521" t="inlineStr">
        <is>
          <t>Fried, Michael.</t>
        </is>
      </c>
      <c r="L521" t="inlineStr">
        <is>
          <t>Chicago : University of Chicago Press, 1996.</t>
        </is>
      </c>
      <c r="M521" t="inlineStr">
        <is>
          <t>1996</t>
        </is>
      </c>
      <c r="O521" t="inlineStr">
        <is>
          <t>eng</t>
        </is>
      </c>
      <c r="P521" t="inlineStr">
        <is>
          <t>ilu</t>
        </is>
      </c>
      <c r="R521" t="inlineStr">
        <is>
          <t xml:space="preserve">ND </t>
        </is>
      </c>
      <c r="S521" t="n">
        <v>8</v>
      </c>
      <c r="T521" t="n">
        <v>8</v>
      </c>
      <c r="U521" t="inlineStr">
        <is>
          <t>1999-12-01</t>
        </is>
      </c>
      <c r="V521" t="inlineStr">
        <is>
          <t>1999-12-01</t>
        </is>
      </c>
      <c r="W521" t="inlineStr">
        <is>
          <t>1996-11-08</t>
        </is>
      </c>
      <c r="X521" t="inlineStr">
        <is>
          <t>1996-11-08</t>
        </is>
      </c>
      <c r="Y521" t="n">
        <v>794</v>
      </c>
      <c r="Z521" t="n">
        <v>627</v>
      </c>
      <c r="AA521" t="n">
        <v>637</v>
      </c>
      <c r="AB521" t="n">
        <v>7</v>
      </c>
      <c r="AC521" t="n">
        <v>7</v>
      </c>
      <c r="AD521" t="n">
        <v>35</v>
      </c>
      <c r="AE521" t="n">
        <v>36</v>
      </c>
      <c r="AF521" t="n">
        <v>12</v>
      </c>
      <c r="AG521" t="n">
        <v>12</v>
      </c>
      <c r="AH521" t="n">
        <v>9</v>
      </c>
      <c r="AI521" t="n">
        <v>10</v>
      </c>
      <c r="AJ521" t="n">
        <v>17</v>
      </c>
      <c r="AK521" t="n">
        <v>18</v>
      </c>
      <c r="AL521" t="n">
        <v>6</v>
      </c>
      <c r="AM521" t="n">
        <v>6</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HYPERLINK("https://creighton-primo.hosted.exlibrisgroup.com/primo-explore/search?tab=default_tab&amp;search_scope=EVERYTHING&amp;vid=01CRU&amp;lang=en_US&amp;offset=0&amp;query=any,contains,991002481569702656","Catalog Record")</f>
        <v/>
      </c>
      <c r="AT521">
        <f>HYPERLINK("http://www.worldcat.org/oclc/32310944","WorldCat Record")</f>
        <v/>
      </c>
      <c r="AU521" t="inlineStr">
        <is>
          <t>328816:eng</t>
        </is>
      </c>
      <c r="AV521" t="inlineStr">
        <is>
          <t>32310944</t>
        </is>
      </c>
      <c r="AW521" t="inlineStr">
        <is>
          <t>991002481569702656</t>
        </is>
      </c>
      <c r="AX521" t="inlineStr">
        <is>
          <t>991002481569702656</t>
        </is>
      </c>
      <c r="AY521" t="inlineStr">
        <is>
          <t>2260174380002656</t>
        </is>
      </c>
      <c r="AZ521" t="inlineStr">
        <is>
          <t>BOOK</t>
        </is>
      </c>
      <c r="BB521" t="inlineStr">
        <is>
          <t>9780226262161</t>
        </is>
      </c>
      <c r="BC521" t="inlineStr">
        <is>
          <t>32285001419471</t>
        </is>
      </c>
      <c r="BD521" t="inlineStr">
        <is>
          <t>893421427</t>
        </is>
      </c>
    </row>
    <row r="522">
      <c r="A522" t="inlineStr">
        <is>
          <t>No</t>
        </is>
      </c>
      <c r="B522" t="inlineStr">
        <is>
          <t>ND553.M3 G38 1976</t>
        </is>
      </c>
      <c r="C522" t="inlineStr">
        <is>
          <t>0                      ND 0553000M  3                  G  38          1976</t>
        </is>
      </c>
      <c r="D522" t="inlineStr">
        <is>
          <t>Art and act : on causes in history--Manet, Gropius, Mondrian / Peter Gay.</t>
        </is>
      </c>
      <c r="F522" t="inlineStr">
        <is>
          <t>No</t>
        </is>
      </c>
      <c r="G522" t="inlineStr">
        <is>
          <t>1</t>
        </is>
      </c>
      <c r="H522" t="inlineStr">
        <is>
          <t>No</t>
        </is>
      </c>
      <c r="I522" t="inlineStr">
        <is>
          <t>No</t>
        </is>
      </c>
      <c r="J522" t="inlineStr">
        <is>
          <t>0</t>
        </is>
      </c>
      <c r="K522" t="inlineStr">
        <is>
          <t>Gay, Peter, 1923-2015.</t>
        </is>
      </c>
      <c r="L522" t="inlineStr">
        <is>
          <t>New York : Harper &amp; Row, c1976.</t>
        </is>
      </c>
      <c r="M522" t="inlineStr">
        <is>
          <t>1976</t>
        </is>
      </c>
      <c r="N522" t="inlineStr">
        <is>
          <t>1st ed.</t>
        </is>
      </c>
      <c r="O522" t="inlineStr">
        <is>
          <t>eng</t>
        </is>
      </c>
      <c r="P522" t="inlineStr">
        <is>
          <t>nyu</t>
        </is>
      </c>
      <c r="Q522" t="inlineStr">
        <is>
          <t>Icon editions</t>
        </is>
      </c>
      <c r="R522" t="inlineStr">
        <is>
          <t xml:space="preserve">ND </t>
        </is>
      </c>
      <c r="S522" t="n">
        <v>1</v>
      </c>
      <c r="T522" t="n">
        <v>1</v>
      </c>
      <c r="U522" t="inlineStr">
        <is>
          <t>2004-11-23</t>
        </is>
      </c>
      <c r="V522" t="inlineStr">
        <is>
          <t>2004-11-23</t>
        </is>
      </c>
      <c r="W522" t="inlineStr">
        <is>
          <t>1997-07-29</t>
        </is>
      </c>
      <c r="X522" t="inlineStr">
        <is>
          <t>1997-07-29</t>
        </is>
      </c>
      <c r="Y522" t="n">
        <v>1148</v>
      </c>
      <c r="Z522" t="n">
        <v>940</v>
      </c>
      <c r="AA522" t="n">
        <v>946</v>
      </c>
      <c r="AB522" t="n">
        <v>8</v>
      </c>
      <c r="AC522" t="n">
        <v>8</v>
      </c>
      <c r="AD522" t="n">
        <v>40</v>
      </c>
      <c r="AE522" t="n">
        <v>40</v>
      </c>
      <c r="AF522" t="n">
        <v>13</v>
      </c>
      <c r="AG522" t="n">
        <v>13</v>
      </c>
      <c r="AH522" t="n">
        <v>10</v>
      </c>
      <c r="AI522" t="n">
        <v>10</v>
      </c>
      <c r="AJ522" t="n">
        <v>20</v>
      </c>
      <c r="AK522" t="n">
        <v>20</v>
      </c>
      <c r="AL522" t="n">
        <v>6</v>
      </c>
      <c r="AM522" t="n">
        <v>6</v>
      </c>
      <c r="AN522" t="n">
        <v>0</v>
      </c>
      <c r="AO522" t="n">
        <v>0</v>
      </c>
      <c r="AP522" t="inlineStr">
        <is>
          <t>No</t>
        </is>
      </c>
      <c r="AQ522" t="inlineStr">
        <is>
          <t>Yes</t>
        </is>
      </c>
      <c r="AR522">
        <f>HYPERLINK("http://catalog.hathitrust.org/Record/000040373","HathiTrust Record")</f>
        <v/>
      </c>
      <c r="AS522">
        <f>HYPERLINK("https://creighton-primo.hosted.exlibrisgroup.com/primo-explore/search?tab=default_tab&amp;search_scope=EVERYTHING&amp;vid=01CRU&amp;lang=en_US&amp;offset=0&amp;query=any,contains,991003858249702656","Catalog Record")</f>
        <v/>
      </c>
      <c r="AT522">
        <f>HYPERLINK("http://www.worldcat.org/oclc/1659505","WorldCat Record")</f>
        <v/>
      </c>
      <c r="AU522" t="inlineStr">
        <is>
          <t>889745298:eng</t>
        </is>
      </c>
      <c r="AV522" t="inlineStr">
        <is>
          <t>1659505</t>
        </is>
      </c>
      <c r="AW522" t="inlineStr">
        <is>
          <t>991003858249702656</t>
        </is>
      </c>
      <c r="AX522" t="inlineStr">
        <is>
          <t>991003858249702656</t>
        </is>
      </c>
      <c r="AY522" t="inlineStr">
        <is>
          <t>2256770960002656</t>
        </is>
      </c>
      <c r="AZ522" t="inlineStr">
        <is>
          <t>BOOK</t>
        </is>
      </c>
      <c r="BB522" t="inlineStr">
        <is>
          <t>9780064332484</t>
        </is>
      </c>
      <c r="BC522" t="inlineStr">
        <is>
          <t>32285002968161</t>
        </is>
      </c>
      <c r="BD522" t="inlineStr">
        <is>
          <t>893894247</t>
        </is>
      </c>
    </row>
    <row r="523">
      <c r="A523" t="inlineStr">
        <is>
          <t>No</t>
        </is>
      </c>
      <c r="B523" t="inlineStr">
        <is>
          <t>ND553.M3 M36 1988</t>
        </is>
      </c>
      <c r="C523" t="inlineStr">
        <is>
          <t>0                      ND 0553000M  3                  M  36          1988</t>
        </is>
      </c>
      <c r="D523" t="inlineStr">
        <is>
          <t>Manet, a retrospective / edited by T. A. Gronberg.</t>
        </is>
      </c>
      <c r="F523" t="inlineStr">
        <is>
          <t>No</t>
        </is>
      </c>
      <c r="G523" t="inlineStr">
        <is>
          <t>1</t>
        </is>
      </c>
      <c r="H523" t="inlineStr">
        <is>
          <t>No</t>
        </is>
      </c>
      <c r="I523" t="inlineStr">
        <is>
          <t>No</t>
        </is>
      </c>
      <c r="J523" t="inlineStr">
        <is>
          <t>0</t>
        </is>
      </c>
      <c r="L523" t="inlineStr">
        <is>
          <t>New York : Hugh Lauter Levin Associates, Inc. : distributed by Macmillan Pub. Co., c1988.</t>
        </is>
      </c>
      <c r="M523" t="inlineStr">
        <is>
          <t>1988</t>
        </is>
      </c>
      <c r="O523" t="inlineStr">
        <is>
          <t>eng</t>
        </is>
      </c>
      <c r="P523" t="inlineStr">
        <is>
          <t>nyu</t>
        </is>
      </c>
      <c r="R523" t="inlineStr">
        <is>
          <t xml:space="preserve">ND </t>
        </is>
      </c>
      <c r="S523" t="n">
        <v>12</v>
      </c>
      <c r="T523" t="n">
        <v>12</v>
      </c>
      <c r="U523" t="inlineStr">
        <is>
          <t>1999-12-01</t>
        </is>
      </c>
      <c r="V523" t="inlineStr">
        <is>
          <t>1999-12-01</t>
        </is>
      </c>
      <c r="W523" t="inlineStr">
        <is>
          <t>1993-05-21</t>
        </is>
      </c>
      <c r="X523" t="inlineStr">
        <is>
          <t>1993-05-21</t>
        </is>
      </c>
      <c r="Y523" t="n">
        <v>379</v>
      </c>
      <c r="Z523" t="n">
        <v>323</v>
      </c>
      <c r="AA523" t="n">
        <v>324</v>
      </c>
      <c r="AB523" t="n">
        <v>2</v>
      </c>
      <c r="AC523" t="n">
        <v>2</v>
      </c>
      <c r="AD523" t="n">
        <v>6</v>
      </c>
      <c r="AE523" t="n">
        <v>6</v>
      </c>
      <c r="AF523" t="n">
        <v>0</v>
      </c>
      <c r="AG523" t="n">
        <v>0</v>
      </c>
      <c r="AH523" t="n">
        <v>1</v>
      </c>
      <c r="AI523" t="n">
        <v>1</v>
      </c>
      <c r="AJ523" t="n">
        <v>4</v>
      </c>
      <c r="AK523" t="n">
        <v>4</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HYPERLINK("https://creighton-primo.hosted.exlibrisgroup.com/primo-explore/search?tab=default_tab&amp;search_scope=EVERYTHING&amp;vid=01CRU&amp;lang=en_US&amp;offset=0&amp;query=any,contains,991001397069702656","Catalog Record")</f>
        <v/>
      </c>
      <c r="AT523">
        <f>HYPERLINK("http://www.worldcat.org/oclc/20724553","WorldCat Record")</f>
        <v/>
      </c>
      <c r="AU523" t="inlineStr">
        <is>
          <t>640747:eng</t>
        </is>
      </c>
      <c r="AV523" t="inlineStr">
        <is>
          <t>20724553</t>
        </is>
      </c>
      <c r="AW523" t="inlineStr">
        <is>
          <t>991001397069702656</t>
        </is>
      </c>
      <c r="AX523" t="inlineStr">
        <is>
          <t>991001397069702656</t>
        </is>
      </c>
      <c r="AY523" t="inlineStr">
        <is>
          <t>2260724940002656</t>
        </is>
      </c>
      <c r="AZ523" t="inlineStr">
        <is>
          <t>BOOK</t>
        </is>
      </c>
      <c r="BB523" t="inlineStr">
        <is>
          <t>9780883631737</t>
        </is>
      </c>
      <c r="BC523" t="inlineStr">
        <is>
          <t>32285001691962</t>
        </is>
      </c>
      <c r="BD523" t="inlineStr">
        <is>
          <t>893596442</t>
        </is>
      </c>
    </row>
    <row r="524">
      <c r="A524" t="inlineStr">
        <is>
          <t>No</t>
        </is>
      </c>
      <c r="B524" t="inlineStr">
        <is>
          <t>ND553.M3 S33</t>
        </is>
      </c>
      <c r="C524" t="inlineStr">
        <is>
          <t>0                      ND 0553000M  3                  S  33</t>
        </is>
      </c>
      <c r="D524" t="inlineStr">
        <is>
          <t>The world of Manet, 1832-1883, by Pierre Schneider and the editors of Time-Life Books.</t>
        </is>
      </c>
      <c r="F524" t="inlineStr">
        <is>
          <t>No</t>
        </is>
      </c>
      <c r="G524" t="inlineStr">
        <is>
          <t>1</t>
        </is>
      </c>
      <c r="H524" t="inlineStr">
        <is>
          <t>No</t>
        </is>
      </c>
      <c r="I524" t="inlineStr">
        <is>
          <t>No</t>
        </is>
      </c>
      <c r="J524" t="inlineStr">
        <is>
          <t>0</t>
        </is>
      </c>
      <c r="K524" t="inlineStr">
        <is>
          <t>Schneider, Pierre.</t>
        </is>
      </c>
      <c r="L524" t="inlineStr">
        <is>
          <t>New York, Time-Life Books [1968]</t>
        </is>
      </c>
      <c r="M524" t="inlineStr">
        <is>
          <t>1968</t>
        </is>
      </c>
      <c r="O524" t="inlineStr">
        <is>
          <t>eng</t>
        </is>
      </c>
      <c r="P524" t="inlineStr">
        <is>
          <t>nyu</t>
        </is>
      </c>
      <c r="Q524" t="inlineStr">
        <is>
          <t>Time-Life library of art</t>
        </is>
      </c>
      <c r="R524" t="inlineStr">
        <is>
          <t xml:space="preserve">ND </t>
        </is>
      </c>
      <c r="S524" t="n">
        <v>5</v>
      </c>
      <c r="T524" t="n">
        <v>5</v>
      </c>
      <c r="U524" t="inlineStr">
        <is>
          <t>1999-04-05</t>
        </is>
      </c>
      <c r="V524" t="inlineStr">
        <is>
          <t>1999-04-05</t>
        </is>
      </c>
      <c r="W524" t="inlineStr">
        <is>
          <t>1997-07-29</t>
        </is>
      </c>
      <c r="X524" t="inlineStr">
        <is>
          <t>1997-07-29</t>
        </is>
      </c>
      <c r="Y524" t="n">
        <v>2649</v>
      </c>
      <c r="Z524" t="n">
        <v>2484</v>
      </c>
      <c r="AA524" t="n">
        <v>2627</v>
      </c>
      <c r="AB524" t="n">
        <v>20</v>
      </c>
      <c r="AC524" t="n">
        <v>22</v>
      </c>
      <c r="AD524" t="n">
        <v>44</v>
      </c>
      <c r="AE524" t="n">
        <v>45</v>
      </c>
      <c r="AF524" t="n">
        <v>18</v>
      </c>
      <c r="AG524" t="n">
        <v>18</v>
      </c>
      <c r="AH524" t="n">
        <v>9</v>
      </c>
      <c r="AI524" t="n">
        <v>9</v>
      </c>
      <c r="AJ524" t="n">
        <v>21</v>
      </c>
      <c r="AK524" t="n">
        <v>22</v>
      </c>
      <c r="AL524" t="n">
        <v>8</v>
      </c>
      <c r="AM524" t="n">
        <v>8</v>
      </c>
      <c r="AN524" t="n">
        <v>0</v>
      </c>
      <c r="AO524" t="n">
        <v>0</v>
      </c>
      <c r="AP524" t="inlineStr">
        <is>
          <t>No</t>
        </is>
      </c>
      <c r="AQ524" t="inlineStr">
        <is>
          <t>Yes</t>
        </is>
      </c>
      <c r="AR524">
        <f>HYPERLINK("http://catalog.hathitrust.org/Record/007480048","HathiTrust Record")</f>
        <v/>
      </c>
      <c r="AS524">
        <f>HYPERLINK("https://creighton-primo.hosted.exlibrisgroup.com/primo-explore/search?tab=default_tab&amp;search_scope=EVERYTHING&amp;vid=01CRU&amp;lang=en_US&amp;offset=0&amp;query=any,contains,991005435359702656","Catalog Record")</f>
        <v/>
      </c>
      <c r="AT524">
        <f>HYPERLINK("http://www.worldcat.org/oclc/2990","WorldCat Record")</f>
        <v/>
      </c>
      <c r="AU524" t="inlineStr">
        <is>
          <t>1126185:eng</t>
        </is>
      </c>
      <c r="AV524" t="inlineStr">
        <is>
          <t>2990</t>
        </is>
      </c>
      <c r="AW524" t="inlineStr">
        <is>
          <t>991005435359702656</t>
        </is>
      </c>
      <c r="AX524" t="inlineStr">
        <is>
          <t>991005435359702656</t>
        </is>
      </c>
      <c r="AY524" t="inlineStr">
        <is>
          <t>2262937070002656</t>
        </is>
      </c>
      <c r="AZ524" t="inlineStr">
        <is>
          <t>BOOK</t>
        </is>
      </c>
      <c r="BC524" t="inlineStr">
        <is>
          <t>32285002968179</t>
        </is>
      </c>
      <c r="BD524" t="inlineStr">
        <is>
          <t>893431507</t>
        </is>
      </c>
    </row>
    <row r="525">
      <c r="A525" t="inlineStr">
        <is>
          <t>No</t>
        </is>
      </c>
      <c r="B525" t="inlineStr">
        <is>
          <t>ND553.M37 B34</t>
        </is>
      </c>
      <c r="C525" t="inlineStr">
        <is>
          <t>0                      ND 0553000M  37                 B  34</t>
        </is>
      </c>
      <c r="D525" t="inlineStr">
        <is>
          <t>Matisse, his art and his public / by Alfred H. Barr, Jr.</t>
        </is>
      </c>
      <c r="F525" t="inlineStr">
        <is>
          <t>No</t>
        </is>
      </c>
      <c r="G525" t="inlineStr">
        <is>
          <t>1</t>
        </is>
      </c>
      <c r="H525" t="inlineStr">
        <is>
          <t>No</t>
        </is>
      </c>
      <c r="I525" t="inlineStr">
        <is>
          <t>No</t>
        </is>
      </c>
      <c r="J525" t="inlineStr">
        <is>
          <t>0</t>
        </is>
      </c>
      <c r="K525" t="inlineStr">
        <is>
          <t>Barr, Alfred H., Jr., 1902-1981.</t>
        </is>
      </c>
      <c r="L525" t="inlineStr">
        <is>
          <t>[New York] : Published for the Museum of Modern Art by Arno Press, 1966, 1974 printing.</t>
        </is>
      </c>
      <c r="M525" t="inlineStr">
        <is>
          <t>1966</t>
        </is>
      </c>
      <c r="N525" t="inlineStr">
        <is>
          <t>Reprint ed.</t>
        </is>
      </c>
      <c r="O525" t="inlineStr">
        <is>
          <t>eng</t>
        </is>
      </c>
      <c r="P525" t="inlineStr">
        <is>
          <t>nyu</t>
        </is>
      </c>
      <c r="R525" t="inlineStr">
        <is>
          <t xml:space="preserve">ND </t>
        </is>
      </c>
      <c r="S525" t="n">
        <v>6</v>
      </c>
      <c r="T525" t="n">
        <v>6</v>
      </c>
      <c r="U525" t="inlineStr">
        <is>
          <t>2000-03-13</t>
        </is>
      </c>
      <c r="V525" t="inlineStr">
        <is>
          <t>2000-03-13</t>
        </is>
      </c>
      <c r="W525" t="inlineStr">
        <is>
          <t>1993-01-05</t>
        </is>
      </c>
      <c r="X525" t="inlineStr">
        <is>
          <t>1993-01-05</t>
        </is>
      </c>
      <c r="Y525" t="n">
        <v>487</v>
      </c>
      <c r="Z525" t="n">
        <v>426</v>
      </c>
      <c r="AA525" t="n">
        <v>1194</v>
      </c>
      <c r="AB525" t="n">
        <v>8</v>
      </c>
      <c r="AC525" t="n">
        <v>12</v>
      </c>
      <c r="AD525" t="n">
        <v>18</v>
      </c>
      <c r="AE525" t="n">
        <v>45</v>
      </c>
      <c r="AF525" t="n">
        <v>5</v>
      </c>
      <c r="AG525" t="n">
        <v>16</v>
      </c>
      <c r="AH525" t="n">
        <v>3</v>
      </c>
      <c r="AI525" t="n">
        <v>10</v>
      </c>
      <c r="AJ525" t="n">
        <v>5</v>
      </c>
      <c r="AK525" t="n">
        <v>18</v>
      </c>
      <c r="AL525" t="n">
        <v>7</v>
      </c>
      <c r="AM525" t="n">
        <v>10</v>
      </c>
      <c r="AN525" t="n">
        <v>0</v>
      </c>
      <c r="AO525" t="n">
        <v>0</v>
      </c>
      <c r="AP525" t="inlineStr">
        <is>
          <t>No</t>
        </is>
      </c>
      <c r="AQ525" t="inlineStr">
        <is>
          <t>Yes</t>
        </is>
      </c>
      <c r="AR525">
        <f>HYPERLINK("http://catalog.hathitrust.org/Record/009905889","HathiTrust Record")</f>
        <v/>
      </c>
      <c r="AS525">
        <f>HYPERLINK("https://creighton-primo.hosted.exlibrisgroup.com/primo-explore/search?tab=default_tab&amp;search_scope=EVERYTHING&amp;vid=01CRU&amp;lang=en_US&amp;offset=0&amp;query=any,contains,991002997259702656","Catalog Record")</f>
        <v/>
      </c>
      <c r="AT525">
        <f>HYPERLINK("http://www.worldcat.org/oclc/565768","WorldCat Record")</f>
        <v/>
      </c>
      <c r="AU525" t="inlineStr">
        <is>
          <t>4061393666:eng</t>
        </is>
      </c>
      <c r="AV525" t="inlineStr">
        <is>
          <t>565768</t>
        </is>
      </c>
      <c r="AW525" t="inlineStr">
        <is>
          <t>991002997259702656</t>
        </is>
      </c>
      <c r="AX525" t="inlineStr">
        <is>
          <t>991002997259702656</t>
        </is>
      </c>
      <c r="AY525" t="inlineStr">
        <is>
          <t>2258940020002656</t>
        </is>
      </c>
      <c r="AZ525" t="inlineStr">
        <is>
          <t>BOOK</t>
        </is>
      </c>
      <c r="BC525" t="inlineStr">
        <is>
          <t>32285001472017</t>
        </is>
      </c>
      <c r="BD525" t="inlineStr">
        <is>
          <t>893604321</t>
        </is>
      </c>
    </row>
    <row r="526">
      <c r="A526" t="inlineStr">
        <is>
          <t>No</t>
        </is>
      </c>
      <c r="B526" t="inlineStr">
        <is>
          <t>ND553.M37 B58 1981</t>
        </is>
      </c>
      <c r="C526" t="inlineStr">
        <is>
          <t>0                      ND 0553000M  37                 B  58          1981</t>
        </is>
      </c>
      <c r="D526" t="inlineStr">
        <is>
          <t>Henri Matisse and neo-impressionism, 1898-1908 / by Catherine C. Bock.</t>
        </is>
      </c>
      <c r="F526" t="inlineStr">
        <is>
          <t>No</t>
        </is>
      </c>
      <c r="G526" t="inlineStr">
        <is>
          <t>1</t>
        </is>
      </c>
      <c r="H526" t="inlineStr">
        <is>
          <t>No</t>
        </is>
      </c>
      <c r="I526" t="inlineStr">
        <is>
          <t>No</t>
        </is>
      </c>
      <c r="J526" t="inlineStr">
        <is>
          <t>0</t>
        </is>
      </c>
      <c r="K526" t="inlineStr">
        <is>
          <t>Bock-Weiss, Catherine.</t>
        </is>
      </c>
      <c r="L526" t="inlineStr">
        <is>
          <t>Ann Arbor, Mich. : UMI Research Press, c1981.</t>
        </is>
      </c>
      <c r="M526" t="inlineStr">
        <is>
          <t>1981</t>
        </is>
      </c>
      <c r="O526" t="inlineStr">
        <is>
          <t>eng</t>
        </is>
      </c>
      <c r="P526" t="inlineStr">
        <is>
          <t>miu</t>
        </is>
      </c>
      <c r="Q526" t="inlineStr">
        <is>
          <t>Studies in the fine arts. Avant-garde ; no. 13</t>
        </is>
      </c>
      <c r="R526" t="inlineStr">
        <is>
          <t xml:space="preserve">ND </t>
        </is>
      </c>
      <c r="S526" t="n">
        <v>4</v>
      </c>
      <c r="T526" t="n">
        <v>4</v>
      </c>
      <c r="U526" t="inlineStr">
        <is>
          <t>1999-03-17</t>
        </is>
      </c>
      <c r="V526" t="inlineStr">
        <is>
          <t>1999-03-17</t>
        </is>
      </c>
      <c r="W526" t="inlineStr">
        <is>
          <t>1990-03-05</t>
        </is>
      </c>
      <c r="X526" t="inlineStr">
        <is>
          <t>1990-03-05</t>
        </is>
      </c>
      <c r="Y526" t="n">
        <v>308</v>
      </c>
      <c r="Z526" t="n">
        <v>222</v>
      </c>
      <c r="AA526" t="n">
        <v>226</v>
      </c>
      <c r="AB526" t="n">
        <v>3</v>
      </c>
      <c r="AC526" t="n">
        <v>3</v>
      </c>
      <c r="AD526" t="n">
        <v>10</v>
      </c>
      <c r="AE526" t="n">
        <v>10</v>
      </c>
      <c r="AF526" t="n">
        <v>5</v>
      </c>
      <c r="AG526" t="n">
        <v>5</v>
      </c>
      <c r="AH526" t="n">
        <v>1</v>
      </c>
      <c r="AI526" t="n">
        <v>1</v>
      </c>
      <c r="AJ526" t="n">
        <v>4</v>
      </c>
      <c r="AK526" t="n">
        <v>4</v>
      </c>
      <c r="AL526" t="n">
        <v>2</v>
      </c>
      <c r="AM526" t="n">
        <v>2</v>
      </c>
      <c r="AN526" t="n">
        <v>0</v>
      </c>
      <c r="AO526" t="n">
        <v>0</v>
      </c>
      <c r="AP526" t="inlineStr">
        <is>
          <t>No</t>
        </is>
      </c>
      <c r="AQ526" t="inlineStr">
        <is>
          <t>Yes</t>
        </is>
      </c>
      <c r="AR526">
        <f>HYPERLINK("http://catalog.hathitrust.org/Record/000182814","HathiTrust Record")</f>
        <v/>
      </c>
      <c r="AS526">
        <f>HYPERLINK("https://creighton-primo.hosted.exlibrisgroup.com/primo-explore/search?tab=default_tab&amp;search_scope=EVERYTHING&amp;vid=01CRU&amp;lang=en_US&amp;offset=0&amp;query=any,contains,991005096579702656","Catalog Record")</f>
        <v/>
      </c>
      <c r="AT526">
        <f>HYPERLINK("http://www.worldcat.org/oclc/7274128","WorldCat Record")</f>
        <v/>
      </c>
      <c r="AU526" t="inlineStr">
        <is>
          <t>7973014:eng</t>
        </is>
      </c>
      <c r="AV526" t="inlineStr">
        <is>
          <t>7274128</t>
        </is>
      </c>
      <c r="AW526" t="inlineStr">
        <is>
          <t>991005096579702656</t>
        </is>
      </c>
      <c r="AX526" t="inlineStr">
        <is>
          <t>991005096579702656</t>
        </is>
      </c>
      <c r="AY526" t="inlineStr">
        <is>
          <t>2260318620002656</t>
        </is>
      </c>
      <c r="AZ526" t="inlineStr">
        <is>
          <t>BOOK</t>
        </is>
      </c>
      <c r="BB526" t="inlineStr">
        <is>
          <t>9780835711692</t>
        </is>
      </c>
      <c r="BC526" t="inlineStr">
        <is>
          <t>32285000077734</t>
        </is>
      </c>
      <c r="BD526" t="inlineStr">
        <is>
          <t>893870501</t>
        </is>
      </c>
    </row>
    <row r="527">
      <c r="A527" t="inlineStr">
        <is>
          <t>No</t>
        </is>
      </c>
      <c r="B527" t="inlineStr">
        <is>
          <t>ND553.M37 K57 2001</t>
        </is>
      </c>
      <c r="C527" t="inlineStr">
        <is>
          <t>0                      ND 0553000M  37                 K  57          2001</t>
        </is>
      </c>
      <c r="D527" t="inlineStr">
        <is>
          <t>Matisse portraits / John Klein.</t>
        </is>
      </c>
      <c r="F527" t="inlineStr">
        <is>
          <t>No</t>
        </is>
      </c>
      <c r="G527" t="inlineStr">
        <is>
          <t>1</t>
        </is>
      </c>
      <c r="H527" t="inlineStr">
        <is>
          <t>No</t>
        </is>
      </c>
      <c r="I527" t="inlineStr">
        <is>
          <t>No</t>
        </is>
      </c>
      <c r="J527" t="inlineStr">
        <is>
          <t>0</t>
        </is>
      </c>
      <c r="K527" t="inlineStr">
        <is>
          <t>Klein, John, 1953-</t>
        </is>
      </c>
      <c r="L527" t="inlineStr">
        <is>
          <t>New Haven : Yale University Press, c2001.</t>
        </is>
      </c>
      <c r="M527" t="inlineStr">
        <is>
          <t>2001</t>
        </is>
      </c>
      <c r="O527" t="inlineStr">
        <is>
          <t>eng</t>
        </is>
      </c>
      <c r="P527" t="inlineStr">
        <is>
          <t>ctu</t>
        </is>
      </c>
      <c r="R527" t="inlineStr">
        <is>
          <t xml:space="preserve">ND </t>
        </is>
      </c>
      <c r="S527" t="n">
        <v>1</v>
      </c>
      <c r="T527" t="n">
        <v>1</v>
      </c>
      <c r="U527" t="inlineStr">
        <is>
          <t>2004-02-03</t>
        </is>
      </c>
      <c r="V527" t="inlineStr">
        <is>
          <t>2004-02-03</t>
        </is>
      </c>
      <c r="W527" t="inlineStr">
        <is>
          <t>2004-02-03</t>
        </is>
      </c>
      <c r="X527" t="inlineStr">
        <is>
          <t>2004-02-03</t>
        </is>
      </c>
      <c r="Y527" t="n">
        <v>818</v>
      </c>
      <c r="Z527" t="n">
        <v>681</v>
      </c>
      <c r="AA527" t="n">
        <v>681</v>
      </c>
      <c r="AB527" t="n">
        <v>4</v>
      </c>
      <c r="AC527" t="n">
        <v>4</v>
      </c>
      <c r="AD527" t="n">
        <v>25</v>
      </c>
      <c r="AE527" t="n">
        <v>25</v>
      </c>
      <c r="AF527" t="n">
        <v>11</v>
      </c>
      <c r="AG527" t="n">
        <v>11</v>
      </c>
      <c r="AH527" t="n">
        <v>6</v>
      </c>
      <c r="AI527" t="n">
        <v>6</v>
      </c>
      <c r="AJ527" t="n">
        <v>11</v>
      </c>
      <c r="AK527" t="n">
        <v>11</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HYPERLINK("https://creighton-primo.hosted.exlibrisgroup.com/primo-explore/search?tab=default_tab&amp;search_scope=EVERYTHING&amp;vid=01CRU&amp;lang=en_US&amp;offset=0&amp;query=any,contains,991004220529702656","Catalog Record")</f>
        <v/>
      </c>
      <c r="AT527">
        <f>HYPERLINK("http://www.worldcat.org/oclc/46420156","WorldCat Record")</f>
        <v/>
      </c>
      <c r="AU527" t="inlineStr">
        <is>
          <t>118665923:eng</t>
        </is>
      </c>
      <c r="AV527" t="inlineStr">
        <is>
          <t>46420156</t>
        </is>
      </c>
      <c r="AW527" t="inlineStr">
        <is>
          <t>991004220529702656</t>
        </is>
      </c>
      <c r="AX527" t="inlineStr">
        <is>
          <t>991004220529702656</t>
        </is>
      </c>
      <c r="AY527" t="inlineStr">
        <is>
          <t>2260385320002656</t>
        </is>
      </c>
      <c r="AZ527" t="inlineStr">
        <is>
          <t>BOOK</t>
        </is>
      </c>
      <c r="BB527" t="inlineStr">
        <is>
          <t>9780300081008</t>
        </is>
      </c>
      <c r="BC527" t="inlineStr">
        <is>
          <t>32285004637103</t>
        </is>
      </c>
      <c r="BD527" t="inlineStr">
        <is>
          <t>893718648</t>
        </is>
      </c>
    </row>
    <row r="528">
      <c r="A528" t="inlineStr">
        <is>
          <t>No</t>
        </is>
      </c>
      <c r="B528" t="inlineStr">
        <is>
          <t>ND553.M37 L313</t>
        </is>
      </c>
      <c r="C528" t="inlineStr">
        <is>
          <t>0                      ND 0553000M  37                 L  313</t>
        </is>
      </c>
      <c r="D528" t="inlineStr">
        <is>
          <t>Matisse : biographical and critical study / translated by Stuart Gilbert.</t>
        </is>
      </c>
      <c r="F528" t="inlineStr">
        <is>
          <t>No</t>
        </is>
      </c>
      <c r="G528" t="inlineStr">
        <is>
          <t>1</t>
        </is>
      </c>
      <c r="H528" t="inlineStr">
        <is>
          <t>No</t>
        </is>
      </c>
      <c r="I528" t="inlineStr">
        <is>
          <t>No</t>
        </is>
      </c>
      <c r="J528" t="inlineStr">
        <is>
          <t>0</t>
        </is>
      </c>
      <c r="K528" t="inlineStr">
        <is>
          <t>Lassaigne, Jacques, 1911-1983.</t>
        </is>
      </c>
      <c r="L528" t="inlineStr">
        <is>
          <t>[Geneva] : Skira, [1959]</t>
        </is>
      </c>
      <c r="M528" t="inlineStr">
        <is>
          <t>1959</t>
        </is>
      </c>
      <c r="O528" t="inlineStr">
        <is>
          <t>eng</t>
        </is>
      </c>
      <c r="P528" t="inlineStr">
        <is>
          <t xml:space="preserve">sz </t>
        </is>
      </c>
      <c r="Q528" t="inlineStr">
        <is>
          <t>The Taste of our time, 30</t>
        </is>
      </c>
      <c r="R528" t="inlineStr">
        <is>
          <t xml:space="preserve">ND </t>
        </is>
      </c>
      <c r="S528" t="n">
        <v>20</v>
      </c>
      <c r="T528" t="n">
        <v>20</v>
      </c>
      <c r="U528" t="inlineStr">
        <is>
          <t>2000-03-13</t>
        </is>
      </c>
      <c r="V528" t="inlineStr">
        <is>
          <t>2000-03-13</t>
        </is>
      </c>
      <c r="W528" t="inlineStr">
        <is>
          <t>1992-09-09</t>
        </is>
      </c>
      <c r="X528" t="inlineStr">
        <is>
          <t>1992-09-09</t>
        </is>
      </c>
      <c r="Y528" t="n">
        <v>775</v>
      </c>
      <c r="Z528" t="n">
        <v>711</v>
      </c>
      <c r="AA528" t="n">
        <v>784</v>
      </c>
      <c r="AB528" t="n">
        <v>8</v>
      </c>
      <c r="AC528" t="n">
        <v>10</v>
      </c>
      <c r="AD528" t="n">
        <v>30</v>
      </c>
      <c r="AE528" t="n">
        <v>34</v>
      </c>
      <c r="AF528" t="n">
        <v>11</v>
      </c>
      <c r="AG528" t="n">
        <v>13</v>
      </c>
      <c r="AH528" t="n">
        <v>5</v>
      </c>
      <c r="AI528" t="n">
        <v>5</v>
      </c>
      <c r="AJ528" t="n">
        <v>12</v>
      </c>
      <c r="AK528" t="n">
        <v>14</v>
      </c>
      <c r="AL528" t="n">
        <v>6</v>
      </c>
      <c r="AM528" t="n">
        <v>8</v>
      </c>
      <c r="AN528" t="n">
        <v>0</v>
      </c>
      <c r="AO528" t="n">
        <v>0</v>
      </c>
      <c r="AP528" t="inlineStr">
        <is>
          <t>No</t>
        </is>
      </c>
      <c r="AQ528" t="inlineStr">
        <is>
          <t>Yes</t>
        </is>
      </c>
      <c r="AR528">
        <f>HYPERLINK("http://catalog.hathitrust.org/Record/000416486","HathiTrust Record")</f>
        <v/>
      </c>
      <c r="AS528">
        <f>HYPERLINK("https://creighton-primo.hosted.exlibrisgroup.com/primo-explore/search?tab=default_tab&amp;search_scope=EVERYTHING&amp;vid=01CRU&amp;lang=en_US&amp;offset=0&amp;query=any,contains,991003940809702656","Catalog Record")</f>
        <v/>
      </c>
      <c r="AT528">
        <f>HYPERLINK("http://www.worldcat.org/oclc/1929966","WorldCat Record")</f>
        <v/>
      </c>
      <c r="AU528" t="inlineStr">
        <is>
          <t>4919773218:eng</t>
        </is>
      </c>
      <c r="AV528" t="inlineStr">
        <is>
          <t>1929966</t>
        </is>
      </c>
      <c r="AW528" t="inlineStr">
        <is>
          <t>991003940809702656</t>
        </is>
      </c>
      <c r="AX528" t="inlineStr">
        <is>
          <t>991003940809702656</t>
        </is>
      </c>
      <c r="AY528" t="inlineStr">
        <is>
          <t>2256524500002656</t>
        </is>
      </c>
      <c r="AZ528" t="inlineStr">
        <is>
          <t>BOOK</t>
        </is>
      </c>
      <c r="BC528" t="inlineStr">
        <is>
          <t>32285001297034</t>
        </is>
      </c>
      <c r="BD528" t="inlineStr">
        <is>
          <t>893810276</t>
        </is>
      </c>
    </row>
    <row r="529">
      <c r="A529" t="inlineStr">
        <is>
          <t>No</t>
        </is>
      </c>
      <c r="B529" t="inlineStr">
        <is>
          <t>ND553.M37 R8</t>
        </is>
      </c>
      <c r="C529" t="inlineStr">
        <is>
          <t>0                      ND 0553000M  37                 R  8</t>
        </is>
      </c>
      <c r="D529" t="inlineStr">
        <is>
          <t>The world of Matisse, 1869-1954 / by John Russell and the editors of Time-Life Books.</t>
        </is>
      </c>
      <c r="F529" t="inlineStr">
        <is>
          <t>No</t>
        </is>
      </c>
      <c r="G529" t="inlineStr">
        <is>
          <t>1</t>
        </is>
      </c>
      <c r="H529" t="inlineStr">
        <is>
          <t>No</t>
        </is>
      </c>
      <c r="I529" t="inlineStr">
        <is>
          <t>No</t>
        </is>
      </c>
      <c r="J529" t="inlineStr">
        <is>
          <t>0</t>
        </is>
      </c>
      <c r="K529" t="inlineStr">
        <is>
          <t>Russell, John, 1919-2008.</t>
        </is>
      </c>
      <c r="L529" t="inlineStr">
        <is>
          <t>New York : Time-Life Books, [1969]</t>
        </is>
      </c>
      <c r="M529" t="inlineStr">
        <is>
          <t>1969</t>
        </is>
      </c>
      <c r="O529" t="inlineStr">
        <is>
          <t>eng</t>
        </is>
      </c>
      <c r="P529" t="inlineStr">
        <is>
          <t>nyu</t>
        </is>
      </c>
      <c r="Q529" t="inlineStr">
        <is>
          <t>Time-Life library of art</t>
        </is>
      </c>
      <c r="R529" t="inlineStr">
        <is>
          <t xml:space="preserve">ND </t>
        </is>
      </c>
      <c r="S529" t="n">
        <v>13</v>
      </c>
      <c r="T529" t="n">
        <v>13</v>
      </c>
      <c r="U529" t="inlineStr">
        <is>
          <t>1999-04-06</t>
        </is>
      </c>
      <c r="V529" t="inlineStr">
        <is>
          <t>1999-04-06</t>
        </is>
      </c>
      <c r="W529" t="inlineStr">
        <is>
          <t>1992-09-09</t>
        </is>
      </c>
      <c r="X529" t="inlineStr">
        <is>
          <t>1992-09-09</t>
        </is>
      </c>
      <c r="Y529" t="n">
        <v>2612</v>
      </c>
      <c r="Z529" t="n">
        <v>2465</v>
      </c>
      <c r="AA529" t="n">
        <v>2603</v>
      </c>
      <c r="AB529" t="n">
        <v>20</v>
      </c>
      <c r="AC529" t="n">
        <v>21</v>
      </c>
      <c r="AD529" t="n">
        <v>40</v>
      </c>
      <c r="AE529" t="n">
        <v>42</v>
      </c>
      <c r="AF529" t="n">
        <v>14</v>
      </c>
      <c r="AG529" t="n">
        <v>15</v>
      </c>
      <c r="AH529" t="n">
        <v>7</v>
      </c>
      <c r="AI529" t="n">
        <v>8</v>
      </c>
      <c r="AJ529" t="n">
        <v>22</v>
      </c>
      <c r="AK529" t="n">
        <v>23</v>
      </c>
      <c r="AL529" t="n">
        <v>8</v>
      </c>
      <c r="AM529" t="n">
        <v>8</v>
      </c>
      <c r="AN529" t="n">
        <v>0</v>
      </c>
      <c r="AO529" t="n">
        <v>0</v>
      </c>
      <c r="AP529" t="inlineStr">
        <is>
          <t>No</t>
        </is>
      </c>
      <c r="AQ529" t="inlineStr">
        <is>
          <t>Yes</t>
        </is>
      </c>
      <c r="AR529">
        <f>HYPERLINK("http://catalog.hathitrust.org/Record/000416539","HathiTrust Record")</f>
        <v/>
      </c>
      <c r="AS529">
        <f>HYPERLINK("https://creighton-primo.hosted.exlibrisgroup.com/primo-explore/search?tab=default_tab&amp;search_scope=EVERYTHING&amp;vid=01CRU&amp;lang=en_US&amp;offset=0&amp;query=any,contains,991005439119702656","Catalog Record")</f>
        <v/>
      </c>
      <c r="AT529">
        <f>HYPERLINK("http://www.worldcat.org/oclc/6331","WorldCat Record")</f>
        <v/>
      </c>
      <c r="AU529" t="inlineStr">
        <is>
          <t>142266068:eng</t>
        </is>
      </c>
      <c r="AV529" t="inlineStr">
        <is>
          <t>6331</t>
        </is>
      </c>
      <c r="AW529" t="inlineStr">
        <is>
          <t>991005439119702656</t>
        </is>
      </c>
      <c r="AX529" t="inlineStr">
        <is>
          <t>991005439119702656</t>
        </is>
      </c>
      <c r="AY529" t="inlineStr">
        <is>
          <t>2265083980002656</t>
        </is>
      </c>
      <c r="AZ529" t="inlineStr">
        <is>
          <t>BOOK</t>
        </is>
      </c>
      <c r="BC529" t="inlineStr">
        <is>
          <t>32285001297026</t>
        </is>
      </c>
      <c r="BD529" t="inlineStr">
        <is>
          <t>893902728</t>
        </is>
      </c>
    </row>
    <row r="530">
      <c r="A530" t="inlineStr">
        <is>
          <t>No</t>
        </is>
      </c>
      <c r="B530" t="inlineStr">
        <is>
          <t>ND553.M6 L4 1975</t>
        </is>
      </c>
      <c r="C530" t="inlineStr">
        <is>
          <t>0                      ND 0553000M  6                  L  4           1975</t>
        </is>
      </c>
      <c r="D530" t="inlineStr">
        <is>
          <t>Millet's universe / Jean-Jacques Lévêque ; translated by Carol Martin-Sperry.</t>
        </is>
      </c>
      <c r="F530" t="inlineStr">
        <is>
          <t>No</t>
        </is>
      </c>
      <c r="G530" t="inlineStr">
        <is>
          <t>1</t>
        </is>
      </c>
      <c r="H530" t="inlineStr">
        <is>
          <t>No</t>
        </is>
      </c>
      <c r="I530" t="inlineStr">
        <is>
          <t>No</t>
        </is>
      </c>
      <c r="J530" t="inlineStr">
        <is>
          <t>0</t>
        </is>
      </c>
      <c r="K530" t="inlineStr">
        <is>
          <t>Lévêque, Jean Jacques.</t>
        </is>
      </c>
      <c r="L530" t="inlineStr">
        <is>
          <t>Paris : H. Scrépel ; Woodbury, N.Y. : Barrons, 1975.</t>
        </is>
      </c>
      <c r="M530" t="inlineStr">
        <is>
          <t>1975</t>
        </is>
      </c>
      <c r="O530" t="inlineStr">
        <is>
          <t>eng</t>
        </is>
      </c>
      <c r="P530" t="inlineStr">
        <is>
          <t>nyu</t>
        </is>
      </c>
      <c r="Q530" t="inlineStr">
        <is>
          <t>Les carnets de dessins</t>
        </is>
      </c>
      <c r="R530" t="inlineStr">
        <is>
          <t xml:space="preserve">ND </t>
        </is>
      </c>
      <c r="S530" t="n">
        <v>5</v>
      </c>
      <c r="T530" t="n">
        <v>5</v>
      </c>
      <c r="U530" t="inlineStr">
        <is>
          <t>2009-11-17</t>
        </is>
      </c>
      <c r="V530" t="inlineStr">
        <is>
          <t>2009-11-17</t>
        </is>
      </c>
      <c r="W530" t="inlineStr">
        <is>
          <t>1991-12-09</t>
        </is>
      </c>
      <c r="X530" t="inlineStr">
        <is>
          <t>1991-12-09</t>
        </is>
      </c>
      <c r="Y530" t="n">
        <v>198</v>
      </c>
      <c r="Z530" t="n">
        <v>174</v>
      </c>
      <c r="AA530" t="n">
        <v>174</v>
      </c>
      <c r="AB530" t="n">
        <v>2</v>
      </c>
      <c r="AC530" t="n">
        <v>2</v>
      </c>
      <c r="AD530" t="n">
        <v>6</v>
      </c>
      <c r="AE530" t="n">
        <v>6</v>
      </c>
      <c r="AF530" t="n">
        <v>2</v>
      </c>
      <c r="AG530" t="n">
        <v>2</v>
      </c>
      <c r="AH530" t="n">
        <v>1</v>
      </c>
      <c r="AI530" t="n">
        <v>1</v>
      </c>
      <c r="AJ530" t="n">
        <v>3</v>
      </c>
      <c r="AK530" t="n">
        <v>3</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HYPERLINK("https://creighton-primo.hosted.exlibrisgroup.com/primo-explore/search?tab=default_tab&amp;search_scope=EVERYTHING&amp;vid=01CRU&amp;lang=en_US&amp;offset=0&amp;query=any,contains,991004322789702656","Catalog Record")</f>
        <v/>
      </c>
      <c r="AT530">
        <f>HYPERLINK("http://www.worldcat.org/oclc/3023073","WorldCat Record")</f>
        <v/>
      </c>
      <c r="AU530" t="inlineStr">
        <is>
          <t>7328862:eng</t>
        </is>
      </c>
      <c r="AV530" t="inlineStr">
        <is>
          <t>3023073</t>
        </is>
      </c>
      <c r="AW530" t="inlineStr">
        <is>
          <t>991004322789702656</t>
        </is>
      </c>
      <c r="AX530" t="inlineStr">
        <is>
          <t>991004322789702656</t>
        </is>
      </c>
      <c r="AY530" t="inlineStr">
        <is>
          <t>2261663760002656</t>
        </is>
      </c>
      <c r="AZ530" t="inlineStr">
        <is>
          <t>BOOK</t>
        </is>
      </c>
      <c r="BC530" t="inlineStr">
        <is>
          <t>32285000885441</t>
        </is>
      </c>
      <c r="BD530" t="inlineStr">
        <is>
          <t>893605879</t>
        </is>
      </c>
    </row>
    <row r="531">
      <c r="A531" t="inlineStr">
        <is>
          <t>No</t>
        </is>
      </c>
      <c r="B531" t="inlineStr">
        <is>
          <t>ND553.M7 H67 1986</t>
        </is>
      </c>
      <c r="C531" t="inlineStr">
        <is>
          <t>0                      ND 0553000M  7                  H  67          1986</t>
        </is>
      </c>
      <c r="D531" t="inlineStr">
        <is>
          <t>Monet, nature into art / John House.</t>
        </is>
      </c>
      <c r="F531" t="inlineStr">
        <is>
          <t>No</t>
        </is>
      </c>
      <c r="G531" t="inlineStr">
        <is>
          <t>1</t>
        </is>
      </c>
      <c r="H531" t="inlineStr">
        <is>
          <t>No</t>
        </is>
      </c>
      <c r="I531" t="inlineStr">
        <is>
          <t>No</t>
        </is>
      </c>
      <c r="J531" t="inlineStr">
        <is>
          <t>0</t>
        </is>
      </c>
      <c r="K531" t="inlineStr">
        <is>
          <t>House, John, 1945-2012.</t>
        </is>
      </c>
      <c r="L531" t="inlineStr">
        <is>
          <t>New Haven : Yale University Press, 1986.</t>
        </is>
      </c>
      <c r="M531" t="inlineStr">
        <is>
          <t>1986</t>
        </is>
      </c>
      <c r="O531" t="inlineStr">
        <is>
          <t>eng</t>
        </is>
      </c>
      <c r="P531" t="inlineStr">
        <is>
          <t>ctu</t>
        </is>
      </c>
      <c r="R531" t="inlineStr">
        <is>
          <t xml:space="preserve">ND </t>
        </is>
      </c>
      <c r="S531" t="n">
        <v>23</v>
      </c>
      <c r="T531" t="n">
        <v>23</v>
      </c>
      <c r="U531" t="inlineStr">
        <is>
          <t>2006-11-28</t>
        </is>
      </c>
      <c r="V531" t="inlineStr">
        <is>
          <t>2006-11-28</t>
        </is>
      </c>
      <c r="W531" t="inlineStr">
        <is>
          <t>1990-04-04</t>
        </is>
      </c>
      <c r="X531" t="inlineStr">
        <is>
          <t>1990-04-04</t>
        </is>
      </c>
      <c r="Y531" t="n">
        <v>1207</v>
      </c>
      <c r="Z531" t="n">
        <v>968</v>
      </c>
      <c r="AA531" t="n">
        <v>970</v>
      </c>
      <c r="AB531" t="n">
        <v>9</v>
      </c>
      <c r="AC531" t="n">
        <v>9</v>
      </c>
      <c r="AD531" t="n">
        <v>30</v>
      </c>
      <c r="AE531" t="n">
        <v>30</v>
      </c>
      <c r="AF531" t="n">
        <v>13</v>
      </c>
      <c r="AG531" t="n">
        <v>13</v>
      </c>
      <c r="AH531" t="n">
        <v>6</v>
      </c>
      <c r="AI531" t="n">
        <v>6</v>
      </c>
      <c r="AJ531" t="n">
        <v>15</v>
      </c>
      <c r="AK531" t="n">
        <v>15</v>
      </c>
      <c r="AL531" t="n">
        <v>4</v>
      </c>
      <c r="AM531" t="n">
        <v>4</v>
      </c>
      <c r="AN531" t="n">
        <v>0</v>
      </c>
      <c r="AO531" t="n">
        <v>0</v>
      </c>
      <c r="AP531" t="inlineStr">
        <is>
          <t>No</t>
        </is>
      </c>
      <c r="AQ531" t="inlineStr">
        <is>
          <t>Yes</t>
        </is>
      </c>
      <c r="AR531">
        <f>HYPERLINK("http://catalog.hathitrust.org/Record/000556163","HathiTrust Record")</f>
        <v/>
      </c>
      <c r="AS531">
        <f>HYPERLINK("https://creighton-primo.hosted.exlibrisgroup.com/primo-explore/search?tab=default_tab&amp;search_scope=EVERYTHING&amp;vid=01CRU&amp;lang=en_US&amp;offset=0&amp;query=any,contains,991000916449702656","Catalog Record")</f>
        <v/>
      </c>
      <c r="AT531">
        <f>HYPERLINK("http://www.worldcat.org/oclc/15285012","WorldCat Record")</f>
        <v/>
      </c>
      <c r="AU531" t="inlineStr">
        <is>
          <t>3768609772:eng</t>
        </is>
      </c>
      <c r="AV531" t="inlineStr">
        <is>
          <t>15285012</t>
        </is>
      </c>
      <c r="AW531" t="inlineStr">
        <is>
          <t>991000916449702656</t>
        </is>
      </c>
      <c r="AX531" t="inlineStr">
        <is>
          <t>991000916449702656</t>
        </is>
      </c>
      <c r="AY531" t="inlineStr">
        <is>
          <t>2268044210002656</t>
        </is>
      </c>
      <c r="AZ531" t="inlineStr">
        <is>
          <t>BOOK</t>
        </is>
      </c>
      <c r="BB531" t="inlineStr">
        <is>
          <t>9780300037852</t>
        </is>
      </c>
      <c r="BC531" t="inlineStr">
        <is>
          <t>32285000109784</t>
        </is>
      </c>
      <c r="BD531" t="inlineStr">
        <is>
          <t>893407656</t>
        </is>
      </c>
    </row>
    <row r="532">
      <c r="A532" t="inlineStr">
        <is>
          <t>No</t>
        </is>
      </c>
      <c r="B532" t="inlineStr">
        <is>
          <t>ND553.M7 J69 1985</t>
        </is>
      </c>
      <c r="C532" t="inlineStr">
        <is>
          <t>0                      ND 0553000M  7                  J  69          1985</t>
        </is>
      </c>
      <c r="D532" t="inlineStr">
        <is>
          <t>Claude Monet : life at Giverny / by Claire Joyes ; preface Gérald van der Kemp ; photographic and editorial research Jean-Marie Toulgouat.</t>
        </is>
      </c>
      <c r="F532" t="inlineStr">
        <is>
          <t>No</t>
        </is>
      </c>
      <c r="G532" t="inlineStr">
        <is>
          <t>1</t>
        </is>
      </c>
      <c r="H532" t="inlineStr">
        <is>
          <t>No</t>
        </is>
      </c>
      <c r="I532" t="inlineStr">
        <is>
          <t>No</t>
        </is>
      </c>
      <c r="J532" t="inlineStr">
        <is>
          <t>0</t>
        </is>
      </c>
      <c r="K532" t="inlineStr">
        <is>
          <t>Joyes, Claire.</t>
        </is>
      </c>
      <c r="L532" t="inlineStr">
        <is>
          <t>New York : Vendome Press : Distributed by Rizzoli International Publications, c1985.</t>
        </is>
      </c>
      <c r="M532" t="inlineStr">
        <is>
          <t>1985</t>
        </is>
      </c>
      <c r="O532" t="inlineStr">
        <is>
          <t>eng</t>
        </is>
      </c>
      <c r="P532" t="inlineStr">
        <is>
          <t>nyu</t>
        </is>
      </c>
      <c r="R532" t="inlineStr">
        <is>
          <t xml:space="preserve">ND </t>
        </is>
      </c>
      <c r="S532" t="n">
        <v>18</v>
      </c>
      <c r="T532" t="n">
        <v>18</v>
      </c>
      <c r="U532" t="inlineStr">
        <is>
          <t>2002-10-25</t>
        </is>
      </c>
      <c r="V532" t="inlineStr">
        <is>
          <t>2002-10-25</t>
        </is>
      </c>
      <c r="W532" t="inlineStr">
        <is>
          <t>1990-07-20</t>
        </is>
      </c>
      <c r="X532" t="inlineStr">
        <is>
          <t>1990-07-20</t>
        </is>
      </c>
      <c r="Y532" t="n">
        <v>450</v>
      </c>
      <c r="Z532" t="n">
        <v>420</v>
      </c>
      <c r="AA532" t="n">
        <v>426</v>
      </c>
      <c r="AB532" t="n">
        <v>3</v>
      </c>
      <c r="AC532" t="n">
        <v>3</v>
      </c>
      <c r="AD532" t="n">
        <v>6</v>
      </c>
      <c r="AE532" t="n">
        <v>6</v>
      </c>
      <c r="AF532" t="n">
        <v>2</v>
      </c>
      <c r="AG532" t="n">
        <v>2</v>
      </c>
      <c r="AH532" t="n">
        <v>1</v>
      </c>
      <c r="AI532" t="n">
        <v>1</v>
      </c>
      <c r="AJ532" t="n">
        <v>4</v>
      </c>
      <c r="AK532" t="n">
        <v>4</v>
      </c>
      <c r="AL532" t="n">
        <v>1</v>
      </c>
      <c r="AM532" t="n">
        <v>1</v>
      </c>
      <c r="AN532" t="n">
        <v>0</v>
      </c>
      <c r="AO532" t="n">
        <v>0</v>
      </c>
      <c r="AP532" t="inlineStr">
        <is>
          <t>No</t>
        </is>
      </c>
      <c r="AQ532" t="inlineStr">
        <is>
          <t>Yes</t>
        </is>
      </c>
      <c r="AR532">
        <f>HYPERLINK("http://catalog.hathitrust.org/Record/000431452","HathiTrust Record")</f>
        <v/>
      </c>
      <c r="AS532">
        <f>HYPERLINK("https://creighton-primo.hosted.exlibrisgroup.com/primo-explore/search?tab=default_tab&amp;search_scope=EVERYTHING&amp;vid=01CRU&amp;lang=en_US&amp;offset=0&amp;query=any,contains,991000642899702656","Catalog Record")</f>
        <v/>
      </c>
      <c r="AT532">
        <f>HYPERLINK("http://www.worldcat.org/oclc/12107554","WorldCat Record")</f>
        <v/>
      </c>
      <c r="AU532" t="inlineStr">
        <is>
          <t>4857350:eng</t>
        </is>
      </c>
      <c r="AV532" t="inlineStr">
        <is>
          <t>12107554</t>
        </is>
      </c>
      <c r="AW532" t="inlineStr">
        <is>
          <t>991000642899702656</t>
        </is>
      </c>
      <c r="AX532" t="inlineStr">
        <is>
          <t>991000642899702656</t>
        </is>
      </c>
      <c r="AY532" t="inlineStr">
        <is>
          <t>2268230190002656</t>
        </is>
      </c>
      <c r="AZ532" t="inlineStr">
        <is>
          <t>BOOK</t>
        </is>
      </c>
      <c r="BB532" t="inlineStr">
        <is>
          <t>9780865650534</t>
        </is>
      </c>
      <c r="BC532" t="inlineStr">
        <is>
          <t>32285000240001</t>
        </is>
      </c>
      <c r="BD532" t="inlineStr">
        <is>
          <t>893778100</t>
        </is>
      </c>
    </row>
    <row r="533">
      <c r="A533" t="inlineStr">
        <is>
          <t>No</t>
        </is>
      </c>
      <c r="B533" t="inlineStr">
        <is>
          <t>ND553.M7 N4 1969</t>
        </is>
      </c>
      <c r="C533" t="inlineStr">
        <is>
          <t>0                      ND 0553000M  7                  N  4           1969</t>
        </is>
      </c>
      <c r="D533" t="inlineStr">
        <is>
          <t>Claude Monet: seasons and moments / by William C. Seitz.</t>
        </is>
      </c>
      <c r="F533" t="inlineStr">
        <is>
          <t>No</t>
        </is>
      </c>
      <c r="G533" t="inlineStr">
        <is>
          <t>1</t>
        </is>
      </c>
      <c r="H533" t="inlineStr">
        <is>
          <t>No</t>
        </is>
      </c>
      <c r="I533" t="inlineStr">
        <is>
          <t>No</t>
        </is>
      </c>
      <c r="J533" t="inlineStr">
        <is>
          <t>0</t>
        </is>
      </c>
      <c r="K533" t="inlineStr">
        <is>
          <t>Museum of Modern Art (New York, N.Y.)</t>
        </is>
      </c>
      <c r="L533" t="inlineStr">
        <is>
          <t>[New York] Published for the Museum of Modern Art by Arno Press, 1969.</t>
        </is>
      </c>
      <c r="M533" t="inlineStr">
        <is>
          <t>1969</t>
        </is>
      </c>
      <c r="N533" t="inlineStr">
        <is>
          <t>Reprint ed.</t>
        </is>
      </c>
      <c r="O533" t="inlineStr">
        <is>
          <t>eng</t>
        </is>
      </c>
      <c r="P533" t="inlineStr">
        <is>
          <t>nyu</t>
        </is>
      </c>
      <c r="R533" t="inlineStr">
        <is>
          <t xml:space="preserve">ND </t>
        </is>
      </c>
      <c r="S533" t="n">
        <v>5</v>
      </c>
      <c r="T533" t="n">
        <v>5</v>
      </c>
      <c r="U533" t="inlineStr">
        <is>
          <t>2006-11-28</t>
        </is>
      </c>
      <c r="V533" t="inlineStr">
        <is>
          <t>2006-11-28</t>
        </is>
      </c>
      <c r="W533" t="inlineStr">
        <is>
          <t>1990-07-20</t>
        </is>
      </c>
      <c r="X533" t="inlineStr">
        <is>
          <t>1990-07-20</t>
        </is>
      </c>
      <c r="Y533" t="n">
        <v>324</v>
      </c>
      <c r="Z533" t="n">
        <v>284</v>
      </c>
      <c r="AA533" t="n">
        <v>292</v>
      </c>
      <c r="AB533" t="n">
        <v>2</v>
      </c>
      <c r="AC533" t="n">
        <v>2</v>
      </c>
      <c r="AD533" t="n">
        <v>15</v>
      </c>
      <c r="AE533" t="n">
        <v>15</v>
      </c>
      <c r="AF533" t="n">
        <v>6</v>
      </c>
      <c r="AG533" t="n">
        <v>6</v>
      </c>
      <c r="AH533" t="n">
        <v>1</v>
      </c>
      <c r="AI533" t="n">
        <v>1</v>
      </c>
      <c r="AJ533" t="n">
        <v>11</v>
      </c>
      <c r="AK533" t="n">
        <v>11</v>
      </c>
      <c r="AL533" t="n">
        <v>1</v>
      </c>
      <c r="AM533" t="n">
        <v>1</v>
      </c>
      <c r="AN533" t="n">
        <v>0</v>
      </c>
      <c r="AO533" t="n">
        <v>0</v>
      </c>
      <c r="AP533" t="inlineStr">
        <is>
          <t>No</t>
        </is>
      </c>
      <c r="AQ533" t="inlineStr">
        <is>
          <t>Yes</t>
        </is>
      </c>
      <c r="AR533">
        <f>HYPERLINK("http://catalog.hathitrust.org/Record/008232020","HathiTrust Record")</f>
        <v/>
      </c>
      <c r="AS533">
        <f>HYPERLINK("https://creighton-primo.hosted.exlibrisgroup.com/primo-explore/search?tab=default_tab&amp;search_scope=EVERYTHING&amp;vid=01CRU&amp;lang=en_US&amp;offset=0&amp;query=any,contains,991000539349702656","Catalog Record")</f>
        <v/>
      </c>
      <c r="AT533">
        <f>HYPERLINK("http://www.worldcat.org/oclc/90237","WorldCat Record")</f>
        <v/>
      </c>
      <c r="AU533" t="inlineStr">
        <is>
          <t>4917332237:eng</t>
        </is>
      </c>
      <c r="AV533" t="inlineStr">
        <is>
          <t>90237</t>
        </is>
      </c>
      <c r="AW533" t="inlineStr">
        <is>
          <t>991000539349702656</t>
        </is>
      </c>
      <c r="AX533" t="inlineStr">
        <is>
          <t>991000539349702656</t>
        </is>
      </c>
      <c r="AY533" t="inlineStr">
        <is>
          <t>2266255910002656</t>
        </is>
      </c>
      <c r="AZ533" t="inlineStr">
        <is>
          <t>BOOK</t>
        </is>
      </c>
      <c r="BC533" t="inlineStr">
        <is>
          <t>32285000245026</t>
        </is>
      </c>
      <c r="BD533" t="inlineStr">
        <is>
          <t>893438351</t>
        </is>
      </c>
    </row>
    <row r="534">
      <c r="A534" t="inlineStr">
        <is>
          <t>No</t>
        </is>
      </c>
      <c r="B534" t="inlineStr">
        <is>
          <t>ND553.M7 P56 1990</t>
        </is>
      </c>
      <c r="C534" t="inlineStr">
        <is>
          <t>0                      ND 0553000M  7                  P  56          1990</t>
        </is>
      </c>
      <c r="D534" t="inlineStr">
        <is>
          <t>Monet's cathedral : Rouen, 1892-1894 / Joachim Pissarro.</t>
        </is>
      </c>
      <c r="F534" t="inlineStr">
        <is>
          <t>No</t>
        </is>
      </c>
      <c r="G534" t="inlineStr">
        <is>
          <t>1</t>
        </is>
      </c>
      <c r="H534" t="inlineStr">
        <is>
          <t>No</t>
        </is>
      </c>
      <c r="I534" t="inlineStr">
        <is>
          <t>No</t>
        </is>
      </c>
      <c r="J534" t="inlineStr">
        <is>
          <t>0</t>
        </is>
      </c>
      <c r="K534" t="inlineStr">
        <is>
          <t>Pissarro, Joachim.</t>
        </is>
      </c>
      <c r="L534" t="inlineStr">
        <is>
          <t>New York : Knopf : Distributed by Random House, 1990.</t>
        </is>
      </c>
      <c r="M534" t="inlineStr">
        <is>
          <t>1990</t>
        </is>
      </c>
      <c r="N534" t="inlineStr">
        <is>
          <t>1st American ed.</t>
        </is>
      </c>
      <c r="O534" t="inlineStr">
        <is>
          <t>eng</t>
        </is>
      </c>
      <c r="P534" t="inlineStr">
        <is>
          <t>nyu</t>
        </is>
      </c>
      <c r="R534" t="inlineStr">
        <is>
          <t xml:space="preserve">ND </t>
        </is>
      </c>
      <c r="S534" t="n">
        <v>13</v>
      </c>
      <c r="T534" t="n">
        <v>13</v>
      </c>
      <c r="U534" t="inlineStr">
        <is>
          <t>2008-04-22</t>
        </is>
      </c>
      <c r="V534" t="inlineStr">
        <is>
          <t>2008-04-22</t>
        </is>
      </c>
      <c r="W534" t="inlineStr">
        <is>
          <t>1991-06-13</t>
        </is>
      </c>
      <c r="X534" t="inlineStr">
        <is>
          <t>1991-06-13</t>
        </is>
      </c>
      <c r="Y534" t="n">
        <v>418</v>
      </c>
      <c r="Z534" t="n">
        <v>379</v>
      </c>
      <c r="AA534" t="n">
        <v>432</v>
      </c>
      <c r="AB534" t="n">
        <v>1</v>
      </c>
      <c r="AC534" t="n">
        <v>2</v>
      </c>
      <c r="AD534" t="n">
        <v>11</v>
      </c>
      <c r="AE534" t="n">
        <v>13</v>
      </c>
      <c r="AF534" t="n">
        <v>6</v>
      </c>
      <c r="AG534" t="n">
        <v>6</v>
      </c>
      <c r="AH534" t="n">
        <v>2</v>
      </c>
      <c r="AI534" t="n">
        <v>2</v>
      </c>
      <c r="AJ534" t="n">
        <v>8</v>
      </c>
      <c r="AK534" t="n">
        <v>9</v>
      </c>
      <c r="AL534" t="n">
        <v>0</v>
      </c>
      <c r="AM534" t="n">
        <v>1</v>
      </c>
      <c r="AN534" t="n">
        <v>0</v>
      </c>
      <c r="AO534" t="n">
        <v>0</v>
      </c>
      <c r="AP534" t="inlineStr">
        <is>
          <t>No</t>
        </is>
      </c>
      <c r="AQ534" t="inlineStr">
        <is>
          <t>Yes</t>
        </is>
      </c>
      <c r="AR534">
        <f>HYPERLINK("http://catalog.hathitrust.org/Record/002428062","HathiTrust Record")</f>
        <v/>
      </c>
      <c r="AS534">
        <f>HYPERLINK("https://creighton-primo.hosted.exlibrisgroup.com/primo-explore/search?tab=default_tab&amp;search_scope=EVERYTHING&amp;vid=01CRU&amp;lang=en_US&amp;offset=0&amp;query=any,contains,991001674029702656","Catalog Record")</f>
        <v/>
      </c>
      <c r="AT534">
        <f>HYPERLINK("http://www.worldcat.org/oclc/21303926","WorldCat Record")</f>
        <v/>
      </c>
      <c r="AU534" t="inlineStr">
        <is>
          <t>22849851:eng</t>
        </is>
      </c>
      <c r="AV534" t="inlineStr">
        <is>
          <t>21303926</t>
        </is>
      </c>
      <c r="AW534" t="inlineStr">
        <is>
          <t>991001674029702656</t>
        </is>
      </c>
      <c r="AX534" t="inlineStr">
        <is>
          <t>991001674029702656</t>
        </is>
      </c>
      <c r="AY534" t="inlineStr">
        <is>
          <t>2263129590002656</t>
        </is>
      </c>
      <c r="AZ534" t="inlineStr">
        <is>
          <t>BOOK</t>
        </is>
      </c>
      <c r="BB534" t="inlineStr">
        <is>
          <t>9780394588711</t>
        </is>
      </c>
      <c r="BC534" t="inlineStr">
        <is>
          <t>32285000656131</t>
        </is>
      </c>
      <c r="BD534" t="inlineStr">
        <is>
          <t>893439317</t>
        </is>
      </c>
    </row>
    <row r="535">
      <c r="A535" t="inlineStr">
        <is>
          <t>No</t>
        </is>
      </c>
      <c r="B535" t="inlineStr">
        <is>
          <t>ND553.M7 R65</t>
        </is>
      </c>
      <c r="C535" t="inlineStr">
        <is>
          <t>0                      ND 0553000M  7                  R  65</t>
        </is>
      </c>
      <c r="D535" t="inlineStr">
        <is>
          <t>Claude Monet / [Introd. and conclusion by Léon Degand. Historical and critical study by Denis Rouart. Translated by James Emmons.</t>
        </is>
      </c>
      <c r="F535" t="inlineStr">
        <is>
          <t>No</t>
        </is>
      </c>
      <c r="G535" t="inlineStr">
        <is>
          <t>1</t>
        </is>
      </c>
      <c r="H535" t="inlineStr">
        <is>
          <t>No</t>
        </is>
      </c>
      <c r="I535" t="inlineStr">
        <is>
          <t>No</t>
        </is>
      </c>
      <c r="J535" t="inlineStr">
        <is>
          <t>0</t>
        </is>
      </c>
      <c r="K535" t="inlineStr">
        <is>
          <t>Rouart, Denis.</t>
        </is>
      </c>
      <c r="L535" t="inlineStr">
        <is>
          <t>New York] : Skira, [1958]</t>
        </is>
      </c>
      <c r="M535" t="inlineStr">
        <is>
          <t>1958</t>
        </is>
      </c>
      <c r="O535" t="inlineStr">
        <is>
          <t>eng</t>
        </is>
      </c>
      <c r="P535" t="inlineStr">
        <is>
          <t>nyu</t>
        </is>
      </c>
      <c r="Q535" t="inlineStr">
        <is>
          <t>The Taste of our time, 25</t>
        </is>
      </c>
      <c r="R535" t="inlineStr">
        <is>
          <t xml:space="preserve">ND </t>
        </is>
      </c>
      <c r="S535" t="n">
        <v>8</v>
      </c>
      <c r="T535" t="n">
        <v>8</v>
      </c>
      <c r="U535" t="inlineStr">
        <is>
          <t>2002-02-13</t>
        </is>
      </c>
      <c r="V535" t="inlineStr">
        <is>
          <t>2002-02-13</t>
        </is>
      </c>
      <c r="W535" t="inlineStr">
        <is>
          <t>1991-12-02</t>
        </is>
      </c>
      <c r="X535" t="inlineStr">
        <is>
          <t>1991-12-02</t>
        </is>
      </c>
      <c r="Y535" t="n">
        <v>668</v>
      </c>
      <c r="Z535" t="n">
        <v>590</v>
      </c>
      <c r="AA535" t="n">
        <v>598</v>
      </c>
      <c r="AB535" t="n">
        <v>4</v>
      </c>
      <c r="AC535" t="n">
        <v>4</v>
      </c>
      <c r="AD535" t="n">
        <v>16</v>
      </c>
      <c r="AE535" t="n">
        <v>16</v>
      </c>
      <c r="AF535" t="n">
        <v>5</v>
      </c>
      <c r="AG535" t="n">
        <v>5</v>
      </c>
      <c r="AH535" t="n">
        <v>3</v>
      </c>
      <c r="AI535" t="n">
        <v>3</v>
      </c>
      <c r="AJ535" t="n">
        <v>8</v>
      </c>
      <c r="AK535" t="n">
        <v>8</v>
      </c>
      <c r="AL535" t="n">
        <v>2</v>
      </c>
      <c r="AM535" t="n">
        <v>2</v>
      </c>
      <c r="AN535" t="n">
        <v>0</v>
      </c>
      <c r="AO535" t="n">
        <v>0</v>
      </c>
      <c r="AP535" t="inlineStr">
        <is>
          <t>No</t>
        </is>
      </c>
      <c r="AQ535" t="inlineStr">
        <is>
          <t>Yes</t>
        </is>
      </c>
      <c r="AR535">
        <f>HYPERLINK("http://catalog.hathitrust.org/Record/003509893","HathiTrust Record")</f>
        <v/>
      </c>
      <c r="AS535">
        <f>HYPERLINK("https://creighton-primo.hosted.exlibrisgroup.com/primo-explore/search?tab=default_tab&amp;search_scope=EVERYTHING&amp;vid=01CRU&amp;lang=en_US&amp;offset=0&amp;query=any,contains,991002903879702656","Catalog Record")</f>
        <v/>
      </c>
      <c r="AT535">
        <f>HYPERLINK("http://www.worldcat.org/oclc/518538","WorldCat Record")</f>
        <v/>
      </c>
      <c r="AU535" t="inlineStr">
        <is>
          <t>3768408499:eng</t>
        </is>
      </c>
      <c r="AV535" t="inlineStr">
        <is>
          <t>518538</t>
        </is>
      </c>
      <c r="AW535" t="inlineStr">
        <is>
          <t>991002903879702656</t>
        </is>
      </c>
      <c r="AX535" t="inlineStr">
        <is>
          <t>991002903879702656</t>
        </is>
      </c>
      <c r="AY535" t="inlineStr">
        <is>
          <t>2255751110002656</t>
        </is>
      </c>
      <c r="AZ535" t="inlineStr">
        <is>
          <t>BOOK</t>
        </is>
      </c>
      <c r="BC535" t="inlineStr">
        <is>
          <t>32285000844679</t>
        </is>
      </c>
      <c r="BD535" t="inlineStr">
        <is>
          <t>893805194</t>
        </is>
      </c>
    </row>
    <row r="536">
      <c r="A536" t="inlineStr">
        <is>
          <t>No</t>
        </is>
      </c>
      <c r="B536" t="inlineStr">
        <is>
          <t>ND553.M7 S4 1960</t>
        </is>
      </c>
      <c r="C536" t="inlineStr">
        <is>
          <t>0                      ND 0553000M  7                  S  4           1960</t>
        </is>
      </c>
      <c r="D536" t="inlineStr">
        <is>
          <t>Claude Monet / text by William C. Seitz.</t>
        </is>
      </c>
      <c r="F536" t="inlineStr">
        <is>
          <t>No</t>
        </is>
      </c>
      <c r="G536" t="inlineStr">
        <is>
          <t>1</t>
        </is>
      </c>
      <c r="H536" t="inlineStr">
        <is>
          <t>No</t>
        </is>
      </c>
      <c r="I536" t="inlineStr">
        <is>
          <t>No</t>
        </is>
      </c>
      <c r="J536" t="inlineStr">
        <is>
          <t>0</t>
        </is>
      </c>
      <c r="K536" t="inlineStr">
        <is>
          <t>Seitz, William C. (William Chapin)</t>
        </is>
      </c>
      <c r="L536" t="inlineStr">
        <is>
          <t>New York : H.N. Abrams, [1960]</t>
        </is>
      </c>
      <c r="M536" t="inlineStr">
        <is>
          <t>1960</t>
        </is>
      </c>
      <c r="N536" t="inlineStr">
        <is>
          <t>[1st ed.]</t>
        </is>
      </c>
      <c r="O536" t="inlineStr">
        <is>
          <t>eng</t>
        </is>
      </c>
      <c r="P536" t="inlineStr">
        <is>
          <t>nyu</t>
        </is>
      </c>
      <c r="Q536" t="inlineStr">
        <is>
          <t>The Library of great painters</t>
        </is>
      </c>
      <c r="R536" t="inlineStr">
        <is>
          <t xml:space="preserve">ND </t>
        </is>
      </c>
      <c r="S536" t="n">
        <v>30</v>
      </c>
      <c r="T536" t="n">
        <v>30</v>
      </c>
      <c r="U536" t="inlineStr">
        <is>
          <t>2006-11-28</t>
        </is>
      </c>
      <c r="V536" t="inlineStr">
        <is>
          <t>2006-11-28</t>
        </is>
      </c>
      <c r="W536" t="inlineStr">
        <is>
          <t>1990-03-28</t>
        </is>
      </c>
      <c r="X536" t="inlineStr">
        <is>
          <t>1990-03-28</t>
        </is>
      </c>
      <c r="Y536" t="n">
        <v>998</v>
      </c>
      <c r="Z536" t="n">
        <v>877</v>
      </c>
      <c r="AA536" t="n">
        <v>1145</v>
      </c>
      <c r="AB536" t="n">
        <v>6</v>
      </c>
      <c r="AC536" t="n">
        <v>8</v>
      </c>
      <c r="AD536" t="n">
        <v>20</v>
      </c>
      <c r="AE536" t="n">
        <v>23</v>
      </c>
      <c r="AF536" t="n">
        <v>8</v>
      </c>
      <c r="AG536" t="n">
        <v>10</v>
      </c>
      <c r="AH536" t="n">
        <v>4</v>
      </c>
      <c r="AI536" t="n">
        <v>4</v>
      </c>
      <c r="AJ536" t="n">
        <v>11</v>
      </c>
      <c r="AK536" t="n">
        <v>11</v>
      </c>
      <c r="AL536" t="n">
        <v>2</v>
      </c>
      <c r="AM536" t="n">
        <v>3</v>
      </c>
      <c r="AN536" t="n">
        <v>0</v>
      </c>
      <c r="AO536" t="n">
        <v>0</v>
      </c>
      <c r="AP536" t="inlineStr">
        <is>
          <t>No</t>
        </is>
      </c>
      <c r="AQ536" t="inlineStr">
        <is>
          <t>No</t>
        </is>
      </c>
      <c r="AR536">
        <f>HYPERLINK("http://catalog.hathitrust.org/Record/000417459","HathiTrust Record")</f>
        <v/>
      </c>
      <c r="AS536">
        <f>HYPERLINK("https://creighton-primo.hosted.exlibrisgroup.com/primo-explore/search?tab=default_tab&amp;search_scope=EVERYTHING&amp;vid=01CRU&amp;lang=en_US&amp;offset=0&amp;query=any,contains,991004283829702656","Catalog Record")</f>
        <v/>
      </c>
      <c r="AT536">
        <f>HYPERLINK("http://www.worldcat.org/oclc/33378961","WorldCat Record")</f>
        <v/>
      </c>
      <c r="AU536" t="inlineStr">
        <is>
          <t>10627843389:eng</t>
        </is>
      </c>
      <c r="AV536" t="inlineStr">
        <is>
          <t>33378961</t>
        </is>
      </c>
      <c r="AW536" t="inlineStr">
        <is>
          <t>991004283829702656</t>
        </is>
      </c>
      <c r="AX536" t="inlineStr">
        <is>
          <t>991004283829702656</t>
        </is>
      </c>
      <c r="AY536" t="inlineStr">
        <is>
          <t>2267057510002656</t>
        </is>
      </c>
      <c r="AZ536" t="inlineStr">
        <is>
          <t>BOOK</t>
        </is>
      </c>
      <c r="BC536" t="inlineStr">
        <is>
          <t>32285000097815</t>
        </is>
      </c>
      <c r="BD536" t="inlineStr">
        <is>
          <t>893869540</t>
        </is>
      </c>
    </row>
    <row r="537">
      <c r="A537" t="inlineStr">
        <is>
          <t>No</t>
        </is>
      </c>
      <c r="B537" t="inlineStr">
        <is>
          <t>ND553.M7 T83 1989</t>
        </is>
      </c>
      <c r="C537" t="inlineStr">
        <is>
          <t>0                      ND 0553000M  7                  T  83          1989</t>
        </is>
      </c>
      <c r="D537" t="inlineStr">
        <is>
          <t>Monet in the '90s : the series paintings / Paul Hayes Tucker.</t>
        </is>
      </c>
      <c r="F537" t="inlineStr">
        <is>
          <t>No</t>
        </is>
      </c>
      <c r="G537" t="inlineStr">
        <is>
          <t>1</t>
        </is>
      </c>
      <c r="H537" t="inlineStr">
        <is>
          <t>No</t>
        </is>
      </c>
      <c r="I537" t="inlineStr">
        <is>
          <t>No</t>
        </is>
      </c>
      <c r="J537" t="inlineStr">
        <is>
          <t>0</t>
        </is>
      </c>
      <c r="K537" t="inlineStr">
        <is>
          <t>Tucker, Paul Hayes, 1950-</t>
        </is>
      </c>
      <c r="L537" t="inlineStr">
        <is>
          <t>Boston : Museum of Fine Arts ; New Haven : Yale University Press, c1989, 1990 printing.</t>
        </is>
      </c>
      <c r="M537" t="inlineStr">
        <is>
          <t>1989</t>
        </is>
      </c>
      <c r="O537" t="inlineStr">
        <is>
          <t>eng</t>
        </is>
      </c>
      <c r="P537" t="inlineStr">
        <is>
          <t>mau</t>
        </is>
      </c>
      <c r="R537" t="inlineStr">
        <is>
          <t xml:space="preserve">ND </t>
        </is>
      </c>
      <c r="S537" t="n">
        <v>16</v>
      </c>
      <c r="T537" t="n">
        <v>16</v>
      </c>
      <c r="U537" t="inlineStr">
        <is>
          <t>2002-11-24</t>
        </is>
      </c>
      <c r="V537" t="inlineStr">
        <is>
          <t>2002-11-24</t>
        </is>
      </c>
      <c r="W537" t="inlineStr">
        <is>
          <t>1990-11-09</t>
        </is>
      </c>
      <c r="X537" t="inlineStr">
        <is>
          <t>1990-11-09</t>
        </is>
      </c>
      <c r="Y537" t="n">
        <v>1272</v>
      </c>
      <c r="Z537" t="n">
        <v>1145</v>
      </c>
      <c r="AA537" t="n">
        <v>1195</v>
      </c>
      <c r="AB537" t="n">
        <v>8</v>
      </c>
      <c r="AC537" t="n">
        <v>8</v>
      </c>
      <c r="AD537" t="n">
        <v>33</v>
      </c>
      <c r="AE537" t="n">
        <v>34</v>
      </c>
      <c r="AF537" t="n">
        <v>16</v>
      </c>
      <c r="AG537" t="n">
        <v>16</v>
      </c>
      <c r="AH537" t="n">
        <v>7</v>
      </c>
      <c r="AI537" t="n">
        <v>8</v>
      </c>
      <c r="AJ537" t="n">
        <v>15</v>
      </c>
      <c r="AK537" t="n">
        <v>16</v>
      </c>
      <c r="AL537" t="n">
        <v>5</v>
      </c>
      <c r="AM537" t="n">
        <v>5</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HYPERLINK("https://creighton-primo.hosted.exlibrisgroup.com/primo-explore/search?tab=default_tab&amp;search_scope=EVERYTHING&amp;vid=01CRU&amp;lang=en_US&amp;offset=0&amp;query=any,contains,991001636309702656","Catalog Record")</f>
        <v/>
      </c>
      <c r="AT537">
        <f>HYPERLINK("http://www.worldcat.org/oclc/20974941","WorldCat Record")</f>
        <v/>
      </c>
      <c r="AU537" t="inlineStr">
        <is>
          <t>22415730:eng</t>
        </is>
      </c>
      <c r="AV537" t="inlineStr">
        <is>
          <t>20974941</t>
        </is>
      </c>
      <c r="AW537" t="inlineStr">
        <is>
          <t>991001636309702656</t>
        </is>
      </c>
      <c r="AX537" t="inlineStr">
        <is>
          <t>991001636309702656</t>
        </is>
      </c>
      <c r="AY537" t="inlineStr">
        <is>
          <t>2269791870002656</t>
        </is>
      </c>
      <c r="AZ537" t="inlineStr">
        <is>
          <t>BOOK</t>
        </is>
      </c>
      <c r="BB537" t="inlineStr">
        <is>
          <t>9780878463138</t>
        </is>
      </c>
      <c r="BC537" t="inlineStr">
        <is>
          <t>32285000314269</t>
        </is>
      </c>
      <c r="BD537" t="inlineStr">
        <is>
          <t>893590484</t>
        </is>
      </c>
    </row>
    <row r="538">
      <c r="A538" t="inlineStr">
        <is>
          <t>No</t>
        </is>
      </c>
      <c r="B538" t="inlineStr">
        <is>
          <t>ND553.M88 A313 1959</t>
        </is>
      </c>
      <c r="C538" t="inlineStr">
        <is>
          <t>0                      ND 0553000M  88                 A  313         1959</t>
        </is>
      </c>
      <c r="D538" t="inlineStr">
        <is>
          <t>The correspondence of Berthe Morisot with her family and her friends: Manet, Puvis de Chavannes, Degas, Monet, Renoir, and Mallarmé. Compiled and edited by Denis Rouart; translated by Betty W. Hubbard.</t>
        </is>
      </c>
      <c r="F538" t="inlineStr">
        <is>
          <t>No</t>
        </is>
      </c>
      <c r="G538" t="inlineStr">
        <is>
          <t>1</t>
        </is>
      </c>
      <c r="H538" t="inlineStr">
        <is>
          <t>No</t>
        </is>
      </c>
      <c r="I538" t="inlineStr">
        <is>
          <t>No</t>
        </is>
      </c>
      <c r="J538" t="inlineStr">
        <is>
          <t>0</t>
        </is>
      </c>
      <c r="K538" t="inlineStr">
        <is>
          <t>Morisot, Berthe, 1841-1895.</t>
        </is>
      </c>
      <c r="L538" t="inlineStr">
        <is>
          <t>London, Lund Humphries [1959]</t>
        </is>
      </c>
      <c r="M538" t="inlineStr">
        <is>
          <t>1959</t>
        </is>
      </c>
      <c r="N538" t="inlineStr">
        <is>
          <t>[2d ed.]</t>
        </is>
      </c>
      <c r="O538" t="inlineStr">
        <is>
          <t>eng</t>
        </is>
      </c>
      <c r="P538" t="inlineStr">
        <is>
          <t>enk</t>
        </is>
      </c>
      <c r="R538" t="inlineStr">
        <is>
          <t xml:space="preserve">ND </t>
        </is>
      </c>
      <c r="S538" t="n">
        <v>0</v>
      </c>
      <c r="T538" t="n">
        <v>0</v>
      </c>
      <c r="U538" t="inlineStr">
        <is>
          <t>2004-04-07</t>
        </is>
      </c>
      <c r="V538" t="inlineStr">
        <is>
          <t>2004-04-07</t>
        </is>
      </c>
      <c r="W538" t="inlineStr">
        <is>
          <t>1997-07-29</t>
        </is>
      </c>
      <c r="X538" t="inlineStr">
        <is>
          <t>1997-07-29</t>
        </is>
      </c>
      <c r="Y538" t="n">
        <v>70</v>
      </c>
      <c r="Z538" t="n">
        <v>54</v>
      </c>
      <c r="AA538" t="n">
        <v>255</v>
      </c>
      <c r="AB538" t="n">
        <v>1</v>
      </c>
      <c r="AC538" t="n">
        <v>2</v>
      </c>
      <c r="AD538" t="n">
        <v>1</v>
      </c>
      <c r="AE538" t="n">
        <v>9</v>
      </c>
      <c r="AF538" t="n">
        <v>0</v>
      </c>
      <c r="AG538" t="n">
        <v>4</v>
      </c>
      <c r="AH538" t="n">
        <v>0</v>
      </c>
      <c r="AI538" t="n">
        <v>3</v>
      </c>
      <c r="AJ538" t="n">
        <v>1</v>
      </c>
      <c r="AK538" t="n">
        <v>3</v>
      </c>
      <c r="AL538" t="n">
        <v>0</v>
      </c>
      <c r="AM538" t="n">
        <v>1</v>
      </c>
      <c r="AN538" t="n">
        <v>0</v>
      </c>
      <c r="AO538" t="n">
        <v>0</v>
      </c>
      <c r="AP538" t="inlineStr">
        <is>
          <t>No</t>
        </is>
      </c>
      <c r="AQ538" t="inlineStr">
        <is>
          <t>Yes</t>
        </is>
      </c>
      <c r="AR538">
        <f>HYPERLINK("http://catalog.hathitrust.org/Record/000003289","HathiTrust Record")</f>
        <v/>
      </c>
      <c r="AS538">
        <f>HYPERLINK("https://creighton-primo.hosted.exlibrisgroup.com/primo-explore/search?tab=default_tab&amp;search_scope=EVERYTHING&amp;vid=01CRU&amp;lang=en_US&amp;offset=0&amp;query=any,contains,991000167769702656","Catalog Record")</f>
        <v/>
      </c>
      <c r="AT538">
        <f>HYPERLINK("http://www.worldcat.org/oclc/9303469","WorldCat Record")</f>
        <v/>
      </c>
      <c r="AU538" t="inlineStr">
        <is>
          <t>3768536431:eng</t>
        </is>
      </c>
      <c r="AV538" t="inlineStr">
        <is>
          <t>9303469</t>
        </is>
      </c>
      <c r="AW538" t="inlineStr">
        <is>
          <t>991000167769702656</t>
        </is>
      </c>
      <c r="AX538" t="inlineStr">
        <is>
          <t>991000167769702656</t>
        </is>
      </c>
      <c r="AY538" t="inlineStr">
        <is>
          <t>2258984880002656</t>
        </is>
      </c>
      <c r="AZ538" t="inlineStr">
        <is>
          <t>BOOK</t>
        </is>
      </c>
      <c r="BC538" t="inlineStr">
        <is>
          <t>32285002968203</t>
        </is>
      </c>
      <c r="BD538" t="inlineStr">
        <is>
          <t>893521465</t>
        </is>
      </c>
    </row>
    <row r="539">
      <c r="A539" t="inlineStr">
        <is>
          <t>No</t>
        </is>
      </c>
      <c r="B539" t="inlineStr">
        <is>
          <t>ND553.P5 A66 1981</t>
        </is>
      </c>
      <c r="C539" t="inlineStr">
        <is>
          <t>0                      ND 0553000P  5                  A  66          1981</t>
        </is>
      </c>
      <c r="D539" t="inlineStr">
        <is>
          <t>Picasso's Guernica : the end of a Spanish era / by E.F. Granell.</t>
        </is>
      </c>
      <c r="F539" t="inlineStr">
        <is>
          <t>No</t>
        </is>
      </c>
      <c r="G539" t="inlineStr">
        <is>
          <t>1</t>
        </is>
      </c>
      <c r="H539" t="inlineStr">
        <is>
          <t>No</t>
        </is>
      </c>
      <c r="I539" t="inlineStr">
        <is>
          <t>No</t>
        </is>
      </c>
      <c r="J539" t="inlineStr">
        <is>
          <t>0</t>
        </is>
      </c>
      <c r="K539" t="inlineStr">
        <is>
          <t>Granell, Eugenio Fernández, 1912-2001.</t>
        </is>
      </c>
      <c r="L539" t="inlineStr">
        <is>
          <t>Ann Arbor, Mich. : UMI Research Press, c1981.</t>
        </is>
      </c>
      <c r="M539" t="inlineStr">
        <is>
          <t>1981</t>
        </is>
      </c>
      <c r="O539" t="inlineStr">
        <is>
          <t>eng</t>
        </is>
      </c>
      <c r="P539" t="inlineStr">
        <is>
          <t>miu</t>
        </is>
      </c>
      <c r="Q539" t="inlineStr">
        <is>
          <t>Studies in fine arts. Art theory ; no. 4</t>
        </is>
      </c>
      <c r="R539" t="inlineStr">
        <is>
          <t xml:space="preserve">ND </t>
        </is>
      </c>
      <c r="S539" t="n">
        <v>17</v>
      </c>
      <c r="T539" t="n">
        <v>17</v>
      </c>
      <c r="U539" t="inlineStr">
        <is>
          <t>2008-01-27</t>
        </is>
      </c>
      <c r="V539" t="inlineStr">
        <is>
          <t>2008-01-27</t>
        </is>
      </c>
      <c r="W539" t="inlineStr">
        <is>
          <t>1993-01-19</t>
        </is>
      </c>
      <c r="X539" t="inlineStr">
        <is>
          <t>1993-01-19</t>
        </is>
      </c>
      <c r="Y539" t="n">
        <v>308</v>
      </c>
      <c r="Z539" t="n">
        <v>229</v>
      </c>
      <c r="AA539" t="n">
        <v>233</v>
      </c>
      <c r="AB539" t="n">
        <v>2</v>
      </c>
      <c r="AC539" t="n">
        <v>2</v>
      </c>
      <c r="AD539" t="n">
        <v>10</v>
      </c>
      <c r="AE539" t="n">
        <v>10</v>
      </c>
      <c r="AF539" t="n">
        <v>3</v>
      </c>
      <c r="AG539" t="n">
        <v>3</v>
      </c>
      <c r="AH539" t="n">
        <v>4</v>
      </c>
      <c r="AI539" t="n">
        <v>4</v>
      </c>
      <c r="AJ539" t="n">
        <v>5</v>
      </c>
      <c r="AK539" t="n">
        <v>5</v>
      </c>
      <c r="AL539" t="n">
        <v>1</v>
      </c>
      <c r="AM539" t="n">
        <v>1</v>
      </c>
      <c r="AN539" t="n">
        <v>0</v>
      </c>
      <c r="AO539" t="n">
        <v>0</v>
      </c>
      <c r="AP539" t="inlineStr">
        <is>
          <t>No</t>
        </is>
      </c>
      <c r="AQ539" t="inlineStr">
        <is>
          <t>Yes</t>
        </is>
      </c>
      <c r="AR539">
        <f>HYPERLINK("http://catalog.hathitrust.org/Record/000262592","HathiTrust Record")</f>
        <v/>
      </c>
      <c r="AS539">
        <f>HYPERLINK("https://creighton-primo.hosted.exlibrisgroup.com/primo-explore/search?tab=default_tab&amp;search_scope=EVERYTHING&amp;vid=01CRU&amp;lang=en_US&amp;offset=0&amp;query=any,contains,991005131849702656","Catalog Record")</f>
        <v/>
      </c>
      <c r="AT539">
        <f>HYPERLINK("http://www.worldcat.org/oclc/7573154","WorldCat Record")</f>
        <v/>
      </c>
      <c r="AU539" t="inlineStr">
        <is>
          <t>199847821:eng</t>
        </is>
      </c>
      <c r="AV539" t="inlineStr">
        <is>
          <t>7573154</t>
        </is>
      </c>
      <c r="AW539" t="inlineStr">
        <is>
          <t>991005131849702656</t>
        </is>
      </c>
      <c r="AX539" t="inlineStr">
        <is>
          <t>991005131849702656</t>
        </is>
      </c>
      <c r="AY539" t="inlineStr">
        <is>
          <t>2271637830002656</t>
        </is>
      </c>
      <c r="AZ539" t="inlineStr">
        <is>
          <t>BOOK</t>
        </is>
      </c>
      <c r="BB539" t="inlineStr">
        <is>
          <t>9780835712064</t>
        </is>
      </c>
      <c r="BC539" t="inlineStr">
        <is>
          <t>32285001476604</t>
        </is>
      </c>
      <c r="BD539" t="inlineStr">
        <is>
          <t>893606887</t>
        </is>
      </c>
    </row>
    <row r="540">
      <c r="A540" t="inlineStr">
        <is>
          <t>No</t>
        </is>
      </c>
      <c r="B540" t="inlineStr">
        <is>
          <t>ND553.P5 A66 1988a</t>
        </is>
      </c>
      <c r="C540" t="inlineStr">
        <is>
          <t>0                      ND 0553000P  5                  A  66          1988a</t>
        </is>
      </c>
      <c r="D540" t="inlineStr">
        <is>
          <t>Guernica by Picasso : a study of the picture and its context / Eberhard Fisch ; translated by James Hotchkiss.</t>
        </is>
      </c>
      <c r="F540" t="inlineStr">
        <is>
          <t>No</t>
        </is>
      </c>
      <c r="G540" t="inlineStr">
        <is>
          <t>1</t>
        </is>
      </c>
      <c r="H540" t="inlineStr">
        <is>
          <t>No</t>
        </is>
      </c>
      <c r="I540" t="inlineStr">
        <is>
          <t>No</t>
        </is>
      </c>
      <c r="J540" t="inlineStr">
        <is>
          <t>0</t>
        </is>
      </c>
      <c r="K540" t="inlineStr">
        <is>
          <t>Fisch, Eberhard, 1936-</t>
        </is>
      </c>
      <c r="L540" t="inlineStr">
        <is>
          <t>Lewisburg : Bucknell University Press ; London ; Cranbury, NJ : Associated University Presses, c1988.</t>
        </is>
      </c>
      <c r="M540" t="inlineStr">
        <is>
          <t>1988</t>
        </is>
      </c>
      <c r="N540" t="inlineStr">
        <is>
          <t>2nd and enl. ed.</t>
        </is>
      </c>
      <c r="O540" t="inlineStr">
        <is>
          <t>eng</t>
        </is>
      </c>
      <c r="P540" t="inlineStr">
        <is>
          <t>nju</t>
        </is>
      </c>
      <c r="R540" t="inlineStr">
        <is>
          <t xml:space="preserve">ND </t>
        </is>
      </c>
      <c r="S540" t="n">
        <v>18</v>
      </c>
      <c r="T540" t="n">
        <v>18</v>
      </c>
      <c r="U540" t="inlineStr">
        <is>
          <t>2009-02-26</t>
        </is>
      </c>
      <c r="V540" t="inlineStr">
        <is>
          <t>2009-02-26</t>
        </is>
      </c>
      <c r="W540" t="inlineStr">
        <is>
          <t>1990-08-08</t>
        </is>
      </c>
      <c r="X540" t="inlineStr">
        <is>
          <t>1990-08-08</t>
        </is>
      </c>
      <c r="Y540" t="n">
        <v>377</v>
      </c>
      <c r="Z540" t="n">
        <v>310</v>
      </c>
      <c r="AA540" t="n">
        <v>312</v>
      </c>
      <c r="AB540" t="n">
        <v>2</v>
      </c>
      <c r="AC540" t="n">
        <v>2</v>
      </c>
      <c r="AD540" t="n">
        <v>8</v>
      </c>
      <c r="AE540" t="n">
        <v>8</v>
      </c>
      <c r="AF540" t="n">
        <v>2</v>
      </c>
      <c r="AG540" t="n">
        <v>2</v>
      </c>
      <c r="AH540" t="n">
        <v>3</v>
      </c>
      <c r="AI540" t="n">
        <v>3</v>
      </c>
      <c r="AJ540" t="n">
        <v>3</v>
      </c>
      <c r="AK540" t="n">
        <v>3</v>
      </c>
      <c r="AL540" t="n">
        <v>1</v>
      </c>
      <c r="AM540" t="n">
        <v>1</v>
      </c>
      <c r="AN540" t="n">
        <v>0</v>
      </c>
      <c r="AO540" t="n">
        <v>0</v>
      </c>
      <c r="AP540" t="inlineStr">
        <is>
          <t>No</t>
        </is>
      </c>
      <c r="AQ540" t="inlineStr">
        <is>
          <t>Yes</t>
        </is>
      </c>
      <c r="AR540">
        <f>HYPERLINK("http://catalog.hathitrust.org/Record/001103083","HathiTrust Record")</f>
        <v/>
      </c>
      <c r="AS540">
        <f>HYPERLINK("https://creighton-primo.hosted.exlibrisgroup.com/primo-explore/search?tab=default_tab&amp;search_scope=EVERYTHING&amp;vid=01CRU&amp;lang=en_US&amp;offset=0&amp;query=any,contains,991001154509702656","Catalog Record")</f>
        <v/>
      </c>
      <c r="AT540">
        <f>HYPERLINK("http://www.worldcat.org/oclc/16833341","WorldCat Record")</f>
        <v/>
      </c>
      <c r="AU540" t="inlineStr">
        <is>
          <t>5609394661:eng</t>
        </is>
      </c>
      <c r="AV540" t="inlineStr">
        <is>
          <t>16833341</t>
        </is>
      </c>
      <c r="AW540" t="inlineStr">
        <is>
          <t>991001154509702656</t>
        </is>
      </c>
      <c r="AX540" t="inlineStr">
        <is>
          <t>991001154509702656</t>
        </is>
      </c>
      <c r="AY540" t="inlineStr">
        <is>
          <t>2263570000002656</t>
        </is>
      </c>
      <c r="AZ540" t="inlineStr">
        <is>
          <t>BOOK</t>
        </is>
      </c>
      <c r="BB540" t="inlineStr">
        <is>
          <t>9780838751312</t>
        </is>
      </c>
      <c r="BC540" t="inlineStr">
        <is>
          <t>32285000270974</t>
        </is>
      </c>
      <c r="BD540" t="inlineStr">
        <is>
          <t>893866005</t>
        </is>
      </c>
    </row>
    <row r="541">
      <c r="A541" t="inlineStr">
        <is>
          <t>No</t>
        </is>
      </c>
      <c r="B541" t="inlineStr">
        <is>
          <t>ND553.P5 A66 2002</t>
        </is>
      </c>
      <c r="C541" t="inlineStr">
        <is>
          <t>0                      ND 0553000P  5                  A  66          2002</t>
        </is>
      </c>
      <c r="D541" t="inlineStr">
        <is>
          <t>Picasso's war : the destruction of Guernica and the masterpiece that changed the world / Russell Martin.</t>
        </is>
      </c>
      <c r="F541" t="inlineStr">
        <is>
          <t>No</t>
        </is>
      </c>
      <c r="G541" t="inlineStr">
        <is>
          <t>1</t>
        </is>
      </c>
      <c r="H541" t="inlineStr">
        <is>
          <t>No</t>
        </is>
      </c>
      <c r="I541" t="inlineStr">
        <is>
          <t>No</t>
        </is>
      </c>
      <c r="J541" t="inlineStr">
        <is>
          <t>0</t>
        </is>
      </c>
      <c r="K541" t="inlineStr">
        <is>
          <t>Martin, Russell, 1952-</t>
        </is>
      </c>
      <c r="L541" t="inlineStr">
        <is>
          <t>New York : Dutton, c2002.</t>
        </is>
      </c>
      <c r="M541" t="inlineStr">
        <is>
          <t>2002</t>
        </is>
      </c>
      <c r="O541" t="inlineStr">
        <is>
          <t>eng</t>
        </is>
      </c>
      <c r="P541" t="inlineStr">
        <is>
          <t>nyu</t>
        </is>
      </c>
      <c r="R541" t="inlineStr">
        <is>
          <t xml:space="preserve">ND </t>
        </is>
      </c>
      <c r="S541" t="n">
        <v>10</v>
      </c>
      <c r="T541" t="n">
        <v>10</v>
      </c>
      <c r="U541" t="inlineStr">
        <is>
          <t>2009-02-28</t>
        </is>
      </c>
      <c r="V541" t="inlineStr">
        <is>
          <t>2009-02-28</t>
        </is>
      </c>
      <c r="W541" t="inlineStr">
        <is>
          <t>2002-12-04</t>
        </is>
      </c>
      <c r="X541" t="inlineStr">
        <is>
          <t>2002-12-04</t>
        </is>
      </c>
      <c r="Y541" t="n">
        <v>944</v>
      </c>
      <c r="Z541" t="n">
        <v>875</v>
      </c>
      <c r="AA541" t="n">
        <v>971</v>
      </c>
      <c r="AB541" t="n">
        <v>7</v>
      </c>
      <c r="AC541" t="n">
        <v>7</v>
      </c>
      <c r="AD541" t="n">
        <v>21</v>
      </c>
      <c r="AE541" t="n">
        <v>24</v>
      </c>
      <c r="AF541" t="n">
        <v>7</v>
      </c>
      <c r="AG541" t="n">
        <v>9</v>
      </c>
      <c r="AH541" t="n">
        <v>6</v>
      </c>
      <c r="AI541" t="n">
        <v>6</v>
      </c>
      <c r="AJ541" t="n">
        <v>8</v>
      </c>
      <c r="AK541" t="n">
        <v>9</v>
      </c>
      <c r="AL541" t="n">
        <v>4</v>
      </c>
      <c r="AM541" t="n">
        <v>4</v>
      </c>
      <c r="AN541" t="n">
        <v>0</v>
      </c>
      <c r="AO541" t="n">
        <v>0</v>
      </c>
      <c r="AP541" t="inlineStr">
        <is>
          <t>No</t>
        </is>
      </c>
      <c r="AQ541" t="inlineStr">
        <is>
          <t>Yes</t>
        </is>
      </c>
      <c r="AR541">
        <f>HYPERLINK("http://catalog.hathitrust.org/Record/004310477","HathiTrust Record")</f>
        <v/>
      </c>
      <c r="AS541">
        <f>HYPERLINK("https://creighton-primo.hosted.exlibrisgroup.com/primo-explore/search?tab=default_tab&amp;search_scope=EVERYTHING&amp;vid=01CRU&amp;lang=en_US&amp;offset=0&amp;query=any,contains,991003942959702656","Catalog Record")</f>
        <v/>
      </c>
      <c r="AT541">
        <f>HYPERLINK("http://www.worldcat.org/oclc/49936075","WorldCat Record")</f>
        <v/>
      </c>
      <c r="AU541" t="inlineStr">
        <is>
          <t>702320:eng</t>
        </is>
      </c>
      <c r="AV541" t="inlineStr">
        <is>
          <t>49936075</t>
        </is>
      </c>
      <c r="AW541" t="inlineStr">
        <is>
          <t>991003942959702656</t>
        </is>
      </c>
      <c r="AX541" t="inlineStr">
        <is>
          <t>991003942959702656</t>
        </is>
      </c>
      <c r="AY541" t="inlineStr">
        <is>
          <t>2256587690002656</t>
        </is>
      </c>
      <c r="AZ541" t="inlineStr">
        <is>
          <t>BOOK</t>
        </is>
      </c>
      <c r="BB541" t="inlineStr">
        <is>
          <t>9780525946809</t>
        </is>
      </c>
      <c r="BC541" t="inlineStr">
        <is>
          <t>32285004667613</t>
        </is>
      </c>
      <c r="BD541" t="inlineStr">
        <is>
          <t>893423186</t>
        </is>
      </c>
    </row>
    <row r="542">
      <c r="A542" t="inlineStr">
        <is>
          <t>No</t>
        </is>
      </c>
      <c r="B542" t="inlineStr">
        <is>
          <t>ND553.P5 A78 1980</t>
        </is>
      </c>
      <c r="C542" t="inlineStr">
        <is>
          <t>0                      ND 0553000P  5                  A  78          1980</t>
        </is>
      </c>
      <c r="D542" t="inlineStr">
        <is>
          <t>Picasso's Guernica : the labyrinth of narrative and vision / by Frank D. Russell.</t>
        </is>
      </c>
      <c r="F542" t="inlineStr">
        <is>
          <t>No</t>
        </is>
      </c>
      <c r="G542" t="inlineStr">
        <is>
          <t>1</t>
        </is>
      </c>
      <c r="H542" t="inlineStr">
        <is>
          <t>No</t>
        </is>
      </c>
      <c r="I542" t="inlineStr">
        <is>
          <t>No</t>
        </is>
      </c>
      <c r="J542" t="inlineStr">
        <is>
          <t>0</t>
        </is>
      </c>
      <c r="K542" t="inlineStr">
        <is>
          <t>Russell, Frank D., 1923-</t>
        </is>
      </c>
      <c r="L542" t="inlineStr">
        <is>
          <t>Montclair, N.J. : Allanheld &amp; Schram, [1980]</t>
        </is>
      </c>
      <c r="M542" t="inlineStr">
        <is>
          <t>1979</t>
        </is>
      </c>
      <c r="O542" t="inlineStr">
        <is>
          <t>eng</t>
        </is>
      </c>
      <c r="P542" t="inlineStr">
        <is>
          <t>nju</t>
        </is>
      </c>
      <c r="R542" t="inlineStr">
        <is>
          <t xml:space="preserve">ND </t>
        </is>
      </c>
      <c r="S542" t="n">
        <v>13</v>
      </c>
      <c r="T542" t="n">
        <v>13</v>
      </c>
      <c r="U542" t="inlineStr">
        <is>
          <t>2004-10-01</t>
        </is>
      </c>
      <c r="V542" t="inlineStr">
        <is>
          <t>2004-10-01</t>
        </is>
      </c>
      <c r="W542" t="inlineStr">
        <is>
          <t>1993-01-19</t>
        </is>
      </c>
      <c r="X542" t="inlineStr">
        <is>
          <t>1993-01-19</t>
        </is>
      </c>
      <c r="Y542" t="n">
        <v>484</v>
      </c>
      <c r="Z542" t="n">
        <v>435</v>
      </c>
      <c r="AA542" t="n">
        <v>462</v>
      </c>
      <c r="AB542" t="n">
        <v>2</v>
      </c>
      <c r="AC542" t="n">
        <v>2</v>
      </c>
      <c r="AD542" t="n">
        <v>18</v>
      </c>
      <c r="AE542" t="n">
        <v>19</v>
      </c>
      <c r="AF542" t="n">
        <v>9</v>
      </c>
      <c r="AG542" t="n">
        <v>10</v>
      </c>
      <c r="AH542" t="n">
        <v>4</v>
      </c>
      <c r="AI542" t="n">
        <v>4</v>
      </c>
      <c r="AJ542" t="n">
        <v>7</v>
      </c>
      <c r="AK542" t="n">
        <v>8</v>
      </c>
      <c r="AL542" t="n">
        <v>1</v>
      </c>
      <c r="AM542" t="n">
        <v>1</v>
      </c>
      <c r="AN542" t="n">
        <v>0</v>
      </c>
      <c r="AO542" t="n">
        <v>0</v>
      </c>
      <c r="AP542" t="inlineStr">
        <is>
          <t>No</t>
        </is>
      </c>
      <c r="AQ542" t="inlineStr">
        <is>
          <t>Yes</t>
        </is>
      </c>
      <c r="AR542">
        <f>HYPERLINK("http://catalog.hathitrust.org/Record/000658870","HathiTrust Record")</f>
        <v/>
      </c>
      <c r="AS542">
        <f>HYPERLINK("https://creighton-primo.hosted.exlibrisgroup.com/primo-explore/search?tab=default_tab&amp;search_scope=EVERYTHING&amp;vid=01CRU&amp;lang=en_US&amp;offset=0&amp;query=any,contains,991004835139702656","Catalog Record")</f>
        <v/>
      </c>
      <c r="AT542">
        <f>HYPERLINK("http://www.worldcat.org/oclc/5447155","WorldCat Record")</f>
        <v/>
      </c>
      <c r="AU542" t="inlineStr">
        <is>
          <t>18068859:eng</t>
        </is>
      </c>
      <c r="AV542" t="inlineStr">
        <is>
          <t>5447155</t>
        </is>
      </c>
      <c r="AW542" t="inlineStr">
        <is>
          <t>991004835139702656</t>
        </is>
      </c>
      <c r="AX542" t="inlineStr">
        <is>
          <t>991004835139702656</t>
        </is>
      </c>
      <c r="AY542" t="inlineStr">
        <is>
          <t>2259242620002656</t>
        </is>
      </c>
      <c r="AZ542" t="inlineStr">
        <is>
          <t>BOOK</t>
        </is>
      </c>
      <c r="BB542" t="inlineStr">
        <is>
          <t>9780839002437</t>
        </is>
      </c>
      <c r="BC542" t="inlineStr">
        <is>
          <t>32285001476596</t>
        </is>
      </c>
      <c r="BD542" t="inlineStr">
        <is>
          <t>893332099</t>
        </is>
      </c>
    </row>
    <row r="543">
      <c r="A543" t="inlineStr">
        <is>
          <t>No</t>
        </is>
      </c>
      <c r="B543" t="inlineStr">
        <is>
          <t>ND553.P5 B64</t>
        </is>
      </c>
      <c r="C543" t="inlineStr">
        <is>
          <t>0                      ND 0553000P  5                  B  64</t>
        </is>
      </c>
      <c r="D543" t="inlineStr">
        <is>
          <t>Picasso / [by] Wilhelm Boeck [and] Jaime Sabartés.</t>
        </is>
      </c>
      <c r="F543" t="inlineStr">
        <is>
          <t>No</t>
        </is>
      </c>
      <c r="G543" t="inlineStr">
        <is>
          <t>1</t>
        </is>
      </c>
      <c r="H543" t="inlineStr">
        <is>
          <t>No</t>
        </is>
      </c>
      <c r="I543" t="inlineStr">
        <is>
          <t>No</t>
        </is>
      </c>
      <c r="J543" t="inlineStr">
        <is>
          <t>0</t>
        </is>
      </c>
      <c r="K543" t="inlineStr">
        <is>
          <t>Boeck, Wilhelm.</t>
        </is>
      </c>
      <c r="L543" t="inlineStr">
        <is>
          <t>New York : H. N. Abrams, [1955]</t>
        </is>
      </c>
      <c r="M543" t="inlineStr">
        <is>
          <t>1955</t>
        </is>
      </c>
      <c r="O543" t="inlineStr">
        <is>
          <t>eng</t>
        </is>
      </c>
      <c r="P543" t="inlineStr">
        <is>
          <t>nyu</t>
        </is>
      </c>
      <c r="R543" t="inlineStr">
        <is>
          <t xml:space="preserve">ND </t>
        </is>
      </c>
      <c r="S543" t="n">
        <v>19</v>
      </c>
      <c r="T543" t="n">
        <v>19</v>
      </c>
      <c r="U543" t="inlineStr">
        <is>
          <t>2007-01-17</t>
        </is>
      </c>
      <c r="V543" t="inlineStr">
        <is>
          <t>2007-01-17</t>
        </is>
      </c>
      <c r="W543" t="inlineStr">
        <is>
          <t>1992-05-21</t>
        </is>
      </c>
      <c r="X543" t="inlineStr">
        <is>
          <t>1992-05-21</t>
        </is>
      </c>
      <c r="Y543" t="n">
        <v>1091</v>
      </c>
      <c r="Z543" t="n">
        <v>1009</v>
      </c>
      <c r="AA543" t="n">
        <v>1032</v>
      </c>
      <c r="AB543" t="n">
        <v>6</v>
      </c>
      <c r="AC543" t="n">
        <v>6</v>
      </c>
      <c r="AD543" t="n">
        <v>28</v>
      </c>
      <c r="AE543" t="n">
        <v>28</v>
      </c>
      <c r="AF543" t="n">
        <v>11</v>
      </c>
      <c r="AG543" t="n">
        <v>11</v>
      </c>
      <c r="AH543" t="n">
        <v>5</v>
      </c>
      <c r="AI543" t="n">
        <v>5</v>
      </c>
      <c r="AJ543" t="n">
        <v>13</v>
      </c>
      <c r="AK543" t="n">
        <v>13</v>
      </c>
      <c r="AL543" t="n">
        <v>3</v>
      </c>
      <c r="AM543" t="n">
        <v>3</v>
      </c>
      <c r="AN543" t="n">
        <v>0</v>
      </c>
      <c r="AO543" t="n">
        <v>0</v>
      </c>
      <c r="AP543" t="inlineStr">
        <is>
          <t>No</t>
        </is>
      </c>
      <c r="AQ543" t="inlineStr">
        <is>
          <t>No</t>
        </is>
      </c>
      <c r="AR543">
        <f>HYPERLINK("http://catalog.hathitrust.org/Record/000614394","HathiTrust Record")</f>
        <v/>
      </c>
      <c r="AS543">
        <f>HYPERLINK("https://creighton-primo.hosted.exlibrisgroup.com/primo-explore/search?tab=default_tab&amp;search_scope=EVERYTHING&amp;vid=01CRU&amp;lang=en_US&amp;offset=0&amp;query=any,contains,991002600079702656","Catalog Record")</f>
        <v/>
      </c>
      <c r="AT543">
        <f>HYPERLINK("http://www.worldcat.org/oclc/377116","WorldCat Record")</f>
        <v/>
      </c>
      <c r="AU543" t="inlineStr">
        <is>
          <t>4915163161:eng</t>
        </is>
      </c>
      <c r="AV543" t="inlineStr">
        <is>
          <t>377116</t>
        </is>
      </c>
      <c r="AW543" t="inlineStr">
        <is>
          <t>991002600079702656</t>
        </is>
      </c>
      <c r="AX543" t="inlineStr">
        <is>
          <t>991002600079702656</t>
        </is>
      </c>
      <c r="AY543" t="inlineStr">
        <is>
          <t>2260879560002656</t>
        </is>
      </c>
      <c r="AZ543" t="inlineStr">
        <is>
          <t>BOOK</t>
        </is>
      </c>
      <c r="BC543" t="inlineStr">
        <is>
          <t>32285001112399</t>
        </is>
      </c>
      <c r="BD543" t="inlineStr">
        <is>
          <t>893504585</t>
        </is>
      </c>
    </row>
    <row r="544">
      <c r="A544" t="inlineStr">
        <is>
          <t>No</t>
        </is>
      </c>
      <c r="B544" t="inlineStr">
        <is>
          <t>ND553.P5 C5313</t>
        </is>
      </c>
      <c r="C544" t="inlineStr">
        <is>
          <t>0                      ND 0553000P  5                  C  5313</t>
        </is>
      </c>
      <c r="D544" t="inlineStr">
        <is>
          <t>Picasso, birth of a genius / foreword by Juan Ainaud de Lasarte.</t>
        </is>
      </c>
      <c r="F544" t="inlineStr">
        <is>
          <t>No</t>
        </is>
      </c>
      <c r="G544" t="inlineStr">
        <is>
          <t>1</t>
        </is>
      </c>
      <c r="H544" t="inlineStr">
        <is>
          <t>No</t>
        </is>
      </c>
      <c r="I544" t="inlineStr">
        <is>
          <t>No</t>
        </is>
      </c>
      <c r="J544" t="inlineStr">
        <is>
          <t>0</t>
        </is>
      </c>
      <c r="K544" t="inlineStr">
        <is>
          <t>Cirlot, Juan Eduardo.</t>
        </is>
      </c>
      <c r="L544" t="inlineStr">
        <is>
          <t>New York : Praeger, [1972]</t>
        </is>
      </c>
      <c r="M544" t="inlineStr">
        <is>
          <t>1972</t>
        </is>
      </c>
      <c r="O544" t="inlineStr">
        <is>
          <t>eng</t>
        </is>
      </c>
      <c r="P544" t="inlineStr">
        <is>
          <t>nyu</t>
        </is>
      </c>
      <c r="R544" t="inlineStr">
        <is>
          <t xml:space="preserve">ND </t>
        </is>
      </c>
      <c r="S544" t="n">
        <v>12</v>
      </c>
      <c r="T544" t="n">
        <v>12</v>
      </c>
      <c r="U544" t="inlineStr">
        <is>
          <t>2008-03-11</t>
        </is>
      </c>
      <c r="V544" t="inlineStr">
        <is>
          <t>2008-03-11</t>
        </is>
      </c>
      <c r="W544" t="inlineStr">
        <is>
          <t>1992-11-07</t>
        </is>
      </c>
      <c r="X544" t="inlineStr">
        <is>
          <t>1992-11-07</t>
        </is>
      </c>
      <c r="Y544" t="n">
        <v>1004</v>
      </c>
      <c r="Z544" t="n">
        <v>938</v>
      </c>
      <c r="AA544" t="n">
        <v>989</v>
      </c>
      <c r="AB544" t="n">
        <v>9</v>
      </c>
      <c r="AC544" t="n">
        <v>9</v>
      </c>
      <c r="AD544" t="n">
        <v>32</v>
      </c>
      <c r="AE544" t="n">
        <v>33</v>
      </c>
      <c r="AF544" t="n">
        <v>11</v>
      </c>
      <c r="AG544" t="n">
        <v>11</v>
      </c>
      <c r="AH544" t="n">
        <v>6</v>
      </c>
      <c r="AI544" t="n">
        <v>7</v>
      </c>
      <c r="AJ544" t="n">
        <v>14</v>
      </c>
      <c r="AK544" t="n">
        <v>14</v>
      </c>
      <c r="AL544" t="n">
        <v>7</v>
      </c>
      <c r="AM544" t="n">
        <v>7</v>
      </c>
      <c r="AN544" t="n">
        <v>0</v>
      </c>
      <c r="AO544" t="n">
        <v>0</v>
      </c>
      <c r="AP544" t="inlineStr">
        <is>
          <t>No</t>
        </is>
      </c>
      <c r="AQ544" t="inlineStr">
        <is>
          <t>Yes</t>
        </is>
      </c>
      <c r="AR544">
        <f>HYPERLINK("http://catalog.hathitrust.org/Record/000654232","HathiTrust Record")</f>
        <v/>
      </c>
      <c r="AS544">
        <f>HYPERLINK("https://creighton-primo.hosted.exlibrisgroup.com/primo-explore/search?tab=default_tab&amp;search_scope=EVERYTHING&amp;vid=01CRU&amp;lang=en_US&amp;offset=0&amp;query=any,contains,991002801739702656","Catalog Record")</f>
        <v/>
      </c>
      <c r="AT544">
        <f>HYPERLINK("http://www.worldcat.org/oclc/447595","WorldCat Record")</f>
        <v/>
      </c>
      <c r="AU544" t="inlineStr">
        <is>
          <t>3943627105:eng</t>
        </is>
      </c>
      <c r="AV544" t="inlineStr">
        <is>
          <t>447595</t>
        </is>
      </c>
      <c r="AW544" t="inlineStr">
        <is>
          <t>991002801739702656</t>
        </is>
      </c>
      <c r="AX544" t="inlineStr">
        <is>
          <t>991002801739702656</t>
        </is>
      </c>
      <c r="AY544" t="inlineStr">
        <is>
          <t>2268604430002656</t>
        </is>
      </c>
      <c r="AZ544" t="inlineStr">
        <is>
          <t>BOOK</t>
        </is>
      </c>
      <c r="BC544" t="inlineStr">
        <is>
          <t>32285001383347</t>
        </is>
      </c>
      <c r="BD544" t="inlineStr">
        <is>
          <t>893805054</t>
        </is>
      </c>
    </row>
    <row r="545">
      <c r="A545" t="inlineStr">
        <is>
          <t>No</t>
        </is>
      </c>
      <c r="B545" t="inlineStr">
        <is>
          <t>ND553.P5 D253</t>
        </is>
      </c>
      <c r="C545" t="inlineStr">
        <is>
          <t>0                      ND 0553000P  5                  D  253</t>
        </is>
      </c>
      <c r="D545" t="inlineStr">
        <is>
          <t>Picasso.</t>
        </is>
      </c>
      <c r="F545" t="inlineStr">
        <is>
          <t>No</t>
        </is>
      </c>
      <c r="G545" t="inlineStr">
        <is>
          <t>1</t>
        </is>
      </c>
      <c r="H545" t="inlineStr">
        <is>
          <t>No</t>
        </is>
      </c>
      <c r="I545" t="inlineStr">
        <is>
          <t>No</t>
        </is>
      </c>
      <c r="J545" t="inlineStr">
        <is>
          <t>0</t>
        </is>
      </c>
      <c r="K545" t="inlineStr">
        <is>
          <t>Daix, Pierre.</t>
        </is>
      </c>
      <c r="L545" t="inlineStr">
        <is>
          <t>New York : F.A. Praeger, [1965, c1964]</t>
        </is>
      </c>
      <c r="M545" t="inlineStr">
        <is>
          <t>1965</t>
        </is>
      </c>
      <c r="O545" t="inlineStr">
        <is>
          <t>eng</t>
        </is>
      </c>
      <c r="P545" t="inlineStr">
        <is>
          <t>nyu</t>
        </is>
      </c>
      <c r="Q545" t="inlineStr">
        <is>
          <t>Praeger world of art profiles</t>
        </is>
      </c>
      <c r="R545" t="inlineStr">
        <is>
          <t xml:space="preserve">ND </t>
        </is>
      </c>
      <c r="S545" t="n">
        <v>24</v>
      </c>
      <c r="T545" t="n">
        <v>24</v>
      </c>
      <c r="U545" t="inlineStr">
        <is>
          <t>2005-03-22</t>
        </is>
      </c>
      <c r="V545" t="inlineStr">
        <is>
          <t>2005-03-22</t>
        </is>
      </c>
      <c r="W545" t="inlineStr">
        <is>
          <t>1992-04-09</t>
        </is>
      </c>
      <c r="X545" t="inlineStr">
        <is>
          <t>1992-04-09</t>
        </is>
      </c>
      <c r="Y545" t="n">
        <v>544</v>
      </c>
      <c r="Z545" t="n">
        <v>523</v>
      </c>
      <c r="AA545" t="n">
        <v>723</v>
      </c>
      <c r="AB545" t="n">
        <v>5</v>
      </c>
      <c r="AC545" t="n">
        <v>6</v>
      </c>
      <c r="AD545" t="n">
        <v>18</v>
      </c>
      <c r="AE545" t="n">
        <v>24</v>
      </c>
      <c r="AF545" t="n">
        <v>5</v>
      </c>
      <c r="AG545" t="n">
        <v>8</v>
      </c>
      <c r="AH545" t="n">
        <v>6</v>
      </c>
      <c r="AI545" t="n">
        <v>6</v>
      </c>
      <c r="AJ545" t="n">
        <v>8</v>
      </c>
      <c r="AK545" t="n">
        <v>12</v>
      </c>
      <c r="AL545" t="n">
        <v>4</v>
      </c>
      <c r="AM545" t="n">
        <v>5</v>
      </c>
      <c r="AN545" t="n">
        <v>0</v>
      </c>
      <c r="AO545" t="n">
        <v>0</v>
      </c>
      <c r="AP545" t="inlineStr">
        <is>
          <t>No</t>
        </is>
      </c>
      <c r="AQ545" t="inlineStr">
        <is>
          <t>Yes</t>
        </is>
      </c>
      <c r="AR545">
        <f>HYPERLINK("http://catalog.hathitrust.org/Record/000614816","HathiTrust Record")</f>
        <v/>
      </c>
      <c r="AS545">
        <f>HYPERLINK("https://creighton-primo.hosted.exlibrisgroup.com/primo-explore/search?tab=default_tab&amp;search_scope=EVERYTHING&amp;vid=01CRU&amp;lang=en_US&amp;offset=0&amp;query=any,contains,991003474889702656","Catalog Record")</f>
        <v/>
      </c>
      <c r="AT545">
        <f>HYPERLINK("http://www.worldcat.org/oclc/1019016","WorldCat Record")</f>
        <v/>
      </c>
      <c r="AU545" t="inlineStr">
        <is>
          <t>10278907073:eng</t>
        </is>
      </c>
      <c r="AV545" t="inlineStr">
        <is>
          <t>1019016</t>
        </is>
      </c>
      <c r="AW545" t="inlineStr">
        <is>
          <t>991003474889702656</t>
        </is>
      </c>
      <c r="AX545" t="inlineStr">
        <is>
          <t>991003474889702656</t>
        </is>
      </c>
      <c r="AY545" t="inlineStr">
        <is>
          <t>2258198380002656</t>
        </is>
      </c>
      <c r="AZ545" t="inlineStr">
        <is>
          <t>BOOK</t>
        </is>
      </c>
      <c r="BC545" t="inlineStr">
        <is>
          <t>32285001057099</t>
        </is>
      </c>
      <c r="BD545" t="inlineStr">
        <is>
          <t>893324104</t>
        </is>
      </c>
    </row>
    <row r="546">
      <c r="A546" t="inlineStr">
        <is>
          <t>No</t>
        </is>
      </c>
      <c r="B546" t="inlineStr">
        <is>
          <t>ND553.P5 D78</t>
        </is>
      </c>
      <c r="C546" t="inlineStr">
        <is>
          <t>0                      ND 0553000P  5                  D  78</t>
        </is>
      </c>
      <c r="D546" t="inlineStr">
        <is>
          <t>Picasso's Picassos / by David Douglas Duncan.</t>
        </is>
      </c>
      <c r="F546" t="inlineStr">
        <is>
          <t>No</t>
        </is>
      </c>
      <c r="G546" t="inlineStr">
        <is>
          <t>1</t>
        </is>
      </c>
      <c r="H546" t="inlineStr">
        <is>
          <t>No</t>
        </is>
      </c>
      <c r="I546" t="inlineStr">
        <is>
          <t>No</t>
        </is>
      </c>
      <c r="J546" t="inlineStr">
        <is>
          <t>0</t>
        </is>
      </c>
      <c r="K546" t="inlineStr">
        <is>
          <t>Picasso, Pablo, 1881-1973.</t>
        </is>
      </c>
      <c r="L546" t="inlineStr">
        <is>
          <t>New York : Harper, [1961]</t>
        </is>
      </c>
      <c r="M546" t="inlineStr">
        <is>
          <t>1961</t>
        </is>
      </c>
      <c r="O546" t="inlineStr">
        <is>
          <t>eng</t>
        </is>
      </c>
      <c r="P546" t="inlineStr">
        <is>
          <t>nyu</t>
        </is>
      </c>
      <c r="R546" t="inlineStr">
        <is>
          <t xml:space="preserve">ND </t>
        </is>
      </c>
      <c r="S546" t="n">
        <v>9</v>
      </c>
      <c r="T546" t="n">
        <v>9</v>
      </c>
      <c r="U546" t="inlineStr">
        <is>
          <t>2007-01-17</t>
        </is>
      </c>
      <c r="V546" t="inlineStr">
        <is>
          <t>2007-01-17</t>
        </is>
      </c>
      <c r="W546" t="inlineStr">
        <is>
          <t>1992-04-07</t>
        </is>
      </c>
      <c r="X546" t="inlineStr">
        <is>
          <t>1992-04-07</t>
        </is>
      </c>
      <c r="Y546" t="n">
        <v>1020</v>
      </c>
      <c r="Z546" t="n">
        <v>976</v>
      </c>
      <c r="AA546" t="n">
        <v>984</v>
      </c>
      <c r="AB546" t="n">
        <v>9</v>
      </c>
      <c r="AC546" t="n">
        <v>9</v>
      </c>
      <c r="AD546" t="n">
        <v>27</v>
      </c>
      <c r="AE546" t="n">
        <v>27</v>
      </c>
      <c r="AF546" t="n">
        <v>8</v>
      </c>
      <c r="AG546" t="n">
        <v>8</v>
      </c>
      <c r="AH546" t="n">
        <v>5</v>
      </c>
      <c r="AI546" t="n">
        <v>5</v>
      </c>
      <c r="AJ546" t="n">
        <v>12</v>
      </c>
      <c r="AK546" t="n">
        <v>12</v>
      </c>
      <c r="AL546" t="n">
        <v>5</v>
      </c>
      <c r="AM546" t="n">
        <v>5</v>
      </c>
      <c r="AN546" t="n">
        <v>0</v>
      </c>
      <c r="AO546" t="n">
        <v>0</v>
      </c>
      <c r="AP546" t="inlineStr">
        <is>
          <t>No</t>
        </is>
      </c>
      <c r="AQ546" t="inlineStr">
        <is>
          <t>No</t>
        </is>
      </c>
      <c r="AR546">
        <f>HYPERLINK("http://catalog.hathitrust.org/Record/004504453","HathiTrust Record")</f>
        <v/>
      </c>
      <c r="AS546">
        <f>HYPERLINK("https://creighton-primo.hosted.exlibrisgroup.com/primo-explore/search?tab=default_tab&amp;search_scope=EVERYTHING&amp;vid=01CRU&amp;lang=en_US&amp;offset=0&amp;query=any,contains,991003517139702656","Catalog Record")</f>
        <v/>
      </c>
      <c r="AT546">
        <f>HYPERLINK("http://www.worldcat.org/oclc/1075367","WorldCat Record")</f>
        <v/>
      </c>
      <c r="AU546" t="inlineStr">
        <is>
          <t>2050696703:eng</t>
        </is>
      </c>
      <c r="AV546" t="inlineStr">
        <is>
          <t>1075367</t>
        </is>
      </c>
      <c r="AW546" t="inlineStr">
        <is>
          <t>991003517139702656</t>
        </is>
      </c>
      <c r="AX546" t="inlineStr">
        <is>
          <t>991003517139702656</t>
        </is>
      </c>
      <c r="AY546" t="inlineStr">
        <is>
          <t>2257909700002656</t>
        </is>
      </c>
      <c r="AZ546" t="inlineStr">
        <is>
          <t>BOOK</t>
        </is>
      </c>
      <c r="BC546" t="inlineStr">
        <is>
          <t>32285001055507</t>
        </is>
      </c>
      <c r="BD546" t="inlineStr">
        <is>
          <t>893445702</t>
        </is>
      </c>
    </row>
    <row r="547">
      <c r="A547" t="inlineStr">
        <is>
          <t>No</t>
        </is>
      </c>
      <c r="B547" t="inlineStr">
        <is>
          <t>ND553.P5 F6</t>
        </is>
      </c>
      <c r="C547" t="inlineStr">
        <is>
          <t>0                      ND 0553000P  5                  F  6</t>
        </is>
      </c>
      <c r="D547" t="inlineStr">
        <is>
          <t>Picasso for Vollard / [introduction by Hans Bolliger ; translated by Norbert Guterman].</t>
        </is>
      </c>
      <c r="F547" t="inlineStr">
        <is>
          <t>No</t>
        </is>
      </c>
      <c r="G547" t="inlineStr">
        <is>
          <t>1</t>
        </is>
      </c>
      <c r="H547" t="inlineStr">
        <is>
          <t>No</t>
        </is>
      </c>
      <c r="I547" t="inlineStr">
        <is>
          <t>No</t>
        </is>
      </c>
      <c r="J547" t="inlineStr">
        <is>
          <t>0</t>
        </is>
      </c>
      <c r="K547" t="inlineStr">
        <is>
          <t>Picasso, Pablo, 1881-1973.</t>
        </is>
      </c>
      <c r="L547" t="inlineStr">
        <is>
          <t>New York : H.N. Abrams, c1956.</t>
        </is>
      </c>
      <c r="M547" t="inlineStr">
        <is>
          <t>1956</t>
        </is>
      </c>
      <c r="O547" t="inlineStr">
        <is>
          <t>eng</t>
        </is>
      </c>
      <c r="P547" t="inlineStr">
        <is>
          <t>nyu</t>
        </is>
      </c>
      <c r="R547" t="inlineStr">
        <is>
          <t xml:space="preserve">ND </t>
        </is>
      </c>
      <c r="S547" t="n">
        <v>11</v>
      </c>
      <c r="T547" t="n">
        <v>11</v>
      </c>
      <c r="U547" t="inlineStr">
        <is>
          <t>1995-04-06</t>
        </is>
      </c>
      <c r="V547" t="inlineStr">
        <is>
          <t>1995-04-06</t>
        </is>
      </c>
      <c r="W547" t="inlineStr">
        <is>
          <t>1991-12-16</t>
        </is>
      </c>
      <c r="X547" t="inlineStr">
        <is>
          <t>1991-12-16</t>
        </is>
      </c>
      <c r="Y547" t="n">
        <v>401</v>
      </c>
      <c r="Z547" t="n">
        <v>385</v>
      </c>
      <c r="AA547" t="n">
        <v>392</v>
      </c>
      <c r="AB547" t="n">
        <v>4</v>
      </c>
      <c r="AC547" t="n">
        <v>4</v>
      </c>
      <c r="AD547" t="n">
        <v>12</v>
      </c>
      <c r="AE547" t="n">
        <v>12</v>
      </c>
      <c r="AF547" t="n">
        <v>5</v>
      </c>
      <c r="AG547" t="n">
        <v>5</v>
      </c>
      <c r="AH547" t="n">
        <v>3</v>
      </c>
      <c r="AI547" t="n">
        <v>3</v>
      </c>
      <c r="AJ547" t="n">
        <v>4</v>
      </c>
      <c r="AK547" t="n">
        <v>4</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HYPERLINK("https://creighton-primo.hosted.exlibrisgroup.com/primo-explore/search?tab=default_tab&amp;search_scope=EVERYTHING&amp;vid=01CRU&amp;lang=en_US&amp;offset=0&amp;query=any,contains,991003773009702656","Catalog Record")</f>
        <v/>
      </c>
      <c r="AT547">
        <f>HYPERLINK("http://www.worldcat.org/oclc/1475235","WorldCat Record")</f>
        <v/>
      </c>
      <c r="AU547" t="inlineStr">
        <is>
          <t>5583855110:eng</t>
        </is>
      </c>
      <c r="AV547" t="inlineStr">
        <is>
          <t>1475235</t>
        </is>
      </c>
      <c r="AW547" t="inlineStr">
        <is>
          <t>991003773009702656</t>
        </is>
      </c>
      <c r="AX547" t="inlineStr">
        <is>
          <t>991003773009702656</t>
        </is>
      </c>
      <c r="AY547" t="inlineStr">
        <is>
          <t>2255171980002656</t>
        </is>
      </c>
      <c r="AZ547" t="inlineStr">
        <is>
          <t>BOOK</t>
        </is>
      </c>
      <c r="BC547" t="inlineStr">
        <is>
          <t>32285000877893</t>
        </is>
      </c>
      <c r="BD547" t="inlineStr">
        <is>
          <t>893531578</t>
        </is>
      </c>
    </row>
    <row r="548">
      <c r="A548" t="inlineStr">
        <is>
          <t>No</t>
        </is>
      </c>
      <c r="B548" t="inlineStr">
        <is>
          <t>ND553.P5 G2813 1971b</t>
        </is>
      </c>
      <c r="C548" t="inlineStr">
        <is>
          <t>0                      ND 0553000P  5                  G  2813        1971b</t>
        </is>
      </c>
      <c r="D548" t="inlineStr">
        <is>
          <t>Picasso at 90; the late work.</t>
        </is>
      </c>
      <c r="F548" t="inlineStr">
        <is>
          <t>No</t>
        </is>
      </c>
      <c r="G548" t="inlineStr">
        <is>
          <t>1</t>
        </is>
      </c>
      <c r="H548" t="inlineStr">
        <is>
          <t>No</t>
        </is>
      </c>
      <c r="I548" t="inlineStr">
        <is>
          <t>No</t>
        </is>
      </c>
      <c r="J548" t="inlineStr">
        <is>
          <t>0</t>
        </is>
      </c>
      <c r="K548" t="inlineStr">
        <is>
          <t>Gallwitz, Klaus.</t>
        </is>
      </c>
      <c r="L548" t="inlineStr">
        <is>
          <t>New York, Putnam [1971]</t>
        </is>
      </c>
      <c r="M548" t="inlineStr">
        <is>
          <t>1971</t>
        </is>
      </c>
      <c r="N548" t="inlineStr">
        <is>
          <t>[1st American ed.]</t>
        </is>
      </c>
      <c r="O548" t="inlineStr">
        <is>
          <t>eng</t>
        </is>
      </c>
      <c r="P548" t="inlineStr">
        <is>
          <t>nyu</t>
        </is>
      </c>
      <c r="R548" t="inlineStr">
        <is>
          <t xml:space="preserve">ND </t>
        </is>
      </c>
      <c r="S548" t="n">
        <v>14</v>
      </c>
      <c r="T548" t="n">
        <v>14</v>
      </c>
      <c r="U548" t="inlineStr">
        <is>
          <t>2003-04-09</t>
        </is>
      </c>
      <c r="V548" t="inlineStr">
        <is>
          <t>2003-04-09</t>
        </is>
      </c>
      <c r="W548" t="inlineStr">
        <is>
          <t>1992-10-30</t>
        </is>
      </c>
      <c r="X548" t="inlineStr">
        <is>
          <t>1992-10-30</t>
        </is>
      </c>
      <c r="Y548" t="n">
        <v>867</v>
      </c>
      <c r="Z548" t="n">
        <v>803</v>
      </c>
      <c r="AA548" t="n">
        <v>860</v>
      </c>
      <c r="AB548" t="n">
        <v>9</v>
      </c>
      <c r="AC548" t="n">
        <v>10</v>
      </c>
      <c r="AD548" t="n">
        <v>32</v>
      </c>
      <c r="AE548" t="n">
        <v>33</v>
      </c>
      <c r="AF548" t="n">
        <v>14</v>
      </c>
      <c r="AG548" t="n">
        <v>15</v>
      </c>
      <c r="AH548" t="n">
        <v>4</v>
      </c>
      <c r="AI548" t="n">
        <v>4</v>
      </c>
      <c r="AJ548" t="n">
        <v>14</v>
      </c>
      <c r="AK548" t="n">
        <v>15</v>
      </c>
      <c r="AL548" t="n">
        <v>6</v>
      </c>
      <c r="AM548" t="n">
        <v>6</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HYPERLINK("https://creighton-primo.hosted.exlibrisgroup.com/primo-explore/search?tab=default_tab&amp;search_scope=EVERYTHING&amp;vid=01CRU&amp;lang=en_US&amp;offset=0&amp;query=any,contains,991002274399702656","Catalog Record")</f>
        <v/>
      </c>
      <c r="AT548">
        <f>HYPERLINK("http://www.worldcat.org/oclc/309802","WorldCat Record")</f>
        <v/>
      </c>
      <c r="AU548" t="inlineStr">
        <is>
          <t>429912971:eng</t>
        </is>
      </c>
      <c r="AV548" t="inlineStr">
        <is>
          <t>309802</t>
        </is>
      </c>
      <c r="AW548" t="inlineStr">
        <is>
          <t>991002274399702656</t>
        </is>
      </c>
      <c r="AX548" t="inlineStr">
        <is>
          <t>991002274399702656</t>
        </is>
      </c>
      <c r="AY548" t="inlineStr">
        <is>
          <t>2264568920002656</t>
        </is>
      </c>
      <c r="AZ548" t="inlineStr">
        <is>
          <t>BOOK</t>
        </is>
      </c>
      <c r="BC548" t="inlineStr">
        <is>
          <t>32285001387652</t>
        </is>
      </c>
      <c r="BD548" t="inlineStr">
        <is>
          <t>893691418</t>
        </is>
      </c>
    </row>
    <row r="549">
      <c r="A549" t="inlineStr">
        <is>
          <t>No</t>
        </is>
      </c>
      <c r="B549" t="inlineStr">
        <is>
          <t>ND553.P5 K3</t>
        </is>
      </c>
      <c r="C549" t="inlineStr">
        <is>
          <t>0                      ND 0553000P  5                  K  3</t>
        </is>
      </c>
      <c r="D549" t="inlineStr">
        <is>
          <t>Picasso's world of children / by Helen Kay. With an introd. by Daniel-Henry Kahnweiler.</t>
        </is>
      </c>
      <c r="F549" t="inlineStr">
        <is>
          <t>No</t>
        </is>
      </c>
      <c r="G549" t="inlineStr">
        <is>
          <t>1</t>
        </is>
      </c>
      <c r="H549" t="inlineStr">
        <is>
          <t>No</t>
        </is>
      </c>
      <c r="I549" t="inlineStr">
        <is>
          <t>No</t>
        </is>
      </c>
      <c r="J549" t="inlineStr">
        <is>
          <t>0</t>
        </is>
      </c>
      <c r="K549" t="inlineStr">
        <is>
          <t>Kay, Helen, 1912-2002.</t>
        </is>
      </c>
      <c r="L549" t="inlineStr">
        <is>
          <t>Garden City, N.Y. : Doubleday, [1965]</t>
        </is>
      </c>
      <c r="M549" t="inlineStr">
        <is>
          <t>1965</t>
        </is>
      </c>
      <c r="O549" t="inlineStr">
        <is>
          <t>eng</t>
        </is>
      </c>
      <c r="P549" t="inlineStr">
        <is>
          <t>nyu</t>
        </is>
      </c>
      <c r="R549" t="inlineStr">
        <is>
          <t xml:space="preserve">ND </t>
        </is>
      </c>
      <c r="S549" t="n">
        <v>16</v>
      </c>
      <c r="T549" t="n">
        <v>16</v>
      </c>
      <c r="U549" t="inlineStr">
        <is>
          <t>1999-04-12</t>
        </is>
      </c>
      <c r="V549" t="inlineStr">
        <is>
          <t>1999-04-12</t>
        </is>
      </c>
      <c r="W549" t="inlineStr">
        <is>
          <t>1992-04-07</t>
        </is>
      </c>
      <c r="X549" t="inlineStr">
        <is>
          <t>1992-04-07</t>
        </is>
      </c>
      <c r="Y549" t="n">
        <v>807</v>
      </c>
      <c r="Z549" t="n">
        <v>759</v>
      </c>
      <c r="AA549" t="n">
        <v>793</v>
      </c>
      <c r="AB549" t="n">
        <v>8</v>
      </c>
      <c r="AC549" t="n">
        <v>8</v>
      </c>
      <c r="AD549" t="n">
        <v>20</v>
      </c>
      <c r="AE549" t="n">
        <v>21</v>
      </c>
      <c r="AF549" t="n">
        <v>7</v>
      </c>
      <c r="AG549" t="n">
        <v>8</v>
      </c>
      <c r="AH549" t="n">
        <v>3</v>
      </c>
      <c r="AI549" t="n">
        <v>3</v>
      </c>
      <c r="AJ549" t="n">
        <v>9</v>
      </c>
      <c r="AK549" t="n">
        <v>9</v>
      </c>
      <c r="AL549" t="n">
        <v>4</v>
      </c>
      <c r="AM549" t="n">
        <v>4</v>
      </c>
      <c r="AN549" t="n">
        <v>0</v>
      </c>
      <c r="AO549" t="n">
        <v>0</v>
      </c>
      <c r="AP549" t="inlineStr">
        <is>
          <t>No</t>
        </is>
      </c>
      <c r="AQ549" t="inlineStr">
        <is>
          <t>Yes</t>
        </is>
      </c>
      <c r="AR549">
        <f>HYPERLINK("http://catalog.hathitrust.org/Record/008232013","HathiTrust Record")</f>
        <v/>
      </c>
      <c r="AS549">
        <f>HYPERLINK("https://creighton-primo.hosted.exlibrisgroup.com/primo-explore/search?tab=default_tab&amp;search_scope=EVERYTHING&amp;vid=01CRU&amp;lang=en_US&amp;offset=0&amp;query=any,contains,991003417239702656","Catalog Record")</f>
        <v/>
      </c>
      <c r="AT549">
        <f>HYPERLINK("http://www.worldcat.org/oclc/958838","WorldCat Record")</f>
        <v/>
      </c>
      <c r="AU549" t="inlineStr">
        <is>
          <t>104459133:eng</t>
        </is>
      </c>
      <c r="AV549" t="inlineStr">
        <is>
          <t>958838</t>
        </is>
      </c>
      <c r="AW549" t="inlineStr">
        <is>
          <t>991003417239702656</t>
        </is>
      </c>
      <c r="AX549" t="inlineStr">
        <is>
          <t>991003417239702656</t>
        </is>
      </c>
      <c r="AY549" t="inlineStr">
        <is>
          <t>2268349210002656</t>
        </is>
      </c>
      <c r="AZ549" t="inlineStr">
        <is>
          <t>BOOK</t>
        </is>
      </c>
      <c r="BC549" t="inlineStr">
        <is>
          <t>32285001055499</t>
        </is>
      </c>
      <c r="BD549" t="inlineStr">
        <is>
          <t>893422552</t>
        </is>
      </c>
    </row>
    <row r="550">
      <c r="A550" t="inlineStr">
        <is>
          <t>No</t>
        </is>
      </c>
      <c r="B550" t="inlineStr">
        <is>
          <t>ND553.P5 L3813 1984</t>
        </is>
      </c>
      <c r="C550" t="inlineStr">
        <is>
          <t>0                      ND 0553000P  5                  L  3813        1984</t>
        </is>
      </c>
      <c r="D550" t="inlineStr">
        <is>
          <t>Pablo Picasso / Ibi Lepscky ; illustrated by Paolo Cardoni ; translated by Howard Rodger MacLean.</t>
        </is>
      </c>
      <c r="F550" t="inlineStr">
        <is>
          <t>No</t>
        </is>
      </c>
      <c r="G550" t="inlineStr">
        <is>
          <t>1</t>
        </is>
      </c>
      <c r="H550" t="inlineStr">
        <is>
          <t>No</t>
        </is>
      </c>
      <c r="I550" t="inlineStr">
        <is>
          <t>No</t>
        </is>
      </c>
      <c r="J550" t="inlineStr">
        <is>
          <t>0</t>
        </is>
      </c>
      <c r="K550" t="inlineStr">
        <is>
          <t>Lepscky, Ibi.</t>
        </is>
      </c>
      <c r="L550" t="inlineStr">
        <is>
          <t>Woodbury, N.Y. : Barron's, 1984.</t>
        </is>
      </c>
      <c r="M550" t="inlineStr">
        <is>
          <t>1984</t>
        </is>
      </c>
      <c r="N550" t="inlineStr">
        <is>
          <t>1st English language ed.</t>
        </is>
      </c>
      <c r="O550" t="inlineStr">
        <is>
          <t>eng</t>
        </is>
      </c>
      <c r="P550" t="inlineStr">
        <is>
          <t>nyu</t>
        </is>
      </c>
      <c r="Q550" t="inlineStr">
        <is>
          <t>Famous people series</t>
        </is>
      </c>
      <c r="R550" t="inlineStr">
        <is>
          <t xml:space="preserve">ND </t>
        </is>
      </c>
      <c r="S550" t="n">
        <v>10</v>
      </c>
      <c r="T550" t="n">
        <v>10</v>
      </c>
      <c r="U550" t="inlineStr">
        <is>
          <t>2009-04-27</t>
        </is>
      </c>
      <c r="V550" t="inlineStr">
        <is>
          <t>2009-04-27</t>
        </is>
      </c>
      <c r="W550" t="inlineStr">
        <is>
          <t>1991-03-14</t>
        </is>
      </c>
      <c r="X550" t="inlineStr">
        <is>
          <t>1991-03-14</t>
        </is>
      </c>
      <c r="Y550" t="n">
        <v>345</v>
      </c>
      <c r="Z550" t="n">
        <v>334</v>
      </c>
      <c r="AA550" t="n">
        <v>394</v>
      </c>
      <c r="AB550" t="n">
        <v>5</v>
      </c>
      <c r="AC550" t="n">
        <v>5</v>
      </c>
      <c r="AD550" t="n">
        <v>2</v>
      </c>
      <c r="AE550" t="n">
        <v>2</v>
      </c>
      <c r="AF550" t="n">
        <v>1</v>
      </c>
      <c r="AG550" t="n">
        <v>1</v>
      </c>
      <c r="AH550" t="n">
        <v>0</v>
      </c>
      <c r="AI550" t="n">
        <v>0</v>
      </c>
      <c r="AJ550" t="n">
        <v>1</v>
      </c>
      <c r="AK550" t="n">
        <v>1</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HYPERLINK("https://creighton-primo.hosted.exlibrisgroup.com/primo-explore/search?tab=default_tab&amp;search_scope=EVERYTHING&amp;vid=01CRU&amp;lang=en_US&amp;offset=0&amp;query=any,contains,991004442849702656","Catalog Record")</f>
        <v/>
      </c>
      <c r="AT550">
        <f>HYPERLINK("http://www.worldcat.org/oclc/10375579","WorldCat Record")</f>
        <v/>
      </c>
      <c r="AU550" t="inlineStr">
        <is>
          <t>4535550280:eng</t>
        </is>
      </c>
      <c r="AV550" t="inlineStr">
        <is>
          <t>10375579</t>
        </is>
      </c>
      <c r="AW550" t="inlineStr">
        <is>
          <t>991004442849702656</t>
        </is>
      </c>
      <c r="AX550" t="inlineStr">
        <is>
          <t>991004442849702656</t>
        </is>
      </c>
      <c r="AY550" t="inlineStr">
        <is>
          <t>2258013150002656</t>
        </is>
      </c>
      <c r="AZ550" t="inlineStr">
        <is>
          <t>BOOK</t>
        </is>
      </c>
      <c r="BB550" t="inlineStr">
        <is>
          <t>9780812055115</t>
        </is>
      </c>
      <c r="BC550" t="inlineStr">
        <is>
          <t>32285000299957</t>
        </is>
      </c>
      <c r="BD550" t="inlineStr">
        <is>
          <t>893767864</t>
        </is>
      </c>
    </row>
    <row r="551">
      <c r="A551" t="inlineStr">
        <is>
          <t>No</t>
        </is>
      </c>
      <c r="B551" t="inlineStr">
        <is>
          <t>ND553.P5 O27 1976</t>
        </is>
      </c>
      <c r="C551" t="inlineStr">
        <is>
          <t>0                      ND 0553000P  5                  O  27          1976</t>
        </is>
      </c>
      <c r="D551" t="inlineStr">
        <is>
          <t>Picasso : Pablo Ruiz Picasso : a biography / by Patrick O'Brian. --</t>
        </is>
      </c>
      <c r="F551" t="inlineStr">
        <is>
          <t>No</t>
        </is>
      </c>
      <c r="G551" t="inlineStr">
        <is>
          <t>1</t>
        </is>
      </c>
      <c r="H551" t="inlineStr">
        <is>
          <t>No</t>
        </is>
      </c>
      <c r="I551" t="inlineStr">
        <is>
          <t>No</t>
        </is>
      </c>
      <c r="J551" t="inlineStr">
        <is>
          <t>0</t>
        </is>
      </c>
      <c r="K551" t="inlineStr">
        <is>
          <t>O'Brian, Patrick, 1914-2000.</t>
        </is>
      </c>
      <c r="L551" t="inlineStr">
        <is>
          <t>New York : Putnam, c1976.</t>
        </is>
      </c>
      <c r="M551" t="inlineStr">
        <is>
          <t>1976</t>
        </is>
      </c>
      <c r="O551" t="inlineStr">
        <is>
          <t>eng</t>
        </is>
      </c>
      <c r="P551" t="inlineStr">
        <is>
          <t>nyu</t>
        </is>
      </c>
      <c r="R551" t="inlineStr">
        <is>
          <t xml:space="preserve">ND </t>
        </is>
      </c>
      <c r="S551" t="n">
        <v>19</v>
      </c>
      <c r="T551" t="n">
        <v>19</v>
      </c>
      <c r="U551" t="inlineStr">
        <is>
          <t>2005-12-05</t>
        </is>
      </c>
      <c r="V551" t="inlineStr">
        <is>
          <t>2005-12-05</t>
        </is>
      </c>
      <c r="W551" t="inlineStr">
        <is>
          <t>1992-12-15</t>
        </is>
      </c>
      <c r="X551" t="inlineStr">
        <is>
          <t>1992-12-15</t>
        </is>
      </c>
      <c r="Y551" t="n">
        <v>886</v>
      </c>
      <c r="Z551" t="n">
        <v>840</v>
      </c>
      <c r="AA551" t="n">
        <v>848</v>
      </c>
      <c r="AB551" t="n">
        <v>8</v>
      </c>
      <c r="AC551" t="n">
        <v>8</v>
      </c>
      <c r="AD551" t="n">
        <v>29</v>
      </c>
      <c r="AE551" t="n">
        <v>29</v>
      </c>
      <c r="AF551" t="n">
        <v>10</v>
      </c>
      <c r="AG551" t="n">
        <v>10</v>
      </c>
      <c r="AH551" t="n">
        <v>7</v>
      </c>
      <c r="AI551" t="n">
        <v>7</v>
      </c>
      <c r="AJ551" t="n">
        <v>12</v>
      </c>
      <c r="AK551" t="n">
        <v>12</v>
      </c>
      <c r="AL551" t="n">
        <v>6</v>
      </c>
      <c r="AM551" t="n">
        <v>6</v>
      </c>
      <c r="AN551" t="n">
        <v>0</v>
      </c>
      <c r="AO551" t="n">
        <v>0</v>
      </c>
      <c r="AP551" t="inlineStr">
        <is>
          <t>No</t>
        </is>
      </c>
      <c r="AQ551" t="inlineStr">
        <is>
          <t>Yes</t>
        </is>
      </c>
      <c r="AR551">
        <f>HYPERLINK("http://catalog.hathitrust.org/Record/000710528","HathiTrust Record")</f>
        <v/>
      </c>
      <c r="AS551">
        <f>HYPERLINK("https://creighton-primo.hosted.exlibrisgroup.com/primo-explore/search?tab=default_tab&amp;search_scope=EVERYTHING&amp;vid=01CRU&amp;lang=en_US&amp;offset=0&amp;query=any,contains,991003953569702656","Catalog Record")</f>
        <v/>
      </c>
      <c r="AT551">
        <f>HYPERLINK("http://www.worldcat.org/oclc/1959587","WorldCat Record")</f>
        <v/>
      </c>
      <c r="AU551" t="inlineStr">
        <is>
          <t>3943458798:eng</t>
        </is>
      </c>
      <c r="AV551" t="inlineStr">
        <is>
          <t>1959587</t>
        </is>
      </c>
      <c r="AW551" t="inlineStr">
        <is>
          <t>991003953569702656</t>
        </is>
      </c>
      <c r="AX551" t="inlineStr">
        <is>
          <t>991003953569702656</t>
        </is>
      </c>
      <c r="AY551" t="inlineStr">
        <is>
          <t>2266108320002656</t>
        </is>
      </c>
      <c r="AZ551" t="inlineStr">
        <is>
          <t>BOOK</t>
        </is>
      </c>
      <c r="BB551" t="inlineStr">
        <is>
          <t>9780399116391</t>
        </is>
      </c>
      <c r="BC551" t="inlineStr">
        <is>
          <t>32285001442101</t>
        </is>
      </c>
      <c r="BD551" t="inlineStr">
        <is>
          <t>893240835</t>
        </is>
      </c>
    </row>
    <row r="552">
      <c r="A552" t="inlineStr">
        <is>
          <t>No</t>
        </is>
      </c>
      <c r="B552" t="inlineStr">
        <is>
          <t>ND553.P5 P42 1973</t>
        </is>
      </c>
      <c r="C552" t="inlineStr">
        <is>
          <t>0                      ND 0553000P  5                  P  42          1973</t>
        </is>
      </c>
      <c r="D552" t="inlineStr">
        <is>
          <t>Picasso : his life and work.</t>
        </is>
      </c>
      <c r="F552" t="inlineStr">
        <is>
          <t>No</t>
        </is>
      </c>
      <c r="G552" t="inlineStr">
        <is>
          <t>1</t>
        </is>
      </c>
      <c r="H552" t="inlineStr">
        <is>
          <t>No</t>
        </is>
      </c>
      <c r="I552" t="inlineStr">
        <is>
          <t>Yes</t>
        </is>
      </c>
      <c r="J552" t="inlineStr">
        <is>
          <t>0</t>
        </is>
      </c>
      <c r="K552" t="inlineStr">
        <is>
          <t>Penrose, Roland, Sir</t>
        </is>
      </c>
      <c r="L552" t="inlineStr">
        <is>
          <t>New York : Harper &amp; Row, [1973]</t>
        </is>
      </c>
      <c r="M552" t="inlineStr">
        <is>
          <t>1973</t>
        </is>
      </c>
      <c r="N552" t="inlineStr">
        <is>
          <t>[1st U.S. ed.]</t>
        </is>
      </c>
      <c r="O552" t="inlineStr">
        <is>
          <t>eng</t>
        </is>
      </c>
      <c r="P552" t="inlineStr">
        <is>
          <t>nyu</t>
        </is>
      </c>
      <c r="Q552" t="inlineStr">
        <is>
          <t>Icon editions ; IN-16</t>
        </is>
      </c>
      <c r="R552" t="inlineStr">
        <is>
          <t xml:space="preserve">ND </t>
        </is>
      </c>
      <c r="S552" t="n">
        <v>15</v>
      </c>
      <c r="T552" t="n">
        <v>15</v>
      </c>
      <c r="U552" t="inlineStr">
        <is>
          <t>2003-04-13</t>
        </is>
      </c>
      <c r="V552" t="inlineStr">
        <is>
          <t>2003-04-13</t>
        </is>
      </c>
      <c r="W552" t="inlineStr">
        <is>
          <t>1992-04-09</t>
        </is>
      </c>
      <c r="X552" t="inlineStr">
        <is>
          <t>1992-04-09</t>
        </is>
      </c>
      <c r="Y552" t="n">
        <v>319</v>
      </c>
      <c r="Z552" t="n">
        <v>297</v>
      </c>
      <c r="AA552" t="n">
        <v>1172</v>
      </c>
      <c r="AB552" t="n">
        <v>3</v>
      </c>
      <c r="AC552" t="n">
        <v>7</v>
      </c>
      <c r="AD552" t="n">
        <v>8</v>
      </c>
      <c r="AE552" t="n">
        <v>36</v>
      </c>
      <c r="AF552" t="n">
        <v>1</v>
      </c>
      <c r="AG552" t="n">
        <v>15</v>
      </c>
      <c r="AH552" t="n">
        <v>3</v>
      </c>
      <c r="AI552" t="n">
        <v>8</v>
      </c>
      <c r="AJ552" t="n">
        <v>2</v>
      </c>
      <c r="AK552" t="n">
        <v>16</v>
      </c>
      <c r="AL552" t="n">
        <v>2</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HYPERLINK("https://creighton-primo.hosted.exlibrisgroup.com/primo-explore/search?tab=default_tab&amp;search_scope=EVERYTHING&amp;vid=01CRU&amp;lang=en_US&amp;offset=0&amp;query=any,contains,991003258459702656","Catalog Record")</f>
        <v/>
      </c>
      <c r="AT552">
        <f>HYPERLINK("http://www.worldcat.org/oclc/784042","WorldCat Record")</f>
        <v/>
      </c>
      <c r="AU552" t="inlineStr">
        <is>
          <t>2094368386:eng</t>
        </is>
      </c>
      <c r="AV552" t="inlineStr">
        <is>
          <t>784042</t>
        </is>
      </c>
      <c r="AW552" t="inlineStr">
        <is>
          <t>991003258459702656</t>
        </is>
      </c>
      <c r="AX552" t="inlineStr">
        <is>
          <t>991003258459702656</t>
        </is>
      </c>
      <c r="AY552" t="inlineStr">
        <is>
          <t>2262391120002656</t>
        </is>
      </c>
      <c r="AZ552" t="inlineStr">
        <is>
          <t>BOOK</t>
        </is>
      </c>
      <c r="BB552" t="inlineStr">
        <is>
          <t>9780064300162</t>
        </is>
      </c>
      <c r="BC552" t="inlineStr">
        <is>
          <t>32285001057081</t>
        </is>
      </c>
      <c r="BD552" t="inlineStr">
        <is>
          <t>893416205</t>
        </is>
      </c>
    </row>
    <row r="553">
      <c r="A553" t="inlineStr">
        <is>
          <t>No</t>
        </is>
      </c>
      <c r="B553" t="inlineStr">
        <is>
          <t>ND553.P5 R29</t>
        </is>
      </c>
      <c r="C553" t="inlineStr">
        <is>
          <t>0                      ND 0553000P  5                  R  29</t>
        </is>
      </c>
      <c r="D553" t="inlineStr">
        <is>
          <t>Picasso : [biographical and critical studies. Translated by James Emmons.</t>
        </is>
      </c>
      <c r="F553" t="inlineStr">
        <is>
          <t>No</t>
        </is>
      </c>
      <c r="G553" t="inlineStr">
        <is>
          <t>1</t>
        </is>
      </c>
      <c r="H553" t="inlineStr">
        <is>
          <t>No</t>
        </is>
      </c>
      <c r="I553" t="inlineStr">
        <is>
          <t>No</t>
        </is>
      </c>
      <c r="J553" t="inlineStr">
        <is>
          <t>0</t>
        </is>
      </c>
      <c r="K553" t="inlineStr">
        <is>
          <t>Raynal, Maurice.</t>
        </is>
      </c>
      <c r="L553" t="inlineStr">
        <is>
          <t>Geneva] : Skira, [1953]</t>
        </is>
      </c>
      <c r="M553" t="inlineStr">
        <is>
          <t>1953</t>
        </is>
      </c>
      <c r="O553" t="inlineStr">
        <is>
          <t>eng</t>
        </is>
      </c>
      <c r="P553" t="inlineStr">
        <is>
          <t xml:space="preserve">sz </t>
        </is>
      </c>
      <c r="Q553" t="inlineStr">
        <is>
          <t>The Taste of our time, v. 4</t>
        </is>
      </c>
      <c r="R553" t="inlineStr">
        <is>
          <t xml:space="preserve">ND </t>
        </is>
      </c>
      <c r="S553" t="n">
        <v>23</v>
      </c>
      <c r="T553" t="n">
        <v>23</v>
      </c>
      <c r="U553" t="inlineStr">
        <is>
          <t>1999-04-11</t>
        </is>
      </c>
      <c r="V553" t="inlineStr">
        <is>
          <t>1999-04-11</t>
        </is>
      </c>
      <c r="W553" t="inlineStr">
        <is>
          <t>1992-05-21</t>
        </is>
      </c>
      <c r="X553" t="inlineStr">
        <is>
          <t>1992-05-21</t>
        </is>
      </c>
      <c r="Y553" t="n">
        <v>778</v>
      </c>
      <c r="Z553" t="n">
        <v>697</v>
      </c>
      <c r="AA553" t="n">
        <v>756</v>
      </c>
      <c r="AB553" t="n">
        <v>7</v>
      </c>
      <c r="AC553" t="n">
        <v>7</v>
      </c>
      <c r="AD553" t="n">
        <v>22</v>
      </c>
      <c r="AE553" t="n">
        <v>22</v>
      </c>
      <c r="AF553" t="n">
        <v>7</v>
      </c>
      <c r="AG553" t="n">
        <v>7</v>
      </c>
      <c r="AH553" t="n">
        <v>5</v>
      </c>
      <c r="AI553" t="n">
        <v>5</v>
      </c>
      <c r="AJ553" t="n">
        <v>11</v>
      </c>
      <c r="AK553" t="n">
        <v>11</v>
      </c>
      <c r="AL553" t="n">
        <v>4</v>
      </c>
      <c r="AM553" t="n">
        <v>4</v>
      </c>
      <c r="AN553" t="n">
        <v>0</v>
      </c>
      <c r="AO553" t="n">
        <v>0</v>
      </c>
      <c r="AP553" t="inlineStr">
        <is>
          <t>No</t>
        </is>
      </c>
      <c r="AQ553" t="inlineStr">
        <is>
          <t>Yes</t>
        </is>
      </c>
      <c r="AR553">
        <f>HYPERLINK("http://catalog.hathitrust.org/Record/000004363","HathiTrust Record")</f>
        <v/>
      </c>
      <c r="AS553">
        <f>HYPERLINK("https://creighton-primo.hosted.exlibrisgroup.com/primo-explore/search?tab=default_tab&amp;search_scope=EVERYTHING&amp;vid=01CRU&amp;lang=en_US&amp;offset=0&amp;query=any,contains,991002263179702656","Catalog Record")</f>
        <v/>
      </c>
      <c r="AT553">
        <f>HYPERLINK("http://www.worldcat.org/oclc/305503","WorldCat Record")</f>
        <v/>
      </c>
      <c r="AU553" t="inlineStr">
        <is>
          <t>10792675152:eng</t>
        </is>
      </c>
      <c r="AV553" t="inlineStr">
        <is>
          <t>305503</t>
        </is>
      </c>
      <c r="AW553" t="inlineStr">
        <is>
          <t>991002263179702656</t>
        </is>
      </c>
      <c r="AX553" t="inlineStr">
        <is>
          <t>991002263179702656</t>
        </is>
      </c>
      <c r="AY553" t="inlineStr">
        <is>
          <t>2265542110002656</t>
        </is>
      </c>
      <c r="AZ553" t="inlineStr">
        <is>
          <t>BOOK</t>
        </is>
      </c>
      <c r="BC553" t="inlineStr">
        <is>
          <t>32285001112381</t>
        </is>
      </c>
      <c r="BD553" t="inlineStr">
        <is>
          <t>893597215</t>
        </is>
      </c>
    </row>
    <row r="554">
      <c r="A554" t="inlineStr">
        <is>
          <t>No</t>
        </is>
      </c>
      <c r="B554" t="inlineStr">
        <is>
          <t>ND553.P5 S384 1999</t>
        </is>
      </c>
      <c r="C554" t="inlineStr">
        <is>
          <t>0                      ND 0553000P  5                  S  384         1999</t>
        </is>
      </c>
      <c r="D554" t="inlineStr">
        <is>
          <t>The essential Pablo Picasso / by Ingrid Schaffner.</t>
        </is>
      </c>
      <c r="F554" t="inlineStr">
        <is>
          <t>No</t>
        </is>
      </c>
      <c r="G554" t="inlineStr">
        <is>
          <t>1</t>
        </is>
      </c>
      <c r="H554" t="inlineStr">
        <is>
          <t>No</t>
        </is>
      </c>
      <c r="I554" t="inlineStr">
        <is>
          <t>No</t>
        </is>
      </c>
      <c r="J554" t="inlineStr">
        <is>
          <t>0</t>
        </is>
      </c>
      <c r="K554" t="inlineStr">
        <is>
          <t>Schaffner, Ingrid.</t>
        </is>
      </c>
      <c r="L554" t="inlineStr">
        <is>
          <t>New York : Henry N. Abrams, c1999.</t>
        </is>
      </c>
      <c r="M554" t="inlineStr">
        <is>
          <t>1999</t>
        </is>
      </c>
      <c r="O554" t="inlineStr">
        <is>
          <t>eng</t>
        </is>
      </c>
      <c r="P554" t="inlineStr">
        <is>
          <t>nyu</t>
        </is>
      </c>
      <c r="Q554" t="inlineStr">
        <is>
          <t>The Essential</t>
        </is>
      </c>
      <c r="R554" t="inlineStr">
        <is>
          <t xml:space="preserve">ND </t>
        </is>
      </c>
      <c r="S554" t="n">
        <v>18</v>
      </c>
      <c r="T554" t="n">
        <v>18</v>
      </c>
      <c r="U554" t="inlineStr">
        <is>
          <t>2009-03-29</t>
        </is>
      </c>
      <c r="V554" t="inlineStr">
        <is>
          <t>2009-03-29</t>
        </is>
      </c>
      <c r="W554" t="inlineStr">
        <is>
          <t>2002-04-22</t>
        </is>
      </c>
      <c r="X554" t="inlineStr">
        <is>
          <t>2002-04-22</t>
        </is>
      </c>
      <c r="Y554" t="n">
        <v>159</v>
      </c>
      <c r="Z554" t="n">
        <v>124</v>
      </c>
      <c r="AA554" t="n">
        <v>151</v>
      </c>
      <c r="AB554" t="n">
        <v>2</v>
      </c>
      <c r="AC554" t="n">
        <v>2</v>
      </c>
      <c r="AD554" t="n">
        <v>1</v>
      </c>
      <c r="AE554" t="n">
        <v>1</v>
      </c>
      <c r="AF554" t="n">
        <v>1</v>
      </c>
      <c r="AG554" t="n">
        <v>1</v>
      </c>
      <c r="AH554" t="n">
        <v>0</v>
      </c>
      <c r="AI554" t="n">
        <v>0</v>
      </c>
      <c r="AJ554" t="n">
        <v>0</v>
      </c>
      <c r="AK554" t="n">
        <v>0</v>
      </c>
      <c r="AL554" t="n">
        <v>0</v>
      </c>
      <c r="AM554" t="n">
        <v>0</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HYPERLINK("https://creighton-primo.hosted.exlibrisgroup.com/primo-explore/search?tab=default_tab&amp;search_scope=EVERYTHING&amp;vid=01CRU&amp;lang=en_US&amp;offset=0&amp;query=any,contains,991003794099702656","Catalog Record")</f>
        <v/>
      </c>
      <c r="AT554">
        <f>HYPERLINK("http://www.worldcat.org/oclc/44313664","WorldCat Record")</f>
        <v/>
      </c>
      <c r="AU554" t="inlineStr">
        <is>
          <t>33019600:eng</t>
        </is>
      </c>
      <c r="AV554" t="inlineStr">
        <is>
          <t>44313664</t>
        </is>
      </c>
      <c r="AW554" t="inlineStr">
        <is>
          <t>991003794099702656</t>
        </is>
      </c>
      <c r="AX554" t="inlineStr">
        <is>
          <t>991003794099702656</t>
        </is>
      </c>
      <c r="AY554" t="inlineStr">
        <is>
          <t>2257044780002656</t>
        </is>
      </c>
      <c r="AZ554" t="inlineStr">
        <is>
          <t>BOOK</t>
        </is>
      </c>
      <c r="BB554" t="inlineStr">
        <is>
          <t>9780810958203</t>
        </is>
      </c>
      <c r="BC554" t="inlineStr">
        <is>
          <t>32285004482419</t>
        </is>
      </c>
      <c r="BD554" t="inlineStr">
        <is>
          <t>893240615</t>
        </is>
      </c>
    </row>
    <row r="555">
      <c r="A555" t="inlineStr">
        <is>
          <t>No</t>
        </is>
      </c>
      <c r="B555" t="inlineStr">
        <is>
          <t>ND553.P55 A4 1992</t>
        </is>
      </c>
      <c r="C555" t="inlineStr">
        <is>
          <t>0                      ND 0553000P  55                 A  4           1992</t>
        </is>
      </c>
      <c r="D555" t="inlineStr">
        <is>
          <t>The impressionist and the city : Pissarro's series paintings / Richard R. Brettell and Joachim Pissarro ; edited by MaryAnne Stevens.</t>
        </is>
      </c>
      <c r="F555" t="inlineStr">
        <is>
          <t>No</t>
        </is>
      </c>
      <c r="G555" t="inlineStr">
        <is>
          <t>1</t>
        </is>
      </c>
      <c r="H555" t="inlineStr">
        <is>
          <t>No</t>
        </is>
      </c>
      <c r="I555" t="inlineStr">
        <is>
          <t>No</t>
        </is>
      </c>
      <c r="J555" t="inlineStr">
        <is>
          <t>0</t>
        </is>
      </c>
      <c r="K555" t="inlineStr">
        <is>
          <t>Brettell, Richard R.</t>
        </is>
      </c>
      <c r="L555" t="inlineStr">
        <is>
          <t>New Haven : Yale University Press, c1992.</t>
        </is>
      </c>
      <c r="M555" t="inlineStr">
        <is>
          <t>1992</t>
        </is>
      </c>
      <c r="O555" t="inlineStr">
        <is>
          <t>eng</t>
        </is>
      </c>
      <c r="P555" t="inlineStr">
        <is>
          <t>ctu</t>
        </is>
      </c>
      <c r="R555" t="inlineStr">
        <is>
          <t xml:space="preserve">ND </t>
        </is>
      </c>
      <c r="S555" t="n">
        <v>2</v>
      </c>
      <c r="T555" t="n">
        <v>2</v>
      </c>
      <c r="U555" t="inlineStr">
        <is>
          <t>2007-04-12</t>
        </is>
      </c>
      <c r="V555" t="inlineStr">
        <is>
          <t>2007-04-12</t>
        </is>
      </c>
      <c r="W555" t="inlineStr">
        <is>
          <t>2005-01-24</t>
        </is>
      </c>
      <c r="X555" t="inlineStr">
        <is>
          <t>2005-01-24</t>
        </is>
      </c>
      <c r="Y555" t="n">
        <v>788</v>
      </c>
      <c r="Z555" t="n">
        <v>636</v>
      </c>
      <c r="AA555" t="n">
        <v>643</v>
      </c>
      <c r="AB555" t="n">
        <v>4</v>
      </c>
      <c r="AC555" t="n">
        <v>4</v>
      </c>
      <c r="AD555" t="n">
        <v>24</v>
      </c>
      <c r="AE555" t="n">
        <v>24</v>
      </c>
      <c r="AF555" t="n">
        <v>8</v>
      </c>
      <c r="AG555" t="n">
        <v>8</v>
      </c>
      <c r="AH555" t="n">
        <v>7</v>
      </c>
      <c r="AI555" t="n">
        <v>7</v>
      </c>
      <c r="AJ555" t="n">
        <v>13</v>
      </c>
      <c r="AK555" t="n">
        <v>13</v>
      </c>
      <c r="AL555" t="n">
        <v>2</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HYPERLINK("https://creighton-primo.hosted.exlibrisgroup.com/primo-explore/search?tab=default_tab&amp;search_scope=EVERYTHING&amp;vid=01CRU&amp;lang=en_US&amp;offset=0&amp;query=any,contains,991004441579702656","Catalog Record")</f>
        <v/>
      </c>
      <c r="AT555">
        <f>HYPERLINK("http://www.worldcat.org/oclc/26632357","WorldCat Record")</f>
        <v/>
      </c>
      <c r="AU555" t="inlineStr">
        <is>
          <t>20613352:eng</t>
        </is>
      </c>
      <c r="AV555" t="inlineStr">
        <is>
          <t>26632357</t>
        </is>
      </c>
      <c r="AW555" t="inlineStr">
        <is>
          <t>991004441579702656</t>
        </is>
      </c>
      <c r="AX555" t="inlineStr">
        <is>
          <t>991004441579702656</t>
        </is>
      </c>
      <c r="AY555" t="inlineStr">
        <is>
          <t>2255133770002656</t>
        </is>
      </c>
      <c r="AZ555" t="inlineStr">
        <is>
          <t>BOOK</t>
        </is>
      </c>
      <c r="BB555" t="inlineStr">
        <is>
          <t>9780300053500</t>
        </is>
      </c>
      <c r="BC555" t="inlineStr">
        <is>
          <t>32285005022545</t>
        </is>
      </c>
      <c r="BD555" t="inlineStr">
        <is>
          <t>893706429</t>
        </is>
      </c>
    </row>
    <row r="556">
      <c r="A556" t="inlineStr">
        <is>
          <t>No</t>
        </is>
      </c>
      <c r="B556" t="inlineStr">
        <is>
          <t>ND553.P55 P488 1993</t>
        </is>
      </c>
      <c r="C556" t="inlineStr">
        <is>
          <t>0                      ND 0553000P  55                 P  488         1993</t>
        </is>
      </c>
      <c r="D556" t="inlineStr">
        <is>
          <t>Camille Pissarro / Joachim Pissarro.</t>
        </is>
      </c>
      <c r="F556" t="inlineStr">
        <is>
          <t>No</t>
        </is>
      </c>
      <c r="G556" t="inlineStr">
        <is>
          <t>1</t>
        </is>
      </c>
      <c r="H556" t="inlineStr">
        <is>
          <t>No</t>
        </is>
      </c>
      <c r="I556" t="inlineStr">
        <is>
          <t>No</t>
        </is>
      </c>
      <c r="J556" t="inlineStr">
        <is>
          <t>0</t>
        </is>
      </c>
      <c r="K556" t="inlineStr">
        <is>
          <t>Pissarro, Joachim.</t>
        </is>
      </c>
      <c r="L556" t="inlineStr">
        <is>
          <t>New York : H.N. Abrams, 1993.</t>
        </is>
      </c>
      <c r="M556" t="inlineStr">
        <is>
          <t>1993</t>
        </is>
      </c>
      <c r="O556" t="inlineStr">
        <is>
          <t>eng</t>
        </is>
      </c>
      <c r="P556" t="inlineStr">
        <is>
          <t>nyu</t>
        </is>
      </c>
      <c r="R556" t="inlineStr">
        <is>
          <t xml:space="preserve">ND </t>
        </is>
      </c>
      <c r="S556" t="n">
        <v>6</v>
      </c>
      <c r="T556" t="n">
        <v>6</v>
      </c>
      <c r="U556" t="inlineStr">
        <is>
          <t>2005-02-15</t>
        </is>
      </c>
      <c r="V556" t="inlineStr">
        <is>
          <t>2005-02-15</t>
        </is>
      </c>
      <c r="W556" t="inlineStr">
        <is>
          <t>1999-04-27</t>
        </is>
      </c>
      <c r="X556" t="inlineStr">
        <is>
          <t>1999-04-27</t>
        </is>
      </c>
      <c r="Y556" t="n">
        <v>847</v>
      </c>
      <c r="Z556" t="n">
        <v>773</v>
      </c>
      <c r="AA556" t="n">
        <v>780</v>
      </c>
      <c r="AB556" t="n">
        <v>8</v>
      </c>
      <c r="AC556" t="n">
        <v>8</v>
      </c>
      <c r="AD556" t="n">
        <v>29</v>
      </c>
      <c r="AE556" t="n">
        <v>29</v>
      </c>
      <c r="AF556" t="n">
        <v>11</v>
      </c>
      <c r="AG556" t="n">
        <v>11</v>
      </c>
      <c r="AH556" t="n">
        <v>6</v>
      </c>
      <c r="AI556" t="n">
        <v>6</v>
      </c>
      <c r="AJ556" t="n">
        <v>13</v>
      </c>
      <c r="AK556" t="n">
        <v>13</v>
      </c>
      <c r="AL556" t="n">
        <v>4</v>
      </c>
      <c r="AM556" t="n">
        <v>4</v>
      </c>
      <c r="AN556" t="n">
        <v>0</v>
      </c>
      <c r="AO556" t="n">
        <v>0</v>
      </c>
      <c r="AP556" t="inlineStr">
        <is>
          <t>No</t>
        </is>
      </c>
      <c r="AQ556" t="inlineStr">
        <is>
          <t>Yes</t>
        </is>
      </c>
      <c r="AR556">
        <f>HYPERLINK("http://catalog.hathitrust.org/Record/004531117","HathiTrust Record")</f>
        <v/>
      </c>
      <c r="AS556">
        <f>HYPERLINK("https://creighton-primo.hosted.exlibrisgroup.com/primo-explore/search?tab=default_tab&amp;search_scope=EVERYTHING&amp;vid=01CRU&amp;lang=en_US&amp;offset=0&amp;query=any,contains,991002137949702656","Catalog Record")</f>
        <v/>
      </c>
      <c r="AT556">
        <f>HYPERLINK("http://www.worldcat.org/oclc/27429581","WorldCat Record")</f>
        <v/>
      </c>
      <c r="AU556" t="inlineStr">
        <is>
          <t>1789904697:eng</t>
        </is>
      </c>
      <c r="AV556" t="inlineStr">
        <is>
          <t>27429581</t>
        </is>
      </c>
      <c r="AW556" t="inlineStr">
        <is>
          <t>991002137949702656</t>
        </is>
      </c>
      <c r="AX556" t="inlineStr">
        <is>
          <t>991002137949702656</t>
        </is>
      </c>
      <c r="AY556" t="inlineStr">
        <is>
          <t>2258558730002656</t>
        </is>
      </c>
      <c r="AZ556" t="inlineStr">
        <is>
          <t>BOOK</t>
        </is>
      </c>
      <c r="BB556" t="inlineStr">
        <is>
          <t>9780810937246</t>
        </is>
      </c>
      <c r="BC556" t="inlineStr">
        <is>
          <t>32285003556775</t>
        </is>
      </c>
      <c r="BD556" t="inlineStr">
        <is>
          <t>893804256</t>
        </is>
      </c>
    </row>
    <row r="557">
      <c r="A557" t="inlineStr">
        <is>
          <t>No</t>
        </is>
      </c>
      <c r="B557" t="inlineStr">
        <is>
          <t>ND553.P66 B5</t>
        </is>
      </c>
      <c r="C557" t="inlineStr">
        <is>
          <t>0                      ND 0553000P  66                 B  5</t>
        </is>
      </c>
      <c r="D557" t="inlineStr">
        <is>
          <t>The paintings of Nicolas Poussin : critical catalogue.</t>
        </is>
      </c>
      <c r="F557" t="inlineStr">
        <is>
          <t>No</t>
        </is>
      </c>
      <c r="G557" t="inlineStr">
        <is>
          <t>1</t>
        </is>
      </c>
      <c r="H557" t="inlineStr">
        <is>
          <t>No</t>
        </is>
      </c>
      <c r="I557" t="inlineStr">
        <is>
          <t>No</t>
        </is>
      </c>
      <c r="J557" t="inlineStr">
        <is>
          <t>0</t>
        </is>
      </c>
      <c r="K557" t="inlineStr">
        <is>
          <t>Blunt, Anthony, 1907-1983.</t>
        </is>
      </c>
      <c r="L557" t="inlineStr">
        <is>
          <t>London : Phaidon, [1966]</t>
        </is>
      </c>
      <c r="M557" t="inlineStr">
        <is>
          <t>1966</t>
        </is>
      </c>
      <c r="O557" t="inlineStr">
        <is>
          <t>eng</t>
        </is>
      </c>
      <c r="P557" t="inlineStr">
        <is>
          <t>enk</t>
        </is>
      </c>
      <c r="R557" t="inlineStr">
        <is>
          <t xml:space="preserve">ND </t>
        </is>
      </c>
      <c r="S557" t="n">
        <v>1</v>
      </c>
      <c r="T557" t="n">
        <v>1</v>
      </c>
      <c r="U557" t="inlineStr">
        <is>
          <t>1998-08-28</t>
        </is>
      </c>
      <c r="V557" t="inlineStr">
        <is>
          <t>1998-08-28</t>
        </is>
      </c>
      <c r="W557" t="inlineStr">
        <is>
          <t>1994-11-16</t>
        </is>
      </c>
      <c r="X557" t="inlineStr">
        <is>
          <t>1994-11-16</t>
        </is>
      </c>
      <c r="Y557" t="n">
        <v>680</v>
      </c>
      <c r="Z557" t="n">
        <v>560</v>
      </c>
      <c r="AA557" t="n">
        <v>566</v>
      </c>
      <c r="AB557" t="n">
        <v>5</v>
      </c>
      <c r="AC557" t="n">
        <v>5</v>
      </c>
      <c r="AD557" t="n">
        <v>21</v>
      </c>
      <c r="AE557" t="n">
        <v>21</v>
      </c>
      <c r="AF557" t="n">
        <v>7</v>
      </c>
      <c r="AG557" t="n">
        <v>7</v>
      </c>
      <c r="AH557" t="n">
        <v>2</v>
      </c>
      <c r="AI557" t="n">
        <v>2</v>
      </c>
      <c r="AJ557" t="n">
        <v>10</v>
      </c>
      <c r="AK557" t="n">
        <v>10</v>
      </c>
      <c r="AL557" t="n">
        <v>4</v>
      </c>
      <c r="AM557" t="n">
        <v>4</v>
      </c>
      <c r="AN557" t="n">
        <v>0</v>
      </c>
      <c r="AO557" t="n">
        <v>0</v>
      </c>
      <c r="AP557" t="inlineStr">
        <is>
          <t>No</t>
        </is>
      </c>
      <c r="AQ557" t="inlineStr">
        <is>
          <t>Yes</t>
        </is>
      </c>
      <c r="AR557">
        <f>HYPERLINK("http://catalog.hathitrust.org/Record/000416295","HathiTrust Record")</f>
        <v/>
      </c>
      <c r="AS557">
        <f>HYPERLINK("https://creighton-primo.hosted.exlibrisgroup.com/primo-explore/search?tab=default_tab&amp;search_scope=EVERYTHING&amp;vid=01CRU&amp;lang=en_US&amp;offset=0&amp;query=any,contains,991002439919702656","Catalog Record")</f>
        <v/>
      </c>
      <c r="AT557">
        <f>HYPERLINK("http://www.worldcat.org/oclc/349831","WorldCat Record")</f>
        <v/>
      </c>
      <c r="AU557" t="inlineStr">
        <is>
          <t>5453732015:eng</t>
        </is>
      </c>
      <c r="AV557" t="inlineStr">
        <is>
          <t>349831</t>
        </is>
      </c>
      <c r="AW557" t="inlineStr">
        <is>
          <t>991002439919702656</t>
        </is>
      </c>
      <c r="AX557" t="inlineStr">
        <is>
          <t>991002439919702656</t>
        </is>
      </c>
      <c r="AY557" t="inlineStr">
        <is>
          <t>2267340310002656</t>
        </is>
      </c>
      <c r="AZ557" t="inlineStr">
        <is>
          <t>BOOK</t>
        </is>
      </c>
      <c r="BC557" t="inlineStr">
        <is>
          <t>32285001966778</t>
        </is>
      </c>
      <c r="BD557" t="inlineStr">
        <is>
          <t>893232953</t>
        </is>
      </c>
    </row>
    <row r="558">
      <c r="A558" t="inlineStr">
        <is>
          <t>No</t>
        </is>
      </c>
      <c r="B558" t="inlineStr">
        <is>
          <t>ND553.P8 B64</t>
        </is>
      </c>
      <c r="C558" t="inlineStr">
        <is>
          <t>0                      ND 0553000P  8                  B  64</t>
        </is>
      </c>
      <c r="D558" t="inlineStr">
        <is>
          <t>Nicolas Poussin.</t>
        </is>
      </c>
      <c r="E558" t="inlineStr">
        <is>
          <t>V. 1</t>
        </is>
      </c>
      <c r="F558" t="inlineStr">
        <is>
          <t>Yes</t>
        </is>
      </c>
      <c r="G558" t="inlineStr">
        <is>
          <t>1</t>
        </is>
      </c>
      <c r="H558" t="inlineStr">
        <is>
          <t>No</t>
        </is>
      </c>
      <c r="I558" t="inlineStr">
        <is>
          <t>No</t>
        </is>
      </c>
      <c r="J558" t="inlineStr">
        <is>
          <t>0</t>
        </is>
      </c>
      <c r="K558" t="inlineStr">
        <is>
          <t>Blunt, Anthony, 1907-1983.</t>
        </is>
      </c>
      <c r="L558" t="inlineStr">
        <is>
          <t>[New York : Bollingen Foundation; distributed by] Pantheon Books, [1967]</t>
        </is>
      </c>
      <c r="M558" t="inlineStr">
        <is>
          <t>1967</t>
        </is>
      </c>
      <c r="O558" t="inlineStr">
        <is>
          <t>eng</t>
        </is>
      </c>
      <c r="P558" t="inlineStr">
        <is>
          <t>nyu</t>
        </is>
      </c>
      <c r="Q558" t="inlineStr">
        <is>
          <t>Bollingen series, 35. The A. W. Mellon lectures in the fine arts, 7</t>
        </is>
      </c>
      <c r="R558" t="inlineStr">
        <is>
          <t xml:space="preserve">ND </t>
        </is>
      </c>
      <c r="S558" t="n">
        <v>1</v>
      </c>
      <c r="T558" t="n">
        <v>2</v>
      </c>
      <c r="U558" t="inlineStr">
        <is>
          <t>1998-08-28</t>
        </is>
      </c>
      <c r="V558" t="inlineStr">
        <is>
          <t>1998-08-28</t>
        </is>
      </c>
      <c r="W558" t="inlineStr">
        <is>
          <t>1994-11-16</t>
        </is>
      </c>
      <c r="X558" t="inlineStr">
        <is>
          <t>1994-11-16</t>
        </is>
      </c>
      <c r="Y558" t="n">
        <v>818</v>
      </c>
      <c r="Z558" t="n">
        <v>772</v>
      </c>
      <c r="AA558" t="n">
        <v>787</v>
      </c>
      <c r="AB558" t="n">
        <v>6</v>
      </c>
      <c r="AC558" t="n">
        <v>6</v>
      </c>
      <c r="AD558" t="n">
        <v>35</v>
      </c>
      <c r="AE558" t="n">
        <v>35</v>
      </c>
      <c r="AF558" t="n">
        <v>12</v>
      </c>
      <c r="AG558" t="n">
        <v>12</v>
      </c>
      <c r="AH558" t="n">
        <v>10</v>
      </c>
      <c r="AI558" t="n">
        <v>10</v>
      </c>
      <c r="AJ558" t="n">
        <v>17</v>
      </c>
      <c r="AK558" t="n">
        <v>17</v>
      </c>
      <c r="AL558" t="n">
        <v>5</v>
      </c>
      <c r="AM558" t="n">
        <v>5</v>
      </c>
      <c r="AN558" t="n">
        <v>0</v>
      </c>
      <c r="AO558" t="n">
        <v>0</v>
      </c>
      <c r="AP558" t="inlineStr">
        <is>
          <t>No</t>
        </is>
      </c>
      <c r="AQ558" t="inlineStr">
        <is>
          <t>Yes</t>
        </is>
      </c>
      <c r="AR558">
        <f>HYPERLINK("http://catalog.hathitrust.org/Record/000416544","HathiTrust Record")</f>
        <v/>
      </c>
      <c r="AS558">
        <f>HYPERLINK("https://creighton-primo.hosted.exlibrisgroup.com/primo-explore/search?tab=default_tab&amp;search_scope=EVERYTHING&amp;vid=01CRU&amp;lang=en_US&amp;offset=0&amp;query=any,contains,991002707459702656","Catalog Record")</f>
        <v/>
      </c>
      <c r="AT558">
        <f>HYPERLINK("http://www.worldcat.org/oclc/1120784710","WorldCat Record")</f>
        <v/>
      </c>
      <c r="AU558" t="inlineStr">
        <is>
          <t>9490389737:eng</t>
        </is>
      </c>
      <c r="AV558" t="inlineStr">
        <is>
          <t>1120784710</t>
        </is>
      </c>
      <c r="AW558" t="inlineStr">
        <is>
          <t>991002707459702656</t>
        </is>
      </c>
      <c r="AX558" t="inlineStr">
        <is>
          <t>991002707459702656</t>
        </is>
      </c>
      <c r="AY558" t="inlineStr">
        <is>
          <t>2261543750002656</t>
        </is>
      </c>
      <c r="AZ558" t="inlineStr">
        <is>
          <t>BOOK</t>
        </is>
      </c>
      <c r="BC558" t="inlineStr">
        <is>
          <t>32285001966760</t>
        </is>
      </c>
      <c r="BD558" t="inlineStr">
        <is>
          <t>893511087</t>
        </is>
      </c>
    </row>
    <row r="559">
      <c r="A559" t="inlineStr">
        <is>
          <t>No</t>
        </is>
      </c>
      <c r="B559" t="inlineStr">
        <is>
          <t>ND553.P8 B64</t>
        </is>
      </c>
      <c r="C559" t="inlineStr">
        <is>
          <t>0                      ND 0553000P  8                  B  64</t>
        </is>
      </c>
      <c r="D559" t="inlineStr">
        <is>
          <t>Nicolas Poussin.</t>
        </is>
      </c>
      <c r="E559" t="inlineStr">
        <is>
          <t>V. 2</t>
        </is>
      </c>
      <c r="F559" t="inlineStr">
        <is>
          <t>Yes</t>
        </is>
      </c>
      <c r="G559" t="inlineStr">
        <is>
          <t>1</t>
        </is>
      </c>
      <c r="H559" t="inlineStr">
        <is>
          <t>No</t>
        </is>
      </c>
      <c r="I559" t="inlineStr">
        <is>
          <t>No</t>
        </is>
      </c>
      <c r="J559" t="inlineStr">
        <is>
          <t>0</t>
        </is>
      </c>
      <c r="K559" t="inlineStr">
        <is>
          <t>Blunt, Anthony, 1907-1983.</t>
        </is>
      </c>
      <c r="L559" t="inlineStr">
        <is>
          <t>[New York : Bollingen Foundation; distributed by] Pantheon Books, [1967]</t>
        </is>
      </c>
      <c r="M559" t="inlineStr">
        <is>
          <t>1967</t>
        </is>
      </c>
      <c r="O559" t="inlineStr">
        <is>
          <t>eng</t>
        </is>
      </c>
      <c r="P559" t="inlineStr">
        <is>
          <t>nyu</t>
        </is>
      </c>
      <c r="Q559" t="inlineStr">
        <is>
          <t>Bollingen series, 35. The A. W. Mellon lectures in the fine arts, 7</t>
        </is>
      </c>
      <c r="R559" t="inlineStr">
        <is>
          <t xml:space="preserve">ND </t>
        </is>
      </c>
      <c r="S559" t="n">
        <v>1</v>
      </c>
      <c r="T559" t="n">
        <v>2</v>
      </c>
      <c r="U559" t="inlineStr">
        <is>
          <t>1998-08-28</t>
        </is>
      </c>
      <c r="V559" t="inlineStr">
        <is>
          <t>1998-08-28</t>
        </is>
      </c>
      <c r="W559" t="inlineStr">
        <is>
          <t>1994-11-16</t>
        </is>
      </c>
      <c r="X559" t="inlineStr">
        <is>
          <t>1994-11-16</t>
        </is>
      </c>
      <c r="Y559" t="n">
        <v>818</v>
      </c>
      <c r="Z559" t="n">
        <v>772</v>
      </c>
      <c r="AA559" t="n">
        <v>787</v>
      </c>
      <c r="AB559" t="n">
        <v>6</v>
      </c>
      <c r="AC559" t="n">
        <v>6</v>
      </c>
      <c r="AD559" t="n">
        <v>35</v>
      </c>
      <c r="AE559" t="n">
        <v>35</v>
      </c>
      <c r="AF559" t="n">
        <v>12</v>
      </c>
      <c r="AG559" t="n">
        <v>12</v>
      </c>
      <c r="AH559" t="n">
        <v>10</v>
      </c>
      <c r="AI559" t="n">
        <v>10</v>
      </c>
      <c r="AJ559" t="n">
        <v>17</v>
      </c>
      <c r="AK559" t="n">
        <v>17</v>
      </c>
      <c r="AL559" t="n">
        <v>5</v>
      </c>
      <c r="AM559" t="n">
        <v>5</v>
      </c>
      <c r="AN559" t="n">
        <v>0</v>
      </c>
      <c r="AO559" t="n">
        <v>0</v>
      </c>
      <c r="AP559" t="inlineStr">
        <is>
          <t>No</t>
        </is>
      </c>
      <c r="AQ559" t="inlineStr">
        <is>
          <t>Yes</t>
        </is>
      </c>
      <c r="AR559">
        <f>HYPERLINK("http://catalog.hathitrust.org/Record/000416544","HathiTrust Record")</f>
        <v/>
      </c>
      <c r="AS559">
        <f>HYPERLINK("https://creighton-primo.hosted.exlibrisgroup.com/primo-explore/search?tab=default_tab&amp;search_scope=EVERYTHING&amp;vid=01CRU&amp;lang=en_US&amp;offset=0&amp;query=any,contains,991002707459702656","Catalog Record")</f>
        <v/>
      </c>
      <c r="AT559">
        <f>HYPERLINK("http://www.worldcat.org/oclc/1120784710","WorldCat Record")</f>
        <v/>
      </c>
      <c r="AU559" t="inlineStr">
        <is>
          <t>9490389737:eng</t>
        </is>
      </c>
      <c r="AV559" t="inlineStr">
        <is>
          <t>1120784710</t>
        </is>
      </c>
      <c r="AW559" t="inlineStr">
        <is>
          <t>991002707459702656</t>
        </is>
      </c>
      <c r="AX559" t="inlineStr">
        <is>
          <t>991002707459702656</t>
        </is>
      </c>
      <c r="AY559" t="inlineStr">
        <is>
          <t>2261543750002656</t>
        </is>
      </c>
      <c r="AZ559" t="inlineStr">
        <is>
          <t>BOOK</t>
        </is>
      </c>
      <c r="BC559" t="inlineStr">
        <is>
          <t>32285001966752</t>
        </is>
      </c>
      <c r="BD559" t="inlineStr">
        <is>
          <t>893498449</t>
        </is>
      </c>
    </row>
    <row r="560">
      <c r="A560" t="inlineStr">
        <is>
          <t>No</t>
        </is>
      </c>
      <c r="B560" t="inlineStr">
        <is>
          <t>ND553.P8 F7</t>
        </is>
      </c>
      <c r="C560" t="inlineStr">
        <is>
          <t>0                      ND 0553000P  8                  F  7</t>
        </is>
      </c>
      <c r="D560" t="inlineStr">
        <is>
          <t>Nicolas Poussin : a new approach / [by] Walter Friedlaender.</t>
        </is>
      </c>
      <c r="F560" t="inlineStr">
        <is>
          <t>No</t>
        </is>
      </c>
      <c r="G560" t="inlineStr">
        <is>
          <t>1</t>
        </is>
      </c>
      <c r="H560" t="inlineStr">
        <is>
          <t>No</t>
        </is>
      </c>
      <c r="I560" t="inlineStr">
        <is>
          <t>No</t>
        </is>
      </c>
      <c r="J560" t="inlineStr">
        <is>
          <t>0</t>
        </is>
      </c>
      <c r="K560" t="inlineStr">
        <is>
          <t>Friedlaender, Walter, 1873-1966.</t>
        </is>
      </c>
      <c r="L560" t="inlineStr">
        <is>
          <t>New York : H. N. Abrams, [1966?]</t>
        </is>
      </c>
      <c r="M560" t="inlineStr">
        <is>
          <t>1966</t>
        </is>
      </c>
      <c r="O560" t="inlineStr">
        <is>
          <t>eng</t>
        </is>
      </c>
      <c r="P560" t="inlineStr">
        <is>
          <t>nyu</t>
        </is>
      </c>
      <c r="Q560" t="inlineStr">
        <is>
          <t>The Library of great painters</t>
        </is>
      </c>
      <c r="R560" t="inlineStr">
        <is>
          <t xml:space="preserve">ND </t>
        </is>
      </c>
      <c r="S560" t="n">
        <v>1</v>
      </c>
      <c r="T560" t="n">
        <v>1</v>
      </c>
      <c r="U560" t="inlineStr">
        <is>
          <t>1998-08-28</t>
        </is>
      </c>
      <c r="V560" t="inlineStr">
        <is>
          <t>1998-08-28</t>
        </is>
      </c>
      <c r="W560" t="inlineStr">
        <is>
          <t>1994-11-16</t>
        </is>
      </c>
      <c r="X560" t="inlineStr">
        <is>
          <t>1994-11-16</t>
        </is>
      </c>
      <c r="Y560" t="n">
        <v>805</v>
      </c>
      <c r="Z560" t="n">
        <v>736</v>
      </c>
      <c r="AA560" t="n">
        <v>805</v>
      </c>
      <c r="AB560" t="n">
        <v>4</v>
      </c>
      <c r="AC560" t="n">
        <v>4</v>
      </c>
      <c r="AD560" t="n">
        <v>29</v>
      </c>
      <c r="AE560" t="n">
        <v>31</v>
      </c>
      <c r="AF560" t="n">
        <v>15</v>
      </c>
      <c r="AG560" t="n">
        <v>15</v>
      </c>
      <c r="AH560" t="n">
        <v>5</v>
      </c>
      <c r="AI560" t="n">
        <v>5</v>
      </c>
      <c r="AJ560" t="n">
        <v>14</v>
      </c>
      <c r="AK560" t="n">
        <v>16</v>
      </c>
      <c r="AL560" t="n">
        <v>2</v>
      </c>
      <c r="AM560" t="n">
        <v>2</v>
      </c>
      <c r="AN560" t="n">
        <v>0</v>
      </c>
      <c r="AO560" t="n">
        <v>0</v>
      </c>
      <c r="AP560" t="inlineStr">
        <is>
          <t>No</t>
        </is>
      </c>
      <c r="AQ560" t="inlineStr">
        <is>
          <t>Yes</t>
        </is>
      </c>
      <c r="AR560">
        <f>HYPERLINK("http://catalog.hathitrust.org/Record/000417023","HathiTrust Record")</f>
        <v/>
      </c>
      <c r="AS560">
        <f>HYPERLINK("https://creighton-primo.hosted.exlibrisgroup.com/primo-explore/search?tab=default_tab&amp;search_scope=EVERYTHING&amp;vid=01CRU&amp;lang=en_US&amp;offset=0&amp;query=any,contains,991002902669702656","Catalog Record")</f>
        <v/>
      </c>
      <c r="AT560">
        <f>HYPERLINK("http://www.worldcat.org/oclc/517956","WorldCat Record")</f>
        <v/>
      </c>
      <c r="AU560" t="inlineStr">
        <is>
          <t>1811269896:eng</t>
        </is>
      </c>
      <c r="AV560" t="inlineStr">
        <is>
          <t>517956</t>
        </is>
      </c>
      <c r="AW560" t="inlineStr">
        <is>
          <t>991002902669702656</t>
        </is>
      </c>
      <c r="AX560" t="inlineStr">
        <is>
          <t>991002902669702656</t>
        </is>
      </c>
      <c r="AY560" t="inlineStr">
        <is>
          <t>2254955020002656</t>
        </is>
      </c>
      <c r="AZ560" t="inlineStr">
        <is>
          <t>BOOK</t>
        </is>
      </c>
      <c r="BC560" t="inlineStr">
        <is>
          <t>32285001966745</t>
        </is>
      </c>
      <c r="BD560" t="inlineStr">
        <is>
          <t>893874159</t>
        </is>
      </c>
    </row>
    <row r="561">
      <c r="A561" t="inlineStr">
        <is>
          <t>No</t>
        </is>
      </c>
      <c r="B561" t="inlineStr">
        <is>
          <t>ND553.P8 V47 1990</t>
        </is>
      </c>
      <c r="C561" t="inlineStr">
        <is>
          <t>0                      ND 0553000P  8                  V  47          1990</t>
        </is>
      </c>
      <c r="D561" t="inlineStr">
        <is>
          <t>Cézanne and Poussin : the classical vision of landscape / Richard Verdi.</t>
        </is>
      </c>
      <c r="F561" t="inlineStr">
        <is>
          <t>No</t>
        </is>
      </c>
      <c r="G561" t="inlineStr">
        <is>
          <t>1</t>
        </is>
      </c>
      <c r="H561" t="inlineStr">
        <is>
          <t>No</t>
        </is>
      </c>
      <c r="I561" t="inlineStr">
        <is>
          <t>No</t>
        </is>
      </c>
      <c r="J561" t="inlineStr">
        <is>
          <t>0</t>
        </is>
      </c>
      <c r="K561" t="inlineStr">
        <is>
          <t>Verdi, Richard.</t>
        </is>
      </c>
      <c r="L561" t="inlineStr">
        <is>
          <t>London : National Gallery of Scotland in association with Lund Humphries Publ., 1990.</t>
        </is>
      </c>
      <c r="M561" t="inlineStr">
        <is>
          <t>1990</t>
        </is>
      </c>
      <c r="O561" t="inlineStr">
        <is>
          <t>eng</t>
        </is>
      </c>
      <c r="P561" t="inlineStr">
        <is>
          <t>enk</t>
        </is>
      </c>
      <c r="R561" t="inlineStr">
        <is>
          <t xml:space="preserve">ND </t>
        </is>
      </c>
      <c r="S561" t="n">
        <v>4</v>
      </c>
      <c r="T561" t="n">
        <v>4</v>
      </c>
      <c r="U561" t="inlineStr">
        <is>
          <t>2000-07-06</t>
        </is>
      </c>
      <c r="V561" t="inlineStr">
        <is>
          <t>2000-07-06</t>
        </is>
      </c>
      <c r="W561" t="inlineStr">
        <is>
          <t>1991-04-16</t>
        </is>
      </c>
      <c r="X561" t="inlineStr">
        <is>
          <t>1991-04-16</t>
        </is>
      </c>
      <c r="Y561" t="n">
        <v>91</v>
      </c>
      <c r="Z561" t="n">
        <v>75</v>
      </c>
      <c r="AA561" t="n">
        <v>207</v>
      </c>
      <c r="AB561" t="n">
        <v>1</v>
      </c>
      <c r="AC561" t="n">
        <v>2</v>
      </c>
      <c r="AD561" t="n">
        <v>2</v>
      </c>
      <c r="AE561" t="n">
        <v>6</v>
      </c>
      <c r="AF561" t="n">
        <v>0</v>
      </c>
      <c r="AG561" t="n">
        <v>1</v>
      </c>
      <c r="AH561" t="n">
        <v>1</v>
      </c>
      <c r="AI561" t="n">
        <v>2</v>
      </c>
      <c r="AJ561" t="n">
        <v>2</v>
      </c>
      <c r="AK561" t="n">
        <v>4</v>
      </c>
      <c r="AL561" t="n">
        <v>0</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HYPERLINK("https://creighton-primo.hosted.exlibrisgroup.com/primo-explore/search?tab=default_tab&amp;search_scope=EVERYTHING&amp;vid=01CRU&amp;lang=en_US&amp;offset=0&amp;query=any,contains,991001735479702656","Catalog Record")</f>
        <v/>
      </c>
      <c r="AT561">
        <f>HYPERLINK("http://www.worldcat.org/oclc/21971276","WorldCat Record")</f>
        <v/>
      </c>
      <c r="AU561" t="inlineStr">
        <is>
          <t>479754571:eng</t>
        </is>
      </c>
      <c r="AV561" t="inlineStr">
        <is>
          <t>21971276</t>
        </is>
      </c>
      <c r="AW561" t="inlineStr">
        <is>
          <t>991001735479702656</t>
        </is>
      </c>
      <c r="AX561" t="inlineStr">
        <is>
          <t>991001735479702656</t>
        </is>
      </c>
      <c r="AY561" t="inlineStr">
        <is>
          <t>2267848380002656</t>
        </is>
      </c>
      <c r="AZ561" t="inlineStr">
        <is>
          <t>BOOK</t>
        </is>
      </c>
      <c r="BB561" t="inlineStr">
        <is>
          <t>9780853315698</t>
        </is>
      </c>
      <c r="BC561" t="inlineStr">
        <is>
          <t>32285000567791</t>
        </is>
      </c>
      <c r="BD561" t="inlineStr">
        <is>
          <t>893872755</t>
        </is>
      </c>
    </row>
    <row r="562">
      <c r="A562" t="inlineStr">
        <is>
          <t>No</t>
        </is>
      </c>
      <c r="B562" t="inlineStr">
        <is>
          <t>ND553.R35 A5713</t>
        </is>
      </c>
      <c r="C562" t="inlineStr">
        <is>
          <t>0                      ND 0553000R  35                 A  5713</t>
        </is>
      </c>
      <c r="D562" t="inlineStr">
        <is>
          <t>Odilon Redon / by Jean Selz. [Translated from the French by Eileen B. Hennessy]</t>
        </is>
      </c>
      <c r="F562" t="inlineStr">
        <is>
          <t>No</t>
        </is>
      </c>
      <c r="G562" t="inlineStr">
        <is>
          <t>1</t>
        </is>
      </c>
      <c r="H562" t="inlineStr">
        <is>
          <t>No</t>
        </is>
      </c>
      <c r="I562" t="inlineStr">
        <is>
          <t>No</t>
        </is>
      </c>
      <c r="J562" t="inlineStr">
        <is>
          <t>0</t>
        </is>
      </c>
      <c r="K562" t="inlineStr">
        <is>
          <t>Redon, Odilon, 1840-1916.</t>
        </is>
      </c>
      <c r="L562" t="inlineStr">
        <is>
          <t>New York : Crown Publishers, [1971]</t>
        </is>
      </c>
      <c r="M562" t="inlineStr">
        <is>
          <t>1971</t>
        </is>
      </c>
      <c r="O562" t="inlineStr">
        <is>
          <t>eng</t>
        </is>
      </c>
      <c r="P562" t="inlineStr">
        <is>
          <t>nyu</t>
        </is>
      </c>
      <c r="Q562" t="inlineStr">
        <is>
          <t>The Q. L. P. art series</t>
        </is>
      </c>
      <c r="R562" t="inlineStr">
        <is>
          <t xml:space="preserve">ND </t>
        </is>
      </c>
      <c r="S562" t="n">
        <v>5</v>
      </c>
      <c r="T562" t="n">
        <v>5</v>
      </c>
      <c r="U562" t="inlineStr">
        <is>
          <t>1994-08-29</t>
        </is>
      </c>
      <c r="V562" t="inlineStr">
        <is>
          <t>1994-08-29</t>
        </is>
      </c>
      <c r="W562" t="inlineStr">
        <is>
          <t>1993-03-29</t>
        </is>
      </c>
      <c r="X562" t="inlineStr">
        <is>
          <t>1993-03-29</t>
        </is>
      </c>
      <c r="Y562" t="n">
        <v>482</v>
      </c>
      <c r="Z562" t="n">
        <v>446</v>
      </c>
      <c r="AA562" t="n">
        <v>560</v>
      </c>
      <c r="AB562" t="n">
        <v>5</v>
      </c>
      <c r="AC562" t="n">
        <v>5</v>
      </c>
      <c r="AD562" t="n">
        <v>13</v>
      </c>
      <c r="AE562" t="n">
        <v>15</v>
      </c>
      <c r="AF562" t="n">
        <v>6</v>
      </c>
      <c r="AG562" t="n">
        <v>7</v>
      </c>
      <c r="AH562" t="n">
        <v>3</v>
      </c>
      <c r="AI562" t="n">
        <v>3</v>
      </c>
      <c r="AJ562" t="n">
        <v>7</v>
      </c>
      <c r="AK562" t="n">
        <v>8</v>
      </c>
      <c r="AL562" t="n">
        <v>2</v>
      </c>
      <c r="AM562" t="n">
        <v>2</v>
      </c>
      <c r="AN562" t="n">
        <v>0</v>
      </c>
      <c r="AO562" t="n">
        <v>0</v>
      </c>
      <c r="AP562" t="inlineStr">
        <is>
          <t>No</t>
        </is>
      </c>
      <c r="AQ562" t="inlineStr">
        <is>
          <t>Yes</t>
        </is>
      </c>
      <c r="AR562">
        <f>HYPERLINK("http://catalog.hathitrust.org/Record/102431232","HathiTrust Record")</f>
        <v/>
      </c>
      <c r="AS562">
        <f>HYPERLINK("https://creighton-primo.hosted.exlibrisgroup.com/primo-explore/search?tab=default_tab&amp;search_scope=EVERYTHING&amp;vid=01CRU&amp;lang=en_US&amp;offset=0&amp;query=any,contains,991000812509702656","Catalog Record")</f>
        <v/>
      </c>
      <c r="AT562">
        <f>HYPERLINK("http://www.worldcat.org/oclc/141012","WorldCat Record")</f>
        <v/>
      </c>
      <c r="AU562" t="inlineStr">
        <is>
          <t>4919630957:eng</t>
        </is>
      </c>
      <c r="AV562" t="inlineStr">
        <is>
          <t>141012</t>
        </is>
      </c>
      <c r="AW562" t="inlineStr">
        <is>
          <t>991000812509702656</t>
        </is>
      </c>
      <c r="AX562" t="inlineStr">
        <is>
          <t>991000812509702656</t>
        </is>
      </c>
      <c r="AY562" t="inlineStr">
        <is>
          <t>2256123320002656</t>
        </is>
      </c>
      <c r="AZ562" t="inlineStr">
        <is>
          <t>BOOK</t>
        </is>
      </c>
      <c r="BC562" t="inlineStr">
        <is>
          <t>32285001591972</t>
        </is>
      </c>
      <c r="BD562" t="inlineStr">
        <is>
          <t>893690059</t>
        </is>
      </c>
    </row>
    <row r="563">
      <c r="A563" t="inlineStr">
        <is>
          <t>No</t>
        </is>
      </c>
      <c r="B563" t="inlineStr">
        <is>
          <t>ND553.R35 H6 1977</t>
        </is>
      </c>
      <c r="C563" t="inlineStr">
        <is>
          <t>0                      ND 0553000R  35                 H  6           1977</t>
        </is>
      </c>
      <c r="D563" t="inlineStr">
        <is>
          <t>Odilon Redon / [by] Richard Hobbs.</t>
        </is>
      </c>
      <c r="F563" t="inlineStr">
        <is>
          <t>No</t>
        </is>
      </c>
      <c r="G563" t="inlineStr">
        <is>
          <t>1</t>
        </is>
      </c>
      <c r="H563" t="inlineStr">
        <is>
          <t>No</t>
        </is>
      </c>
      <c r="I563" t="inlineStr">
        <is>
          <t>No</t>
        </is>
      </c>
      <c r="J563" t="inlineStr">
        <is>
          <t>0</t>
        </is>
      </c>
      <c r="K563" t="inlineStr">
        <is>
          <t>Hobbs, Richard.</t>
        </is>
      </c>
      <c r="L563" t="inlineStr">
        <is>
          <t>Boston : New York Graphic Society, c1977.</t>
        </is>
      </c>
      <c r="M563" t="inlineStr">
        <is>
          <t>1977</t>
        </is>
      </c>
      <c r="N563" t="inlineStr">
        <is>
          <t>1st U. S. ed.</t>
        </is>
      </c>
      <c r="O563" t="inlineStr">
        <is>
          <t>eng</t>
        </is>
      </c>
      <c r="P563" t="inlineStr">
        <is>
          <t>mau</t>
        </is>
      </c>
      <c r="R563" t="inlineStr">
        <is>
          <t xml:space="preserve">ND </t>
        </is>
      </c>
      <c r="S563" t="n">
        <v>3</v>
      </c>
      <c r="T563" t="n">
        <v>3</v>
      </c>
      <c r="U563" t="inlineStr">
        <is>
          <t>1998-07-17</t>
        </is>
      </c>
      <c r="V563" t="inlineStr">
        <is>
          <t>1998-07-17</t>
        </is>
      </c>
      <c r="W563" t="inlineStr">
        <is>
          <t>1993-04-05</t>
        </is>
      </c>
      <c r="X563" t="inlineStr">
        <is>
          <t>1993-04-05</t>
        </is>
      </c>
      <c r="Y563" t="n">
        <v>666</v>
      </c>
      <c r="Z563" t="n">
        <v>626</v>
      </c>
      <c r="AA563" t="n">
        <v>738</v>
      </c>
      <c r="AB563" t="n">
        <v>3</v>
      </c>
      <c r="AC563" t="n">
        <v>5</v>
      </c>
      <c r="AD563" t="n">
        <v>24</v>
      </c>
      <c r="AE563" t="n">
        <v>27</v>
      </c>
      <c r="AF563" t="n">
        <v>10</v>
      </c>
      <c r="AG563" t="n">
        <v>11</v>
      </c>
      <c r="AH563" t="n">
        <v>7</v>
      </c>
      <c r="AI563" t="n">
        <v>7</v>
      </c>
      <c r="AJ563" t="n">
        <v>13</v>
      </c>
      <c r="AK563" t="n">
        <v>14</v>
      </c>
      <c r="AL563" t="n">
        <v>1</v>
      </c>
      <c r="AM563" t="n">
        <v>3</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HYPERLINK("https://creighton-primo.hosted.exlibrisgroup.com/primo-explore/search?tab=default_tab&amp;search_scope=EVERYTHING&amp;vid=01CRU&amp;lang=en_US&amp;offset=0&amp;query=any,contains,991004285629702656","Catalog Record")</f>
        <v/>
      </c>
      <c r="AT563">
        <f>HYPERLINK("http://www.worldcat.org/oclc/2924538","WorldCat Record")</f>
        <v/>
      </c>
      <c r="AU563" t="inlineStr">
        <is>
          <t>6677858:eng</t>
        </is>
      </c>
      <c r="AV563" t="inlineStr">
        <is>
          <t>2924538</t>
        </is>
      </c>
      <c r="AW563" t="inlineStr">
        <is>
          <t>991004285629702656</t>
        </is>
      </c>
      <c r="AX563" t="inlineStr">
        <is>
          <t>991004285629702656</t>
        </is>
      </c>
      <c r="AY563" t="inlineStr">
        <is>
          <t>2265865710002656</t>
        </is>
      </c>
      <c r="AZ563" t="inlineStr">
        <is>
          <t>BOOK</t>
        </is>
      </c>
      <c r="BB563" t="inlineStr">
        <is>
          <t>9780821206744</t>
        </is>
      </c>
      <c r="BC563" t="inlineStr">
        <is>
          <t>32285001602027</t>
        </is>
      </c>
      <c r="BD563" t="inlineStr">
        <is>
          <t>893532222</t>
        </is>
      </c>
    </row>
    <row r="564">
      <c r="A564" t="inlineStr">
        <is>
          <t>No</t>
        </is>
      </c>
      <c r="B564" t="inlineStr">
        <is>
          <t>ND553.R35 N4 1961</t>
        </is>
      </c>
      <c r="C564" t="inlineStr">
        <is>
          <t>0                      ND 0553000R  35                 N  4           1961</t>
        </is>
      </c>
      <c r="D564" t="inlineStr">
        <is>
          <t>Odilon Redon, Gustave Moreau, Rodolphe Bresdin / The Museum of Modern Art, New York, in collaboration with the Art Institute of Chicago.</t>
        </is>
      </c>
      <c r="F564" t="inlineStr">
        <is>
          <t>No</t>
        </is>
      </c>
      <c r="G564" t="inlineStr">
        <is>
          <t>1</t>
        </is>
      </c>
      <c r="H564" t="inlineStr">
        <is>
          <t>No</t>
        </is>
      </c>
      <c r="I564" t="inlineStr">
        <is>
          <t>No</t>
        </is>
      </c>
      <c r="J564" t="inlineStr">
        <is>
          <t>0</t>
        </is>
      </c>
      <c r="K564" t="inlineStr">
        <is>
          <t>Museum of Modern Art (New York, N.Y.)</t>
        </is>
      </c>
      <c r="L564" t="inlineStr">
        <is>
          <t>Garden City, N.Y. : Distributed by Doubleday, [1961]</t>
        </is>
      </c>
      <c r="M564" t="inlineStr">
        <is>
          <t>1961</t>
        </is>
      </c>
      <c r="O564" t="inlineStr">
        <is>
          <t>eng</t>
        </is>
      </c>
      <c r="P564" t="inlineStr">
        <is>
          <t>nyu</t>
        </is>
      </c>
      <c r="R564" t="inlineStr">
        <is>
          <t xml:space="preserve">ND </t>
        </is>
      </c>
      <c r="S564" t="n">
        <v>4</v>
      </c>
      <c r="T564" t="n">
        <v>4</v>
      </c>
      <c r="U564" t="inlineStr">
        <is>
          <t>2003-09-10</t>
        </is>
      </c>
      <c r="V564" t="inlineStr">
        <is>
          <t>2003-09-10</t>
        </is>
      </c>
      <c r="W564" t="inlineStr">
        <is>
          <t>1996-01-24</t>
        </is>
      </c>
      <c r="X564" t="inlineStr">
        <is>
          <t>1996-01-24</t>
        </is>
      </c>
      <c r="Y564" t="n">
        <v>808</v>
      </c>
      <c r="Z564" t="n">
        <v>735</v>
      </c>
      <c r="AA564" t="n">
        <v>785</v>
      </c>
      <c r="AB564" t="n">
        <v>6</v>
      </c>
      <c r="AC564" t="n">
        <v>6</v>
      </c>
      <c r="AD564" t="n">
        <v>32</v>
      </c>
      <c r="AE564" t="n">
        <v>33</v>
      </c>
      <c r="AF564" t="n">
        <v>12</v>
      </c>
      <c r="AG564" t="n">
        <v>13</v>
      </c>
      <c r="AH564" t="n">
        <v>4</v>
      </c>
      <c r="AI564" t="n">
        <v>4</v>
      </c>
      <c r="AJ564" t="n">
        <v>18</v>
      </c>
      <c r="AK564" t="n">
        <v>19</v>
      </c>
      <c r="AL564" t="n">
        <v>3</v>
      </c>
      <c r="AM564" t="n">
        <v>3</v>
      </c>
      <c r="AN564" t="n">
        <v>0</v>
      </c>
      <c r="AO564" t="n">
        <v>0</v>
      </c>
      <c r="AP564" t="inlineStr">
        <is>
          <t>No</t>
        </is>
      </c>
      <c r="AQ564" t="inlineStr">
        <is>
          <t>No</t>
        </is>
      </c>
      <c r="AR564">
        <f>HYPERLINK("http://catalog.hathitrust.org/Record/000417100","HathiTrust Record")</f>
        <v/>
      </c>
      <c r="AS564">
        <f>HYPERLINK("https://creighton-primo.hosted.exlibrisgroup.com/primo-explore/search?tab=default_tab&amp;search_scope=EVERYTHING&amp;vid=01CRU&amp;lang=en_US&amp;offset=0&amp;query=any,contains,991003593469702656","Catalog Record")</f>
        <v/>
      </c>
      <c r="AT564">
        <f>HYPERLINK("http://www.worldcat.org/oclc/1175432","WorldCat Record")</f>
        <v/>
      </c>
      <c r="AU564" t="inlineStr">
        <is>
          <t>7254636:eng</t>
        </is>
      </c>
      <c r="AV564" t="inlineStr">
        <is>
          <t>1175432</t>
        </is>
      </c>
      <c r="AW564" t="inlineStr">
        <is>
          <t>991003593469702656</t>
        </is>
      </c>
      <c r="AX564" t="inlineStr">
        <is>
          <t>991003593469702656</t>
        </is>
      </c>
      <c r="AY564" t="inlineStr">
        <is>
          <t>2271822070002656</t>
        </is>
      </c>
      <c r="AZ564" t="inlineStr">
        <is>
          <t>BOOK</t>
        </is>
      </c>
      <c r="BC564" t="inlineStr">
        <is>
          <t>32285002125861</t>
        </is>
      </c>
      <c r="BD564" t="inlineStr">
        <is>
          <t>893410442</t>
        </is>
      </c>
    </row>
    <row r="565">
      <c r="A565" t="inlineStr">
        <is>
          <t>No</t>
        </is>
      </c>
      <c r="B565" t="inlineStr">
        <is>
          <t>ND553.R45 B33 1990</t>
        </is>
      </c>
      <c r="C565" t="inlineStr">
        <is>
          <t>0                      ND 0553000R  45                 B  33          1990</t>
        </is>
      </c>
      <c r="D565" t="inlineStr">
        <is>
          <t>Renoir by Renoir / [introduced and] edited by Rachel Barnes.</t>
        </is>
      </c>
      <c r="F565" t="inlineStr">
        <is>
          <t>No</t>
        </is>
      </c>
      <c r="G565" t="inlineStr">
        <is>
          <t>1</t>
        </is>
      </c>
      <c r="H565" t="inlineStr">
        <is>
          <t>No</t>
        </is>
      </c>
      <c r="I565" t="inlineStr">
        <is>
          <t>No</t>
        </is>
      </c>
      <c r="J565" t="inlineStr">
        <is>
          <t>0</t>
        </is>
      </c>
      <c r="K565" t="inlineStr">
        <is>
          <t>Renoir, Auguste, 1841-1919.</t>
        </is>
      </c>
      <c r="L565" t="inlineStr">
        <is>
          <t>New York : Knopf : Distributed by Random House, 1990.</t>
        </is>
      </c>
      <c r="M565" t="inlineStr">
        <is>
          <t>1990</t>
        </is>
      </c>
      <c r="N565" t="inlineStr">
        <is>
          <t>1st American ed.</t>
        </is>
      </c>
      <c r="O565" t="inlineStr">
        <is>
          <t>eng</t>
        </is>
      </c>
      <c r="P565" t="inlineStr">
        <is>
          <t>nyu</t>
        </is>
      </c>
      <c r="Q565" t="inlineStr">
        <is>
          <t>Artists by themselves</t>
        </is>
      </c>
      <c r="R565" t="inlineStr">
        <is>
          <t xml:space="preserve">ND </t>
        </is>
      </c>
      <c r="S565" t="n">
        <v>12</v>
      </c>
      <c r="T565" t="n">
        <v>12</v>
      </c>
      <c r="U565" t="inlineStr">
        <is>
          <t>1997-02-19</t>
        </is>
      </c>
      <c r="V565" t="inlineStr">
        <is>
          <t>1997-02-19</t>
        </is>
      </c>
      <c r="W565" t="inlineStr">
        <is>
          <t>1991-06-11</t>
        </is>
      </c>
      <c r="X565" t="inlineStr">
        <is>
          <t>1991-06-11</t>
        </is>
      </c>
      <c r="Y565" t="n">
        <v>366</v>
      </c>
      <c r="Z565" t="n">
        <v>355</v>
      </c>
      <c r="AA565" t="n">
        <v>421</v>
      </c>
      <c r="AB565" t="n">
        <v>3</v>
      </c>
      <c r="AC565" t="n">
        <v>3</v>
      </c>
      <c r="AD565" t="n">
        <v>5</v>
      </c>
      <c r="AE565" t="n">
        <v>5</v>
      </c>
      <c r="AF565" t="n">
        <v>1</v>
      </c>
      <c r="AG565" t="n">
        <v>1</v>
      </c>
      <c r="AH565" t="n">
        <v>1</v>
      </c>
      <c r="AI565" t="n">
        <v>1</v>
      </c>
      <c r="AJ565" t="n">
        <v>3</v>
      </c>
      <c r="AK565" t="n">
        <v>3</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HYPERLINK("https://creighton-primo.hosted.exlibrisgroup.com/primo-explore/search?tab=default_tab&amp;search_scope=EVERYTHING&amp;vid=01CRU&amp;lang=en_US&amp;offset=0&amp;query=any,contains,991001710129702656","Catalog Record")</f>
        <v/>
      </c>
      <c r="AT565">
        <f>HYPERLINK("http://www.worldcat.org/oclc/21595004","WorldCat Record")</f>
        <v/>
      </c>
      <c r="AU565" t="inlineStr">
        <is>
          <t>10677820844:eng</t>
        </is>
      </c>
      <c r="AV565" t="inlineStr">
        <is>
          <t>21595004</t>
        </is>
      </c>
      <c r="AW565" t="inlineStr">
        <is>
          <t>991001710129702656</t>
        </is>
      </c>
      <c r="AX565" t="inlineStr">
        <is>
          <t>991001710129702656</t>
        </is>
      </c>
      <c r="AY565" t="inlineStr">
        <is>
          <t>2256505730002656</t>
        </is>
      </c>
      <c r="AZ565" t="inlineStr">
        <is>
          <t>BOOK</t>
        </is>
      </c>
      <c r="BB565" t="inlineStr">
        <is>
          <t>9780394589084</t>
        </is>
      </c>
      <c r="BC565" t="inlineStr">
        <is>
          <t>32285000594621</t>
        </is>
      </c>
      <c r="BD565" t="inlineStr">
        <is>
          <t>893891769</t>
        </is>
      </c>
    </row>
    <row r="566">
      <c r="A566" t="inlineStr">
        <is>
          <t>No</t>
        </is>
      </c>
      <c r="B566" t="inlineStr">
        <is>
          <t>ND553.R45 R43 1962</t>
        </is>
      </c>
      <c r="C566" t="inlineStr">
        <is>
          <t>0                      ND 0553000R  45                 R  43          1962</t>
        </is>
      </c>
      <c r="D566" t="inlineStr">
        <is>
          <t>Renoir, my father / by Jean Renoir. Translated by Randolph and Dorothy Weaver.</t>
        </is>
      </c>
      <c r="F566" t="inlineStr">
        <is>
          <t>No</t>
        </is>
      </c>
      <c r="G566" t="inlineStr">
        <is>
          <t>1</t>
        </is>
      </c>
      <c r="H566" t="inlineStr">
        <is>
          <t>No</t>
        </is>
      </c>
      <c r="I566" t="inlineStr">
        <is>
          <t>No</t>
        </is>
      </c>
      <c r="J566" t="inlineStr">
        <is>
          <t>0</t>
        </is>
      </c>
      <c r="K566" t="inlineStr">
        <is>
          <t>Renoir, Jean, 1894-1979.</t>
        </is>
      </c>
      <c r="L566" t="inlineStr">
        <is>
          <t>Boston : Little, Brown, [1962]</t>
        </is>
      </c>
      <c r="M566" t="inlineStr">
        <is>
          <t>1962</t>
        </is>
      </c>
      <c r="N566" t="inlineStr">
        <is>
          <t>[1st American ed.]</t>
        </is>
      </c>
      <c r="O566" t="inlineStr">
        <is>
          <t>eng</t>
        </is>
      </c>
      <c r="P566" t="inlineStr">
        <is>
          <t>mau</t>
        </is>
      </c>
      <c r="R566" t="inlineStr">
        <is>
          <t xml:space="preserve">ND </t>
        </is>
      </c>
      <c r="S566" t="n">
        <v>6</v>
      </c>
      <c r="T566" t="n">
        <v>6</v>
      </c>
      <c r="U566" t="inlineStr">
        <is>
          <t>2010-05-21</t>
        </is>
      </c>
      <c r="V566" t="inlineStr">
        <is>
          <t>2010-05-21</t>
        </is>
      </c>
      <c r="W566" t="inlineStr">
        <is>
          <t>1993-05-21</t>
        </is>
      </c>
      <c r="X566" t="inlineStr">
        <is>
          <t>1993-05-21</t>
        </is>
      </c>
      <c r="Y566" t="n">
        <v>2073</v>
      </c>
      <c r="Z566" t="n">
        <v>1983</v>
      </c>
      <c r="AA566" t="n">
        <v>2147</v>
      </c>
      <c r="AB566" t="n">
        <v>20</v>
      </c>
      <c r="AC566" t="n">
        <v>21</v>
      </c>
      <c r="AD566" t="n">
        <v>50</v>
      </c>
      <c r="AE566" t="n">
        <v>53</v>
      </c>
      <c r="AF566" t="n">
        <v>19</v>
      </c>
      <c r="AG566" t="n">
        <v>21</v>
      </c>
      <c r="AH566" t="n">
        <v>8</v>
      </c>
      <c r="AI566" t="n">
        <v>10</v>
      </c>
      <c r="AJ566" t="n">
        <v>24</v>
      </c>
      <c r="AK566" t="n">
        <v>24</v>
      </c>
      <c r="AL566" t="n">
        <v>10</v>
      </c>
      <c r="AM566" t="n">
        <v>10</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HYPERLINK("https://creighton-primo.hosted.exlibrisgroup.com/primo-explore/search?tab=default_tab&amp;search_scope=EVERYTHING&amp;vid=01CRU&amp;lang=en_US&amp;offset=0&amp;query=any,contains,991002859849702656","Catalog Record")</f>
        <v/>
      </c>
      <c r="AT566">
        <f>HYPERLINK("http://www.worldcat.org/oclc/492257","WorldCat Record")</f>
        <v/>
      </c>
      <c r="AU566" t="inlineStr">
        <is>
          <t>4820509052:eng</t>
        </is>
      </c>
      <c r="AV566" t="inlineStr">
        <is>
          <t>492257</t>
        </is>
      </c>
      <c r="AW566" t="inlineStr">
        <is>
          <t>991002859849702656</t>
        </is>
      </c>
      <c r="AX566" t="inlineStr">
        <is>
          <t>991002859849702656</t>
        </is>
      </c>
      <c r="AY566" t="inlineStr">
        <is>
          <t>2255168740002656</t>
        </is>
      </c>
      <c r="AZ566" t="inlineStr">
        <is>
          <t>BOOK</t>
        </is>
      </c>
      <c r="BC566" t="inlineStr">
        <is>
          <t>32285001692002</t>
        </is>
      </c>
      <c r="BD566" t="inlineStr">
        <is>
          <t>893793016</t>
        </is>
      </c>
    </row>
    <row r="567">
      <c r="A567" t="inlineStr">
        <is>
          <t>No</t>
        </is>
      </c>
      <c r="B567" t="inlineStr">
        <is>
          <t>ND553.R45 R65</t>
        </is>
      </c>
      <c r="C567" t="inlineStr">
        <is>
          <t>0                      ND 0553000R  45                 R  65</t>
        </is>
      </c>
      <c r="D567" t="inlineStr">
        <is>
          <t>Renoir : [biographical and critical studies / translated by James Emmons.</t>
        </is>
      </c>
      <c r="F567" t="inlineStr">
        <is>
          <t>No</t>
        </is>
      </c>
      <c r="G567" t="inlineStr">
        <is>
          <t>1</t>
        </is>
      </c>
      <c r="H567" t="inlineStr">
        <is>
          <t>No</t>
        </is>
      </c>
      <c r="I567" t="inlineStr">
        <is>
          <t>No</t>
        </is>
      </c>
      <c r="J567" t="inlineStr">
        <is>
          <t>0</t>
        </is>
      </c>
      <c r="K567" t="inlineStr">
        <is>
          <t>Rouart, Denis.</t>
        </is>
      </c>
      <c r="L567" t="inlineStr">
        <is>
          <t>Geneva] : Skira, [1954]</t>
        </is>
      </c>
      <c r="M567" t="inlineStr">
        <is>
          <t>1954</t>
        </is>
      </c>
      <c r="O567" t="inlineStr">
        <is>
          <t>eng</t>
        </is>
      </c>
      <c r="P567" t="inlineStr">
        <is>
          <t xml:space="preserve">sz </t>
        </is>
      </c>
      <c r="Q567" t="inlineStr">
        <is>
          <t>The Taste of our time, 7</t>
        </is>
      </c>
      <c r="R567" t="inlineStr">
        <is>
          <t xml:space="preserve">ND </t>
        </is>
      </c>
      <c r="S567" t="n">
        <v>14</v>
      </c>
      <c r="T567" t="n">
        <v>14</v>
      </c>
      <c r="U567" t="inlineStr">
        <is>
          <t>2007-12-11</t>
        </is>
      </c>
      <c r="V567" t="inlineStr">
        <is>
          <t>2007-12-11</t>
        </is>
      </c>
      <c r="W567" t="inlineStr">
        <is>
          <t>1993-05-11</t>
        </is>
      </c>
      <c r="X567" t="inlineStr">
        <is>
          <t>1993-05-11</t>
        </is>
      </c>
      <c r="Y567" t="n">
        <v>725</v>
      </c>
      <c r="Z567" t="n">
        <v>667</v>
      </c>
      <c r="AA567" t="n">
        <v>685</v>
      </c>
      <c r="AB567" t="n">
        <v>5</v>
      </c>
      <c r="AC567" t="n">
        <v>5</v>
      </c>
      <c r="AD567" t="n">
        <v>20</v>
      </c>
      <c r="AE567" t="n">
        <v>22</v>
      </c>
      <c r="AF567" t="n">
        <v>7</v>
      </c>
      <c r="AG567" t="n">
        <v>7</v>
      </c>
      <c r="AH567" t="n">
        <v>4</v>
      </c>
      <c r="AI567" t="n">
        <v>4</v>
      </c>
      <c r="AJ567" t="n">
        <v>10</v>
      </c>
      <c r="AK567" t="n">
        <v>12</v>
      </c>
      <c r="AL567" t="n">
        <v>3</v>
      </c>
      <c r="AM567" t="n">
        <v>3</v>
      </c>
      <c r="AN567" t="n">
        <v>0</v>
      </c>
      <c r="AO567" t="n">
        <v>0</v>
      </c>
      <c r="AP567" t="inlineStr">
        <is>
          <t>No</t>
        </is>
      </c>
      <c r="AQ567" t="inlineStr">
        <is>
          <t>Yes</t>
        </is>
      </c>
      <c r="AR567">
        <f>HYPERLINK("http://catalog.hathitrust.org/Record/004504481","HathiTrust Record")</f>
        <v/>
      </c>
      <c r="AS567">
        <f>HYPERLINK("https://creighton-primo.hosted.exlibrisgroup.com/primo-explore/search?tab=default_tab&amp;search_scope=EVERYTHING&amp;vid=01CRU&amp;lang=en_US&amp;offset=0&amp;query=any,contains,991003274589702656","Catalog Record")</f>
        <v/>
      </c>
      <c r="AT567">
        <f>HYPERLINK("http://www.worldcat.org/oclc/799363","WorldCat Record")</f>
        <v/>
      </c>
      <c r="AU567" t="inlineStr">
        <is>
          <t>5208976957:eng</t>
        </is>
      </c>
      <c r="AV567" t="inlineStr">
        <is>
          <t>799363</t>
        </is>
      </c>
      <c r="AW567" t="inlineStr">
        <is>
          <t>991003274589702656</t>
        </is>
      </c>
      <c r="AX567" t="inlineStr">
        <is>
          <t>991003274589702656</t>
        </is>
      </c>
      <c r="AY567" t="inlineStr">
        <is>
          <t>2266843230002656</t>
        </is>
      </c>
      <c r="AZ567" t="inlineStr">
        <is>
          <t>BOOK</t>
        </is>
      </c>
      <c r="BC567" t="inlineStr">
        <is>
          <t>32285001581932</t>
        </is>
      </c>
      <c r="BD567" t="inlineStr">
        <is>
          <t>893342412</t>
        </is>
      </c>
    </row>
    <row r="568">
      <c r="A568" t="inlineStr">
        <is>
          <t>No</t>
        </is>
      </c>
      <c r="B568" t="inlineStr">
        <is>
          <t>ND553.R66 C6</t>
        </is>
      </c>
      <c r="C568" t="inlineStr">
        <is>
          <t>0                      ND 0553000R  66                 C  6</t>
        </is>
      </c>
      <c r="D568" t="inlineStr">
        <is>
          <t>Georges Rouault. Including a catalogue of works prepared with the collaboration of Isabelle Rouault.</t>
        </is>
      </c>
      <c r="F568" t="inlineStr">
        <is>
          <t>No</t>
        </is>
      </c>
      <c r="G568" t="inlineStr">
        <is>
          <t>1</t>
        </is>
      </c>
      <c r="H568" t="inlineStr">
        <is>
          <t>No</t>
        </is>
      </c>
      <c r="I568" t="inlineStr">
        <is>
          <t>No</t>
        </is>
      </c>
      <c r="J568" t="inlineStr">
        <is>
          <t>0</t>
        </is>
      </c>
      <c r="K568" t="inlineStr">
        <is>
          <t>Courthion, Pierre.</t>
        </is>
      </c>
      <c r="L568" t="inlineStr">
        <is>
          <t>New York, H. N. Abrams [1962]</t>
        </is>
      </c>
      <c r="M568" t="inlineStr">
        <is>
          <t>1962</t>
        </is>
      </c>
      <c r="O568" t="inlineStr">
        <is>
          <t>eng</t>
        </is>
      </c>
      <c r="P568" t="inlineStr">
        <is>
          <t>nyu</t>
        </is>
      </c>
      <c r="R568" t="inlineStr">
        <is>
          <t xml:space="preserve">ND </t>
        </is>
      </c>
      <c r="S568" t="n">
        <v>11</v>
      </c>
      <c r="T568" t="n">
        <v>11</v>
      </c>
      <c r="U568" t="inlineStr">
        <is>
          <t>2010-07-25</t>
        </is>
      </c>
      <c r="V568" t="inlineStr">
        <is>
          <t>2010-07-25</t>
        </is>
      </c>
      <c r="W568" t="inlineStr">
        <is>
          <t>1997-07-29</t>
        </is>
      </c>
      <c r="X568" t="inlineStr">
        <is>
          <t>1997-07-29</t>
        </is>
      </c>
      <c r="Y568" t="n">
        <v>1044</v>
      </c>
      <c r="Z568" t="n">
        <v>967</v>
      </c>
      <c r="AA568" t="n">
        <v>974</v>
      </c>
      <c r="AB568" t="n">
        <v>6</v>
      </c>
      <c r="AC568" t="n">
        <v>7</v>
      </c>
      <c r="AD568" t="n">
        <v>29</v>
      </c>
      <c r="AE568" t="n">
        <v>30</v>
      </c>
      <c r="AF568" t="n">
        <v>12</v>
      </c>
      <c r="AG568" t="n">
        <v>12</v>
      </c>
      <c r="AH568" t="n">
        <v>4</v>
      </c>
      <c r="AI568" t="n">
        <v>4</v>
      </c>
      <c r="AJ568" t="n">
        <v>14</v>
      </c>
      <c r="AK568" t="n">
        <v>14</v>
      </c>
      <c r="AL568" t="n">
        <v>3</v>
      </c>
      <c r="AM568" t="n">
        <v>4</v>
      </c>
      <c r="AN568" t="n">
        <v>0</v>
      </c>
      <c r="AO568" t="n">
        <v>0</v>
      </c>
      <c r="AP568" t="inlineStr">
        <is>
          <t>No</t>
        </is>
      </c>
      <c r="AQ568" t="inlineStr">
        <is>
          <t>No</t>
        </is>
      </c>
      <c r="AR568">
        <f>HYPERLINK("http://catalog.hathitrust.org/Record/000417148","HathiTrust Record")</f>
        <v/>
      </c>
      <c r="AS568">
        <f>HYPERLINK("https://creighton-primo.hosted.exlibrisgroup.com/primo-explore/search?tab=default_tab&amp;search_scope=EVERYTHING&amp;vid=01CRU&amp;lang=en_US&amp;offset=0&amp;query=any,contains,991002543449702656","Catalog Record")</f>
        <v/>
      </c>
      <c r="AT568">
        <f>HYPERLINK("http://www.worldcat.org/oclc/368086","WorldCat Record")</f>
        <v/>
      </c>
      <c r="AU568" t="inlineStr">
        <is>
          <t>2093739316:eng</t>
        </is>
      </c>
      <c r="AV568" t="inlineStr">
        <is>
          <t>368086</t>
        </is>
      </c>
      <c r="AW568" t="inlineStr">
        <is>
          <t>991002543449702656</t>
        </is>
      </c>
      <c r="AX568" t="inlineStr">
        <is>
          <t>991002543449702656</t>
        </is>
      </c>
      <c r="AY568" t="inlineStr">
        <is>
          <t>2264729080002656</t>
        </is>
      </c>
      <c r="AZ568" t="inlineStr">
        <is>
          <t>BOOK</t>
        </is>
      </c>
      <c r="BC568" t="inlineStr">
        <is>
          <t>32285002968237</t>
        </is>
      </c>
      <c r="BD568" t="inlineStr">
        <is>
          <t>893523743</t>
        </is>
      </c>
    </row>
    <row r="569">
      <c r="A569" t="inlineStr">
        <is>
          <t>No</t>
        </is>
      </c>
      <c r="B569" t="inlineStr">
        <is>
          <t>ND553.R66 N45 1947</t>
        </is>
      </c>
      <c r="C569" t="inlineStr">
        <is>
          <t>0                      ND 0553000R  66                 N  45          1947</t>
        </is>
      </c>
      <c r="D569" t="inlineStr">
        <is>
          <t>Georges Rouault; paintings and prints, by James Thrall Soby.</t>
        </is>
      </c>
      <c r="F569" t="inlineStr">
        <is>
          <t>No</t>
        </is>
      </c>
      <c r="G569" t="inlineStr">
        <is>
          <t>1</t>
        </is>
      </c>
      <c r="H569" t="inlineStr">
        <is>
          <t>No</t>
        </is>
      </c>
      <c r="I569" t="inlineStr">
        <is>
          <t>No</t>
        </is>
      </c>
      <c r="J569" t="inlineStr">
        <is>
          <t>0</t>
        </is>
      </c>
      <c r="K569" t="inlineStr">
        <is>
          <t>Museum of Modern Art (New York, N.Y.)</t>
        </is>
      </c>
      <c r="L569" t="inlineStr">
        <is>
          <t>New York, Museum of Modern Art, 1947]</t>
        </is>
      </c>
      <c r="M569" t="inlineStr">
        <is>
          <t>1947</t>
        </is>
      </c>
      <c r="N569" t="inlineStr">
        <is>
          <t>[3d ed.</t>
        </is>
      </c>
      <c r="O569" t="inlineStr">
        <is>
          <t>eng</t>
        </is>
      </c>
      <c r="P569" t="inlineStr">
        <is>
          <t>nyu</t>
        </is>
      </c>
      <c r="R569" t="inlineStr">
        <is>
          <t xml:space="preserve">ND </t>
        </is>
      </c>
      <c r="S569" t="n">
        <v>1</v>
      </c>
      <c r="T569" t="n">
        <v>1</v>
      </c>
      <c r="U569" t="inlineStr">
        <is>
          <t>1997-11-14</t>
        </is>
      </c>
      <c r="V569" t="inlineStr">
        <is>
          <t>1997-11-14</t>
        </is>
      </c>
      <c r="W569" t="inlineStr">
        <is>
          <t>1997-07-29</t>
        </is>
      </c>
      <c r="X569" t="inlineStr">
        <is>
          <t>1997-07-29</t>
        </is>
      </c>
      <c r="Y569" t="n">
        <v>455</v>
      </c>
      <c r="Z569" t="n">
        <v>420</v>
      </c>
      <c r="AA569" t="n">
        <v>435</v>
      </c>
      <c r="AB569" t="n">
        <v>4</v>
      </c>
      <c r="AC569" t="n">
        <v>4</v>
      </c>
      <c r="AD569" t="n">
        <v>22</v>
      </c>
      <c r="AE569" t="n">
        <v>22</v>
      </c>
      <c r="AF569" t="n">
        <v>9</v>
      </c>
      <c r="AG569" t="n">
        <v>9</v>
      </c>
      <c r="AH569" t="n">
        <v>5</v>
      </c>
      <c r="AI569" t="n">
        <v>5</v>
      </c>
      <c r="AJ569" t="n">
        <v>10</v>
      </c>
      <c r="AK569" t="n">
        <v>10</v>
      </c>
      <c r="AL569" t="n">
        <v>3</v>
      </c>
      <c r="AM569" t="n">
        <v>3</v>
      </c>
      <c r="AN569" t="n">
        <v>0</v>
      </c>
      <c r="AO569" t="n">
        <v>0</v>
      </c>
      <c r="AP569" t="inlineStr">
        <is>
          <t>No</t>
        </is>
      </c>
      <c r="AQ569" t="inlineStr">
        <is>
          <t>No</t>
        </is>
      </c>
      <c r="AR569">
        <f>HYPERLINK("http://catalog.hathitrust.org/Record/000417166","HathiTrust Record")</f>
        <v/>
      </c>
      <c r="AS569">
        <f>HYPERLINK("https://creighton-primo.hosted.exlibrisgroup.com/primo-explore/search?tab=default_tab&amp;search_scope=EVERYTHING&amp;vid=01CRU&amp;lang=en_US&amp;offset=0&amp;query=any,contains,991002902509702656","Catalog Record")</f>
        <v/>
      </c>
      <c r="AT569">
        <f>HYPERLINK("http://www.worldcat.org/oclc/517901","WorldCat Record")</f>
        <v/>
      </c>
      <c r="AU569" t="inlineStr">
        <is>
          <t>2070169359:eng</t>
        </is>
      </c>
      <c r="AV569" t="inlineStr">
        <is>
          <t>517901</t>
        </is>
      </c>
      <c r="AW569" t="inlineStr">
        <is>
          <t>991002902509702656</t>
        </is>
      </c>
      <c r="AX569" t="inlineStr">
        <is>
          <t>991002902509702656</t>
        </is>
      </c>
      <c r="AY569" t="inlineStr">
        <is>
          <t>2255015690002656</t>
        </is>
      </c>
      <c r="AZ569" t="inlineStr">
        <is>
          <t>BOOK</t>
        </is>
      </c>
      <c r="BC569" t="inlineStr">
        <is>
          <t>32285002968245</t>
        </is>
      </c>
      <c r="BD569" t="inlineStr">
        <is>
          <t>893352586</t>
        </is>
      </c>
    </row>
    <row r="570">
      <c r="A570" t="inlineStr">
        <is>
          <t>No</t>
        </is>
      </c>
      <c r="B570" t="inlineStr">
        <is>
          <t>ND553.R66 V4</t>
        </is>
      </c>
      <c r="C570" t="inlineStr">
        <is>
          <t>0                      ND 0553000R  66                 V  4</t>
        </is>
      </c>
      <c r="D570" t="inlineStr">
        <is>
          <t>Rouault, biographical and critical study. Translated from the Italian by James Emmons.</t>
        </is>
      </c>
      <c r="F570" t="inlineStr">
        <is>
          <t>No</t>
        </is>
      </c>
      <c r="G570" t="inlineStr">
        <is>
          <t>1</t>
        </is>
      </c>
      <c r="H570" t="inlineStr">
        <is>
          <t>No</t>
        </is>
      </c>
      <c r="I570" t="inlineStr">
        <is>
          <t>No</t>
        </is>
      </c>
      <c r="J570" t="inlineStr">
        <is>
          <t>0</t>
        </is>
      </c>
      <c r="K570" t="inlineStr">
        <is>
          <t>Venturi, Lionello, 1885-1961.</t>
        </is>
      </c>
      <c r="L570" t="inlineStr">
        <is>
          <t>[New York] Skira [1959]</t>
        </is>
      </c>
      <c r="M570" t="inlineStr">
        <is>
          <t>1959</t>
        </is>
      </c>
      <c r="O570" t="inlineStr">
        <is>
          <t>eng</t>
        </is>
      </c>
      <c r="P570" t="inlineStr">
        <is>
          <t>nyu</t>
        </is>
      </c>
      <c r="Q570" t="inlineStr">
        <is>
          <t>The Taste of our time, v. 26</t>
        </is>
      </c>
      <c r="R570" t="inlineStr">
        <is>
          <t xml:space="preserve">ND </t>
        </is>
      </c>
      <c r="S570" t="n">
        <v>4</v>
      </c>
      <c r="T570" t="n">
        <v>4</v>
      </c>
      <c r="U570" t="inlineStr">
        <is>
          <t>2001-06-13</t>
        </is>
      </c>
      <c r="V570" t="inlineStr">
        <is>
          <t>2001-06-13</t>
        </is>
      </c>
      <c r="W570" t="inlineStr">
        <is>
          <t>1997-07-29</t>
        </is>
      </c>
      <c r="X570" t="inlineStr">
        <is>
          <t>1997-07-29</t>
        </is>
      </c>
      <c r="Y570" t="n">
        <v>742</v>
      </c>
      <c r="Z570" t="n">
        <v>680</v>
      </c>
      <c r="AA570" t="n">
        <v>948</v>
      </c>
      <c r="AB570" t="n">
        <v>6</v>
      </c>
      <c r="AC570" t="n">
        <v>9</v>
      </c>
      <c r="AD570" t="n">
        <v>32</v>
      </c>
      <c r="AE570" t="n">
        <v>40</v>
      </c>
      <c r="AF570" t="n">
        <v>13</v>
      </c>
      <c r="AG570" t="n">
        <v>17</v>
      </c>
      <c r="AH570" t="n">
        <v>6</v>
      </c>
      <c r="AI570" t="n">
        <v>8</v>
      </c>
      <c r="AJ570" t="n">
        <v>14</v>
      </c>
      <c r="AK570" t="n">
        <v>17</v>
      </c>
      <c r="AL570" t="n">
        <v>5</v>
      </c>
      <c r="AM570" t="n">
        <v>7</v>
      </c>
      <c r="AN570" t="n">
        <v>0</v>
      </c>
      <c r="AO570" t="n">
        <v>0</v>
      </c>
      <c r="AP570" t="inlineStr">
        <is>
          <t>No</t>
        </is>
      </c>
      <c r="AQ570" t="inlineStr">
        <is>
          <t>Yes</t>
        </is>
      </c>
      <c r="AR570">
        <f>HYPERLINK("http://catalog.hathitrust.org/Record/008512500","HathiTrust Record")</f>
        <v/>
      </c>
      <c r="AS570">
        <f>HYPERLINK("https://creighton-primo.hosted.exlibrisgroup.com/primo-explore/search?tab=default_tab&amp;search_scope=EVERYTHING&amp;vid=01CRU&amp;lang=en_US&amp;offset=0&amp;query=any,contains,991003426709702656","Catalog Record")</f>
        <v/>
      </c>
      <c r="AT570">
        <f>HYPERLINK("http://www.worldcat.org/oclc/964744","WorldCat Record")</f>
        <v/>
      </c>
      <c r="AU570" t="inlineStr">
        <is>
          <t>1918491:eng</t>
        </is>
      </c>
      <c r="AV570" t="inlineStr">
        <is>
          <t>964744</t>
        </is>
      </c>
      <c r="AW570" t="inlineStr">
        <is>
          <t>991003426709702656</t>
        </is>
      </c>
      <c r="AX570" t="inlineStr">
        <is>
          <t>991003426709702656</t>
        </is>
      </c>
      <c r="AY570" t="inlineStr">
        <is>
          <t>2261671050002656</t>
        </is>
      </c>
      <c r="AZ570" t="inlineStr">
        <is>
          <t>BOOK</t>
        </is>
      </c>
      <c r="BC570" t="inlineStr">
        <is>
          <t>32285002968252</t>
        </is>
      </c>
      <c r="BD570" t="inlineStr">
        <is>
          <t>893422561</t>
        </is>
      </c>
    </row>
    <row r="571">
      <c r="A571" t="inlineStr">
        <is>
          <t>No</t>
        </is>
      </c>
      <c r="B571" t="inlineStr">
        <is>
          <t>ND553.R67 A4 2001</t>
        </is>
      </c>
      <c r="C571" t="inlineStr">
        <is>
          <t>0                      ND 0553000R  67                 A  4           2001</t>
        </is>
      </c>
      <c r="D571" t="inlineStr">
        <is>
          <t>Henri Rousseau / Götz Adriani ; [translated by Scott Kleager and Jenny Marsh].</t>
        </is>
      </c>
      <c r="F571" t="inlineStr">
        <is>
          <t>No</t>
        </is>
      </c>
      <c r="G571" t="inlineStr">
        <is>
          <t>1</t>
        </is>
      </c>
      <c r="H571" t="inlineStr">
        <is>
          <t>No</t>
        </is>
      </c>
      <c r="I571" t="inlineStr">
        <is>
          <t>No</t>
        </is>
      </c>
      <c r="J571" t="inlineStr">
        <is>
          <t>0</t>
        </is>
      </c>
      <c r="K571" t="inlineStr">
        <is>
          <t>Adriani, Götz, 1940-</t>
        </is>
      </c>
      <c r="L571" t="inlineStr">
        <is>
          <t>New Haven : Yale University Press, c2001.</t>
        </is>
      </c>
      <c r="M571" t="inlineStr">
        <is>
          <t>2001</t>
        </is>
      </c>
      <c r="O571" t="inlineStr">
        <is>
          <t>eng</t>
        </is>
      </c>
      <c r="P571" t="inlineStr">
        <is>
          <t>ctu</t>
        </is>
      </c>
      <c r="R571" t="inlineStr">
        <is>
          <t xml:space="preserve">ND </t>
        </is>
      </c>
      <c r="S571" t="n">
        <v>1</v>
      </c>
      <c r="T571" t="n">
        <v>1</v>
      </c>
      <c r="U571" t="inlineStr">
        <is>
          <t>2002-07-30</t>
        </is>
      </c>
      <c r="V571" t="inlineStr">
        <is>
          <t>2002-07-30</t>
        </is>
      </c>
      <c r="W571" t="inlineStr">
        <is>
          <t>2002-07-30</t>
        </is>
      </c>
      <c r="X571" t="inlineStr">
        <is>
          <t>2002-07-30</t>
        </is>
      </c>
      <c r="Y571" t="n">
        <v>882</v>
      </c>
      <c r="Z571" t="n">
        <v>772</v>
      </c>
      <c r="AA571" t="n">
        <v>774</v>
      </c>
      <c r="AB571" t="n">
        <v>6</v>
      </c>
      <c r="AC571" t="n">
        <v>6</v>
      </c>
      <c r="AD571" t="n">
        <v>26</v>
      </c>
      <c r="AE571" t="n">
        <v>27</v>
      </c>
      <c r="AF571" t="n">
        <v>9</v>
      </c>
      <c r="AG571" t="n">
        <v>9</v>
      </c>
      <c r="AH571" t="n">
        <v>6</v>
      </c>
      <c r="AI571" t="n">
        <v>6</v>
      </c>
      <c r="AJ571" t="n">
        <v>11</v>
      </c>
      <c r="AK571" t="n">
        <v>12</v>
      </c>
      <c r="AL571" t="n">
        <v>5</v>
      </c>
      <c r="AM571" t="n">
        <v>5</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HYPERLINK("https://creighton-primo.hosted.exlibrisgroup.com/primo-explore/search?tab=default_tab&amp;search_scope=EVERYTHING&amp;vid=01CRU&amp;lang=en_US&amp;offset=0&amp;query=any,contains,991003842869702656","Catalog Record")</f>
        <v/>
      </c>
      <c r="AT571">
        <f>HYPERLINK("http://www.worldcat.org/oclc/47270466","WorldCat Record")</f>
        <v/>
      </c>
      <c r="AU571" t="inlineStr">
        <is>
          <t>5618108852:eng</t>
        </is>
      </c>
      <c r="AV571" t="inlineStr">
        <is>
          <t>47270466</t>
        </is>
      </c>
      <c r="AW571" t="inlineStr">
        <is>
          <t>991003842869702656</t>
        </is>
      </c>
      <c r="AX571" t="inlineStr">
        <is>
          <t>991003842869702656</t>
        </is>
      </c>
      <c r="AY571" t="inlineStr">
        <is>
          <t>2262600240002656</t>
        </is>
      </c>
      <c r="AZ571" t="inlineStr">
        <is>
          <t>BOOK</t>
        </is>
      </c>
      <c r="BB571" t="inlineStr">
        <is>
          <t>9780300090550</t>
        </is>
      </c>
      <c r="BC571" t="inlineStr">
        <is>
          <t>32285004641055</t>
        </is>
      </c>
      <c r="BD571" t="inlineStr">
        <is>
          <t>893787858</t>
        </is>
      </c>
    </row>
    <row r="572">
      <c r="A572" t="inlineStr">
        <is>
          <t>No</t>
        </is>
      </c>
      <c r="B572" t="inlineStr">
        <is>
          <t>ND553.R67 S3613 1998</t>
        </is>
      </c>
      <c r="C572" t="inlineStr">
        <is>
          <t>0                      ND 0553000R  67                 S  3613        1998</t>
        </is>
      </c>
      <c r="D572" t="inlineStr">
        <is>
          <t>Henri Rousseau : dreams of the jungle / Werner Schmalenbach ; translated from the German by Jenny Marsh.</t>
        </is>
      </c>
      <c r="F572" t="inlineStr">
        <is>
          <t>No</t>
        </is>
      </c>
      <c r="G572" t="inlineStr">
        <is>
          <t>1</t>
        </is>
      </c>
      <c r="H572" t="inlineStr">
        <is>
          <t>No</t>
        </is>
      </c>
      <c r="I572" t="inlineStr">
        <is>
          <t>No</t>
        </is>
      </c>
      <c r="J572" t="inlineStr">
        <is>
          <t>0</t>
        </is>
      </c>
      <c r="K572" t="inlineStr">
        <is>
          <t>Schmalenbach, Werner, 1920-2010.</t>
        </is>
      </c>
      <c r="L572" t="inlineStr">
        <is>
          <t>Munich ; New York : Prestel, c1998.</t>
        </is>
      </c>
      <c r="M572" t="inlineStr">
        <is>
          <t>1998</t>
        </is>
      </c>
      <c r="N572" t="inlineStr">
        <is>
          <t>English ed.</t>
        </is>
      </c>
      <c r="O572" t="inlineStr">
        <is>
          <t>eng</t>
        </is>
      </c>
      <c r="P572" t="inlineStr">
        <is>
          <t xml:space="preserve">gw </t>
        </is>
      </c>
      <c r="Q572" t="inlineStr">
        <is>
          <t>Pegasus library</t>
        </is>
      </c>
      <c r="R572" t="inlineStr">
        <is>
          <t xml:space="preserve">ND </t>
        </is>
      </c>
      <c r="S572" t="n">
        <v>1</v>
      </c>
      <c r="T572" t="n">
        <v>1</v>
      </c>
      <c r="U572" t="inlineStr">
        <is>
          <t>1998-10-11</t>
        </is>
      </c>
      <c r="V572" t="inlineStr">
        <is>
          <t>1998-10-11</t>
        </is>
      </c>
      <c r="W572" t="inlineStr">
        <is>
          <t>1998-07-16</t>
        </is>
      </c>
      <c r="X572" t="inlineStr">
        <is>
          <t>1998-07-16</t>
        </is>
      </c>
      <c r="Y572" t="n">
        <v>277</v>
      </c>
      <c r="Z572" t="n">
        <v>210</v>
      </c>
      <c r="AA572" t="n">
        <v>281</v>
      </c>
      <c r="AB572" t="n">
        <v>4</v>
      </c>
      <c r="AC572" t="n">
        <v>4</v>
      </c>
      <c r="AD572" t="n">
        <v>8</v>
      </c>
      <c r="AE572" t="n">
        <v>9</v>
      </c>
      <c r="AF572" t="n">
        <v>0</v>
      </c>
      <c r="AG572" t="n">
        <v>1</v>
      </c>
      <c r="AH572" t="n">
        <v>3</v>
      </c>
      <c r="AI572" t="n">
        <v>3</v>
      </c>
      <c r="AJ572" t="n">
        <v>3</v>
      </c>
      <c r="AK572" t="n">
        <v>4</v>
      </c>
      <c r="AL572" t="n">
        <v>2</v>
      </c>
      <c r="AM572" t="n">
        <v>2</v>
      </c>
      <c r="AN572" t="n">
        <v>0</v>
      </c>
      <c r="AO572" t="n">
        <v>0</v>
      </c>
      <c r="AP572" t="inlineStr">
        <is>
          <t>No</t>
        </is>
      </c>
      <c r="AQ572" t="inlineStr">
        <is>
          <t>Yes</t>
        </is>
      </c>
      <c r="AR572">
        <f>HYPERLINK("http://catalog.hathitrust.org/Record/003308992","HathiTrust Record")</f>
        <v/>
      </c>
      <c r="AS572">
        <f>HYPERLINK("https://creighton-primo.hosted.exlibrisgroup.com/primo-explore/search?tab=default_tab&amp;search_scope=EVERYTHING&amp;vid=01CRU&amp;lang=en_US&amp;offset=0&amp;query=any,contains,991002907519702656","Catalog Record")</f>
        <v/>
      </c>
      <c r="AT572">
        <f>HYPERLINK("http://www.worldcat.org/oclc/38425762","WorldCat Record")</f>
        <v/>
      </c>
      <c r="AU572" t="inlineStr">
        <is>
          <t>3856793382:eng</t>
        </is>
      </c>
      <c r="AV572" t="inlineStr">
        <is>
          <t>38425762</t>
        </is>
      </c>
      <c r="AW572" t="inlineStr">
        <is>
          <t>991002907519702656</t>
        </is>
      </c>
      <c r="AX572" t="inlineStr">
        <is>
          <t>991002907519702656</t>
        </is>
      </c>
      <c r="AY572" t="inlineStr">
        <is>
          <t>2255876150002656</t>
        </is>
      </c>
      <c r="AZ572" t="inlineStr">
        <is>
          <t>BOOK</t>
        </is>
      </c>
      <c r="BB572" t="inlineStr">
        <is>
          <t>9783791319421</t>
        </is>
      </c>
      <c r="BC572" t="inlineStr">
        <is>
          <t>32285003432548</t>
        </is>
      </c>
      <c r="BD572" t="inlineStr">
        <is>
          <t>893227424</t>
        </is>
      </c>
    </row>
    <row r="573">
      <c r="A573" t="inlineStr">
        <is>
          <t>No</t>
        </is>
      </c>
      <c r="B573" t="inlineStr">
        <is>
          <t>ND553.R67 V33</t>
        </is>
      </c>
      <c r="C573" t="inlineStr">
        <is>
          <t>0                      ND 0553000R  67                 V  33</t>
        </is>
      </c>
      <c r="D573" t="inlineStr">
        <is>
          <t>Henri Rousseau.</t>
        </is>
      </c>
      <c r="F573" t="inlineStr">
        <is>
          <t>No</t>
        </is>
      </c>
      <c r="G573" t="inlineStr">
        <is>
          <t>1</t>
        </is>
      </c>
      <c r="H573" t="inlineStr">
        <is>
          <t>No</t>
        </is>
      </c>
      <c r="I573" t="inlineStr">
        <is>
          <t>No</t>
        </is>
      </c>
      <c r="J573" t="inlineStr">
        <is>
          <t>0</t>
        </is>
      </c>
      <c r="K573" t="inlineStr">
        <is>
          <t>Vallier, Dora.</t>
        </is>
      </c>
      <c r="L573" t="inlineStr">
        <is>
          <t>New York, H. N. Abrams [1964]</t>
        </is>
      </c>
      <c r="M573" t="inlineStr">
        <is>
          <t>1964</t>
        </is>
      </c>
      <c r="O573" t="inlineStr">
        <is>
          <t>eng</t>
        </is>
      </c>
      <c r="P573" t="inlineStr">
        <is>
          <t>nyu</t>
        </is>
      </c>
      <c r="R573" t="inlineStr">
        <is>
          <t xml:space="preserve">ND </t>
        </is>
      </c>
      <c r="S573" t="n">
        <v>1</v>
      </c>
      <c r="T573" t="n">
        <v>1</v>
      </c>
      <c r="U573" t="inlineStr">
        <is>
          <t>2000-11-08</t>
        </is>
      </c>
      <c r="V573" t="inlineStr">
        <is>
          <t>2000-11-08</t>
        </is>
      </c>
      <c r="W573" t="inlineStr">
        <is>
          <t>1997-07-29</t>
        </is>
      </c>
      <c r="X573" t="inlineStr">
        <is>
          <t>1997-07-29</t>
        </is>
      </c>
      <c r="Y573" t="n">
        <v>750</v>
      </c>
      <c r="Z573" t="n">
        <v>714</v>
      </c>
      <c r="AA573" t="n">
        <v>716</v>
      </c>
      <c r="AB573" t="n">
        <v>4</v>
      </c>
      <c r="AC573" t="n">
        <v>4</v>
      </c>
      <c r="AD573" t="n">
        <v>21</v>
      </c>
      <c r="AE573" t="n">
        <v>21</v>
      </c>
      <c r="AF573" t="n">
        <v>10</v>
      </c>
      <c r="AG573" t="n">
        <v>10</v>
      </c>
      <c r="AH573" t="n">
        <v>2</v>
      </c>
      <c r="AI573" t="n">
        <v>2</v>
      </c>
      <c r="AJ573" t="n">
        <v>9</v>
      </c>
      <c r="AK573" t="n">
        <v>9</v>
      </c>
      <c r="AL573" t="n">
        <v>2</v>
      </c>
      <c r="AM573" t="n">
        <v>2</v>
      </c>
      <c r="AN573" t="n">
        <v>0</v>
      </c>
      <c r="AO573" t="n">
        <v>0</v>
      </c>
      <c r="AP573" t="inlineStr">
        <is>
          <t>No</t>
        </is>
      </c>
      <c r="AQ573" t="inlineStr">
        <is>
          <t>Yes</t>
        </is>
      </c>
      <c r="AR573">
        <f>HYPERLINK("http://catalog.hathitrust.org/Record/000417229","HathiTrust Record")</f>
        <v/>
      </c>
      <c r="AS573">
        <f>HYPERLINK("https://creighton-primo.hosted.exlibrisgroup.com/primo-explore/search?tab=default_tab&amp;search_scope=EVERYTHING&amp;vid=01CRU&amp;lang=en_US&amp;offset=0&amp;query=any,contains,991002611349702656","Catalog Record")</f>
        <v/>
      </c>
      <c r="AT573">
        <f>HYPERLINK("http://www.worldcat.org/oclc/377937","WorldCat Record")</f>
        <v/>
      </c>
      <c r="AU573" t="inlineStr">
        <is>
          <t>10568039264:eng</t>
        </is>
      </c>
      <c r="AV573" t="inlineStr">
        <is>
          <t>377937</t>
        </is>
      </c>
      <c r="AW573" t="inlineStr">
        <is>
          <t>991002611349702656</t>
        </is>
      </c>
      <c r="AX573" t="inlineStr">
        <is>
          <t>991002611349702656</t>
        </is>
      </c>
      <c r="AY573" t="inlineStr">
        <is>
          <t>2260912450002656</t>
        </is>
      </c>
      <c r="AZ573" t="inlineStr">
        <is>
          <t>BOOK</t>
        </is>
      </c>
      <c r="BC573" t="inlineStr">
        <is>
          <t>32285002968260</t>
        </is>
      </c>
      <c r="BD573" t="inlineStr">
        <is>
          <t>893773805</t>
        </is>
      </c>
    </row>
    <row r="574">
      <c r="A574" t="inlineStr">
        <is>
          <t>No</t>
        </is>
      </c>
      <c r="B574" t="inlineStr">
        <is>
          <t>ND553.S5 F7</t>
        </is>
      </c>
      <c r="C574" t="inlineStr">
        <is>
          <t>0                      ND 0553000S  5                  F  7</t>
        </is>
      </c>
      <c r="D574" t="inlineStr">
        <is>
          <t>Seurat / with an essay by Roger Fry and a foreword &amp; notes by Sir Anthony Blunt.</t>
        </is>
      </c>
      <c r="F574" t="inlineStr">
        <is>
          <t>No</t>
        </is>
      </c>
      <c r="G574" t="inlineStr">
        <is>
          <t>1</t>
        </is>
      </c>
      <c r="H574" t="inlineStr">
        <is>
          <t>No</t>
        </is>
      </c>
      <c r="I574" t="inlineStr">
        <is>
          <t>No</t>
        </is>
      </c>
      <c r="J574" t="inlineStr">
        <is>
          <t>0</t>
        </is>
      </c>
      <c r="K574" t="inlineStr">
        <is>
          <t>Seurat, Georges, 1859-1891.</t>
        </is>
      </c>
      <c r="L574" t="inlineStr">
        <is>
          <t>[London] : Phaidon Publishers; distributed by New York Graphic Society Publishers, Greenwich, Conn., [1965]</t>
        </is>
      </c>
      <c r="M574" t="inlineStr">
        <is>
          <t>1965</t>
        </is>
      </c>
      <c r="O574" t="inlineStr">
        <is>
          <t>eng</t>
        </is>
      </c>
      <c r="P574" t="inlineStr">
        <is>
          <t>enk</t>
        </is>
      </c>
      <c r="R574" t="inlineStr">
        <is>
          <t xml:space="preserve">ND </t>
        </is>
      </c>
      <c r="S574" t="n">
        <v>4</v>
      </c>
      <c r="T574" t="n">
        <v>4</v>
      </c>
      <c r="U574" t="inlineStr">
        <is>
          <t>2002-01-27</t>
        </is>
      </c>
      <c r="V574" t="inlineStr">
        <is>
          <t>2002-01-27</t>
        </is>
      </c>
      <c r="W574" t="inlineStr">
        <is>
          <t>1992-03-31</t>
        </is>
      </c>
      <c r="X574" t="inlineStr">
        <is>
          <t>1992-03-31</t>
        </is>
      </c>
      <c r="Y574" t="n">
        <v>763</v>
      </c>
      <c r="Z574" t="n">
        <v>668</v>
      </c>
      <c r="AA574" t="n">
        <v>672</v>
      </c>
      <c r="AB574" t="n">
        <v>3</v>
      </c>
      <c r="AC574" t="n">
        <v>3</v>
      </c>
      <c r="AD574" t="n">
        <v>17</v>
      </c>
      <c r="AE574" t="n">
        <v>17</v>
      </c>
      <c r="AF574" t="n">
        <v>6</v>
      </c>
      <c r="AG574" t="n">
        <v>6</v>
      </c>
      <c r="AH574" t="n">
        <v>4</v>
      </c>
      <c r="AI574" t="n">
        <v>4</v>
      </c>
      <c r="AJ574" t="n">
        <v>10</v>
      </c>
      <c r="AK574" t="n">
        <v>10</v>
      </c>
      <c r="AL574" t="n">
        <v>2</v>
      </c>
      <c r="AM574" t="n">
        <v>2</v>
      </c>
      <c r="AN574" t="n">
        <v>0</v>
      </c>
      <c r="AO574" t="n">
        <v>0</v>
      </c>
      <c r="AP574" t="inlineStr">
        <is>
          <t>No</t>
        </is>
      </c>
      <c r="AQ574" t="inlineStr">
        <is>
          <t>Yes</t>
        </is>
      </c>
      <c r="AR574">
        <f>HYPERLINK("http://catalog.hathitrust.org/Record/004693317","HathiTrust Record")</f>
        <v/>
      </c>
      <c r="AS574">
        <f>HYPERLINK("https://creighton-primo.hosted.exlibrisgroup.com/primo-explore/search?tab=default_tab&amp;search_scope=EVERYTHING&amp;vid=01CRU&amp;lang=en_US&amp;offset=0&amp;query=any,contains,991003742169702656","Catalog Record")</f>
        <v/>
      </c>
      <c r="AT574">
        <f>HYPERLINK("http://www.worldcat.org/oclc/1408294","WorldCat Record")</f>
        <v/>
      </c>
      <c r="AU574" t="inlineStr">
        <is>
          <t>4820374938:eng</t>
        </is>
      </c>
      <c r="AV574" t="inlineStr">
        <is>
          <t>1408294</t>
        </is>
      </c>
      <c r="AW574" t="inlineStr">
        <is>
          <t>991003742169702656</t>
        </is>
      </c>
      <c r="AX574" t="inlineStr">
        <is>
          <t>991003742169702656</t>
        </is>
      </c>
      <c r="AY574" t="inlineStr">
        <is>
          <t>2267999870002656</t>
        </is>
      </c>
      <c r="AZ574" t="inlineStr">
        <is>
          <t>BOOK</t>
        </is>
      </c>
      <c r="BC574" t="inlineStr">
        <is>
          <t>32285001030237</t>
        </is>
      </c>
      <c r="BD574" t="inlineStr">
        <is>
          <t>893611383</t>
        </is>
      </c>
    </row>
    <row r="575">
      <c r="A575" t="inlineStr">
        <is>
          <t>No</t>
        </is>
      </c>
      <c r="B575" t="inlineStr">
        <is>
          <t>ND553.S5 R437 1990</t>
        </is>
      </c>
      <c r="C575" t="inlineStr">
        <is>
          <t>0                      ND 0553000S  5                  R  437         1990</t>
        </is>
      </c>
      <c r="D575" t="inlineStr">
        <is>
          <t>Seurat : a biography / John Rewald.</t>
        </is>
      </c>
      <c r="F575" t="inlineStr">
        <is>
          <t>No</t>
        </is>
      </c>
      <c r="G575" t="inlineStr">
        <is>
          <t>1</t>
        </is>
      </c>
      <c r="H575" t="inlineStr">
        <is>
          <t>No</t>
        </is>
      </c>
      <c r="I575" t="inlineStr">
        <is>
          <t>No</t>
        </is>
      </c>
      <c r="J575" t="inlineStr">
        <is>
          <t>0</t>
        </is>
      </c>
      <c r="K575" t="inlineStr">
        <is>
          <t>Rewald, John, 1912-1994.</t>
        </is>
      </c>
      <c r="L575" t="inlineStr">
        <is>
          <t>New York : H.N. Abrams, 1990.</t>
        </is>
      </c>
      <c r="M575" t="inlineStr">
        <is>
          <t>1990</t>
        </is>
      </c>
      <c r="O575" t="inlineStr">
        <is>
          <t>eng</t>
        </is>
      </c>
      <c r="P575" t="inlineStr">
        <is>
          <t>nyu</t>
        </is>
      </c>
      <c r="R575" t="inlineStr">
        <is>
          <t xml:space="preserve">ND </t>
        </is>
      </c>
      <c r="S575" t="n">
        <v>9</v>
      </c>
      <c r="T575" t="n">
        <v>9</v>
      </c>
      <c r="U575" t="inlineStr">
        <is>
          <t>2010-04-20</t>
        </is>
      </c>
      <c r="V575" t="inlineStr">
        <is>
          <t>2010-04-20</t>
        </is>
      </c>
      <c r="W575" t="inlineStr">
        <is>
          <t>1991-06-13</t>
        </is>
      </c>
      <c r="X575" t="inlineStr">
        <is>
          <t>1991-06-13</t>
        </is>
      </c>
      <c r="Y575" t="n">
        <v>975</v>
      </c>
      <c r="Z575" t="n">
        <v>865</v>
      </c>
      <c r="AA575" t="n">
        <v>902</v>
      </c>
      <c r="AB575" t="n">
        <v>9</v>
      </c>
      <c r="AC575" t="n">
        <v>9</v>
      </c>
      <c r="AD575" t="n">
        <v>34</v>
      </c>
      <c r="AE575" t="n">
        <v>34</v>
      </c>
      <c r="AF575" t="n">
        <v>13</v>
      </c>
      <c r="AG575" t="n">
        <v>13</v>
      </c>
      <c r="AH575" t="n">
        <v>7</v>
      </c>
      <c r="AI575" t="n">
        <v>7</v>
      </c>
      <c r="AJ575" t="n">
        <v>19</v>
      </c>
      <c r="AK575" t="n">
        <v>19</v>
      </c>
      <c r="AL575" t="n">
        <v>5</v>
      </c>
      <c r="AM575" t="n">
        <v>5</v>
      </c>
      <c r="AN575" t="n">
        <v>0</v>
      </c>
      <c r="AO575" t="n">
        <v>0</v>
      </c>
      <c r="AP575" t="inlineStr">
        <is>
          <t>No</t>
        </is>
      </c>
      <c r="AQ575" t="inlineStr">
        <is>
          <t>Yes</t>
        </is>
      </c>
      <c r="AR575">
        <f>HYPERLINK("http://catalog.hathitrust.org/Record/002235099","HathiTrust Record")</f>
        <v/>
      </c>
      <c r="AS575">
        <f>HYPERLINK("https://creighton-primo.hosted.exlibrisgroup.com/primo-explore/search?tab=default_tab&amp;search_scope=EVERYTHING&amp;vid=01CRU&amp;lang=en_US&amp;offset=0&amp;query=any,contains,991001644239702656","Catalog Record")</f>
        <v/>
      </c>
      <c r="AT575">
        <f>HYPERLINK("http://www.worldcat.org/oclc/21040363","WorldCat Record")</f>
        <v/>
      </c>
      <c r="AU575" t="inlineStr">
        <is>
          <t>2260910183:eng</t>
        </is>
      </c>
      <c r="AV575" t="inlineStr">
        <is>
          <t>21040363</t>
        </is>
      </c>
      <c r="AW575" t="inlineStr">
        <is>
          <t>991001644239702656</t>
        </is>
      </c>
      <c r="AX575" t="inlineStr">
        <is>
          <t>991001644239702656</t>
        </is>
      </c>
      <c r="AY575" t="inlineStr">
        <is>
          <t>2270304150002656</t>
        </is>
      </c>
      <c r="AZ575" t="inlineStr">
        <is>
          <t>BOOK</t>
        </is>
      </c>
      <c r="BB575" t="inlineStr">
        <is>
          <t>9780810938144</t>
        </is>
      </c>
      <c r="BC575" t="inlineStr">
        <is>
          <t>32285000656164</t>
        </is>
      </c>
      <c r="BD575" t="inlineStr">
        <is>
          <t>893432971</t>
        </is>
      </c>
    </row>
    <row r="576">
      <c r="A576" t="inlineStr">
        <is>
          <t>No</t>
        </is>
      </c>
      <c r="B576" t="inlineStr">
        <is>
          <t>ND553.S5 R5 1969</t>
        </is>
      </c>
      <c r="C576" t="inlineStr">
        <is>
          <t>0                      ND 0553000S  5                  R  5           1969</t>
        </is>
      </c>
      <c r="D576" t="inlineStr">
        <is>
          <t>Seurat and the evolution of "La Grande Jatte."</t>
        </is>
      </c>
      <c r="F576" t="inlineStr">
        <is>
          <t>No</t>
        </is>
      </c>
      <c r="G576" t="inlineStr">
        <is>
          <t>1</t>
        </is>
      </c>
      <c r="H576" t="inlineStr">
        <is>
          <t>No</t>
        </is>
      </c>
      <c r="I576" t="inlineStr">
        <is>
          <t>No</t>
        </is>
      </c>
      <c r="J576" t="inlineStr">
        <is>
          <t>0</t>
        </is>
      </c>
      <c r="K576" t="inlineStr">
        <is>
          <t>Rich, Daniel Catton, 1904-1976.</t>
        </is>
      </c>
      <c r="L576" t="inlineStr">
        <is>
          <t>New York : Greenwood Press, [1969, c1935]</t>
        </is>
      </c>
      <c r="M576" t="inlineStr">
        <is>
          <t>1969</t>
        </is>
      </c>
      <c r="O576" t="inlineStr">
        <is>
          <t>eng</t>
        </is>
      </c>
      <c r="P576" t="inlineStr">
        <is>
          <t>nyu</t>
        </is>
      </c>
      <c r="Q576" t="inlineStr">
        <is>
          <t>Studies of meaning in art</t>
        </is>
      </c>
      <c r="R576" t="inlineStr">
        <is>
          <t xml:space="preserve">ND </t>
        </is>
      </c>
      <c r="S576" t="n">
        <v>6</v>
      </c>
      <c r="T576" t="n">
        <v>6</v>
      </c>
      <c r="U576" t="inlineStr">
        <is>
          <t>1998-03-01</t>
        </is>
      </c>
      <c r="V576" t="inlineStr">
        <is>
          <t>1998-03-01</t>
        </is>
      </c>
      <c r="W576" t="inlineStr">
        <is>
          <t>1990-05-30</t>
        </is>
      </c>
      <c r="X576" t="inlineStr">
        <is>
          <t>1990-05-30</t>
        </is>
      </c>
      <c r="Y576" t="n">
        <v>276</v>
      </c>
      <c r="Z576" t="n">
        <v>222</v>
      </c>
      <c r="AA576" t="n">
        <v>380</v>
      </c>
      <c r="AB576" t="n">
        <v>2</v>
      </c>
      <c r="AC576" t="n">
        <v>4</v>
      </c>
      <c r="AD576" t="n">
        <v>12</v>
      </c>
      <c r="AE576" t="n">
        <v>16</v>
      </c>
      <c r="AF576" t="n">
        <v>3</v>
      </c>
      <c r="AG576" t="n">
        <v>4</v>
      </c>
      <c r="AH576" t="n">
        <v>5</v>
      </c>
      <c r="AI576" t="n">
        <v>6</v>
      </c>
      <c r="AJ576" t="n">
        <v>6</v>
      </c>
      <c r="AK576" t="n">
        <v>8</v>
      </c>
      <c r="AL576" t="n">
        <v>1</v>
      </c>
      <c r="AM576" t="n">
        <v>2</v>
      </c>
      <c r="AN576" t="n">
        <v>0</v>
      </c>
      <c r="AO576" t="n">
        <v>0</v>
      </c>
      <c r="AP576" t="inlineStr">
        <is>
          <t>No</t>
        </is>
      </c>
      <c r="AQ576" t="inlineStr">
        <is>
          <t>Yes</t>
        </is>
      </c>
      <c r="AR576">
        <f>HYPERLINK("http://catalog.hathitrust.org/Record/008512558","HathiTrust Record")</f>
        <v/>
      </c>
      <c r="AS576">
        <f>HYPERLINK("https://creighton-primo.hosted.exlibrisgroup.com/primo-explore/search?tab=default_tab&amp;search_scope=EVERYTHING&amp;vid=01CRU&amp;lang=en_US&amp;offset=0&amp;query=any,contains,991000501109702656","Catalog Record")</f>
        <v/>
      </c>
      <c r="AT576">
        <f>HYPERLINK("http://www.worldcat.org/oclc/81377","WorldCat Record")</f>
        <v/>
      </c>
      <c r="AU576" t="inlineStr">
        <is>
          <t>319817954:eng</t>
        </is>
      </c>
      <c r="AV576" t="inlineStr">
        <is>
          <t>81377</t>
        </is>
      </c>
      <c r="AW576" t="inlineStr">
        <is>
          <t>991000501109702656</t>
        </is>
      </c>
      <c r="AX576" t="inlineStr">
        <is>
          <t>991000501109702656</t>
        </is>
      </c>
      <c r="AY576" t="inlineStr">
        <is>
          <t>2269807700002656</t>
        </is>
      </c>
      <c r="AZ576" t="inlineStr">
        <is>
          <t>BOOK</t>
        </is>
      </c>
      <c r="BB576" t="inlineStr">
        <is>
          <t>9780837123615</t>
        </is>
      </c>
      <c r="BC576" t="inlineStr">
        <is>
          <t>32285000159532</t>
        </is>
      </c>
      <c r="BD576" t="inlineStr">
        <is>
          <t>893884441</t>
        </is>
      </c>
    </row>
    <row r="577">
      <c r="A577" t="inlineStr">
        <is>
          <t>No</t>
        </is>
      </c>
      <c r="B577" t="inlineStr">
        <is>
          <t>ND553.S5 R8</t>
        </is>
      </c>
      <c r="C577" t="inlineStr">
        <is>
          <t>0                      ND 0553000S  5                  R  8</t>
        </is>
      </c>
      <c r="D577" t="inlineStr">
        <is>
          <t>Seurat.</t>
        </is>
      </c>
      <c r="F577" t="inlineStr">
        <is>
          <t>No</t>
        </is>
      </c>
      <c r="G577" t="inlineStr">
        <is>
          <t>1</t>
        </is>
      </c>
      <c r="H577" t="inlineStr">
        <is>
          <t>No</t>
        </is>
      </c>
      <c r="I577" t="inlineStr">
        <is>
          <t>No</t>
        </is>
      </c>
      <c r="J577" t="inlineStr">
        <is>
          <t>0</t>
        </is>
      </c>
      <c r="K577" t="inlineStr">
        <is>
          <t>Russell, John, 1919-2008.</t>
        </is>
      </c>
      <c r="L577" t="inlineStr">
        <is>
          <t>New York : F. A. Praeger, [1965]</t>
        </is>
      </c>
      <c r="M577" t="inlineStr">
        <is>
          <t>1965</t>
        </is>
      </c>
      <c r="O577" t="inlineStr">
        <is>
          <t>eng</t>
        </is>
      </c>
      <c r="P577" t="inlineStr">
        <is>
          <t>nyu</t>
        </is>
      </c>
      <c r="Q577" t="inlineStr">
        <is>
          <t>A Praeger world of art profile</t>
        </is>
      </c>
      <c r="R577" t="inlineStr">
        <is>
          <t xml:space="preserve">ND </t>
        </is>
      </c>
      <c r="S577" t="n">
        <v>2</v>
      </c>
      <c r="T577" t="n">
        <v>2</v>
      </c>
      <c r="U577" t="inlineStr">
        <is>
          <t>1998-03-01</t>
        </is>
      </c>
      <c r="V577" t="inlineStr">
        <is>
          <t>1998-03-01</t>
        </is>
      </c>
      <c r="W577" t="inlineStr">
        <is>
          <t>1994-03-08</t>
        </is>
      </c>
      <c r="X577" t="inlineStr">
        <is>
          <t>1994-03-08</t>
        </is>
      </c>
      <c r="Y577" t="n">
        <v>813</v>
      </c>
      <c r="Z577" t="n">
        <v>765</v>
      </c>
      <c r="AA577" t="n">
        <v>1079</v>
      </c>
      <c r="AB577" t="n">
        <v>6</v>
      </c>
      <c r="AC577" t="n">
        <v>8</v>
      </c>
      <c r="AD577" t="n">
        <v>23</v>
      </c>
      <c r="AE577" t="n">
        <v>32</v>
      </c>
      <c r="AF577" t="n">
        <v>7</v>
      </c>
      <c r="AG577" t="n">
        <v>11</v>
      </c>
      <c r="AH577" t="n">
        <v>6</v>
      </c>
      <c r="AI577" t="n">
        <v>7</v>
      </c>
      <c r="AJ577" t="n">
        <v>11</v>
      </c>
      <c r="AK577" t="n">
        <v>15</v>
      </c>
      <c r="AL577" t="n">
        <v>5</v>
      </c>
      <c r="AM577" t="n">
        <v>7</v>
      </c>
      <c r="AN577" t="n">
        <v>0</v>
      </c>
      <c r="AO577" t="n">
        <v>0</v>
      </c>
      <c r="AP577" t="inlineStr">
        <is>
          <t>No</t>
        </is>
      </c>
      <c r="AQ577" t="inlineStr">
        <is>
          <t>Yes</t>
        </is>
      </c>
      <c r="AR577">
        <f>HYPERLINK("http://catalog.hathitrust.org/Record/000417476","HathiTrust Record")</f>
        <v/>
      </c>
      <c r="AS577">
        <f>HYPERLINK("https://creighton-primo.hosted.exlibrisgroup.com/primo-explore/search?tab=default_tab&amp;search_scope=EVERYTHING&amp;vid=01CRU&amp;lang=en_US&amp;offset=0&amp;query=any,contains,991003633249702656","Catalog Record")</f>
        <v/>
      </c>
      <c r="AT577">
        <f>HYPERLINK("http://www.worldcat.org/oclc/1227254","WorldCat Record")</f>
        <v/>
      </c>
      <c r="AU577" t="inlineStr">
        <is>
          <t>142262531:eng</t>
        </is>
      </c>
      <c r="AV577" t="inlineStr">
        <is>
          <t>1227254</t>
        </is>
      </c>
      <c r="AW577" t="inlineStr">
        <is>
          <t>991003633249702656</t>
        </is>
      </c>
      <c r="AX577" t="inlineStr">
        <is>
          <t>991003633249702656</t>
        </is>
      </c>
      <c r="AY577" t="inlineStr">
        <is>
          <t>2268412970002656</t>
        </is>
      </c>
      <c r="AZ577" t="inlineStr">
        <is>
          <t>BOOK</t>
        </is>
      </c>
      <c r="BC577" t="inlineStr">
        <is>
          <t>32285001852598</t>
        </is>
      </c>
      <c r="BD577" t="inlineStr">
        <is>
          <t>893234385</t>
        </is>
      </c>
    </row>
    <row r="578">
      <c r="A578" t="inlineStr">
        <is>
          <t>No</t>
        </is>
      </c>
      <c r="B578" t="inlineStr">
        <is>
          <t>ND553.S7 A4 1998</t>
        </is>
      </c>
      <c r="C578" t="inlineStr">
        <is>
          <t>0                      ND 0553000S  7                  A  4           1998</t>
        </is>
      </c>
      <c r="D578" t="inlineStr">
        <is>
          <t>An expressionist in Paris : the paintings of Chaim Soutine / Norman L. Kleeblatt and Kenneth E. Silver ; with contributions by Romy Golan ... [et al.].</t>
        </is>
      </c>
      <c r="F578" t="inlineStr">
        <is>
          <t>No</t>
        </is>
      </c>
      <c r="G578" t="inlineStr">
        <is>
          <t>1</t>
        </is>
      </c>
      <c r="H578" t="inlineStr">
        <is>
          <t>No</t>
        </is>
      </c>
      <c r="I578" t="inlineStr">
        <is>
          <t>No</t>
        </is>
      </c>
      <c r="J578" t="inlineStr">
        <is>
          <t>0</t>
        </is>
      </c>
      <c r="K578" t="inlineStr">
        <is>
          <t>Kleeblatt, Norman L.</t>
        </is>
      </c>
      <c r="L578" t="inlineStr">
        <is>
          <t>Munich ; New York : Prestel, c1998.</t>
        </is>
      </c>
      <c r="M578" t="inlineStr">
        <is>
          <t>1998</t>
        </is>
      </c>
      <c r="O578" t="inlineStr">
        <is>
          <t>eng</t>
        </is>
      </c>
      <c r="P578" t="inlineStr">
        <is>
          <t xml:space="preserve">gw </t>
        </is>
      </c>
      <c r="R578" t="inlineStr">
        <is>
          <t xml:space="preserve">ND </t>
        </is>
      </c>
      <c r="S578" t="n">
        <v>1</v>
      </c>
      <c r="T578" t="n">
        <v>1</v>
      </c>
      <c r="U578" t="inlineStr">
        <is>
          <t>2000-04-06</t>
        </is>
      </c>
      <c r="V578" t="inlineStr">
        <is>
          <t>2000-04-06</t>
        </is>
      </c>
      <c r="W578" t="inlineStr">
        <is>
          <t>2000-02-10</t>
        </is>
      </c>
      <c r="X578" t="inlineStr">
        <is>
          <t>2000-02-10</t>
        </is>
      </c>
      <c r="Y578" t="n">
        <v>561</v>
      </c>
      <c r="Z578" t="n">
        <v>480</v>
      </c>
      <c r="AA578" t="n">
        <v>520</v>
      </c>
      <c r="AB578" t="n">
        <v>3</v>
      </c>
      <c r="AC578" t="n">
        <v>3</v>
      </c>
      <c r="AD578" t="n">
        <v>13</v>
      </c>
      <c r="AE578" t="n">
        <v>15</v>
      </c>
      <c r="AF578" t="n">
        <v>4</v>
      </c>
      <c r="AG578" t="n">
        <v>6</v>
      </c>
      <c r="AH578" t="n">
        <v>5</v>
      </c>
      <c r="AI578" t="n">
        <v>5</v>
      </c>
      <c r="AJ578" t="n">
        <v>8</v>
      </c>
      <c r="AK578" t="n">
        <v>9</v>
      </c>
      <c r="AL578" t="n">
        <v>1</v>
      </c>
      <c r="AM578" t="n">
        <v>1</v>
      </c>
      <c r="AN578" t="n">
        <v>0</v>
      </c>
      <c r="AO578" t="n">
        <v>0</v>
      </c>
      <c r="AP578" t="inlineStr">
        <is>
          <t>No</t>
        </is>
      </c>
      <c r="AQ578" t="inlineStr">
        <is>
          <t>Yes</t>
        </is>
      </c>
      <c r="AR578">
        <f>HYPERLINK("http://catalog.hathitrust.org/Record/003316974","HathiTrust Record")</f>
        <v/>
      </c>
      <c r="AS578">
        <f>HYPERLINK("https://creighton-primo.hosted.exlibrisgroup.com/primo-explore/search?tab=default_tab&amp;search_scope=EVERYTHING&amp;vid=01CRU&amp;lang=en_US&amp;offset=0&amp;query=any,contains,991002909539702656","Catalog Record")</f>
        <v/>
      </c>
      <c r="AT578">
        <f>HYPERLINK("http://www.worldcat.org/oclc/38468805","WorldCat Record")</f>
        <v/>
      </c>
      <c r="AU578" t="inlineStr">
        <is>
          <t>480696146:eng</t>
        </is>
      </c>
      <c r="AV578" t="inlineStr">
        <is>
          <t>38468805</t>
        </is>
      </c>
      <c r="AW578" t="inlineStr">
        <is>
          <t>991002909539702656</t>
        </is>
      </c>
      <c r="AX578" t="inlineStr">
        <is>
          <t>991002909539702656</t>
        </is>
      </c>
      <c r="AY578" t="inlineStr">
        <is>
          <t>2256261980002656</t>
        </is>
      </c>
      <c r="AZ578" t="inlineStr">
        <is>
          <t>BOOK</t>
        </is>
      </c>
      <c r="BB578" t="inlineStr">
        <is>
          <t>9783791319322</t>
        </is>
      </c>
      <c r="BC578" t="inlineStr">
        <is>
          <t>32285003661294</t>
        </is>
      </c>
      <c r="BD578" t="inlineStr">
        <is>
          <t>893317419</t>
        </is>
      </c>
    </row>
    <row r="579">
      <c r="A579" t="inlineStr">
        <is>
          <t>No</t>
        </is>
      </c>
      <c r="B579" t="inlineStr">
        <is>
          <t>ND553.S7 C3</t>
        </is>
      </c>
      <c r="C579" t="inlineStr">
        <is>
          <t>0                      ND 0553000S  7                  C  3</t>
        </is>
      </c>
      <c r="D579" t="inlineStr">
        <is>
          <t>Soutine. [Introd.] by Marcellin Castaing and [text by] Jean Leymarie. [Translated by John Ross]</t>
        </is>
      </c>
      <c r="F579" t="inlineStr">
        <is>
          <t>No</t>
        </is>
      </c>
      <c r="G579" t="inlineStr">
        <is>
          <t>1</t>
        </is>
      </c>
      <c r="H579" t="inlineStr">
        <is>
          <t>No</t>
        </is>
      </c>
      <c r="I579" t="inlineStr">
        <is>
          <t>No</t>
        </is>
      </c>
      <c r="J579" t="inlineStr">
        <is>
          <t>0</t>
        </is>
      </c>
      <c r="K579" t="inlineStr">
        <is>
          <t>Soutine, Chaim, 1893-1943.</t>
        </is>
      </c>
      <c r="L579" t="inlineStr">
        <is>
          <t>New York, Abrams, [1964]</t>
        </is>
      </c>
      <c r="M579" t="inlineStr">
        <is>
          <t>1964</t>
        </is>
      </c>
      <c r="O579" t="inlineStr">
        <is>
          <t>eng</t>
        </is>
      </c>
      <c r="P579" t="inlineStr">
        <is>
          <t>nyu</t>
        </is>
      </c>
      <c r="Q579" t="inlineStr">
        <is>
          <t>[The Library of great painters]</t>
        </is>
      </c>
      <c r="R579" t="inlineStr">
        <is>
          <t xml:space="preserve">ND </t>
        </is>
      </c>
      <c r="S579" t="n">
        <v>3</v>
      </c>
      <c r="T579" t="n">
        <v>3</v>
      </c>
      <c r="U579" t="inlineStr">
        <is>
          <t>1999-03-19</t>
        </is>
      </c>
      <c r="V579" t="inlineStr">
        <is>
          <t>1999-03-19</t>
        </is>
      </c>
      <c r="W579" t="inlineStr">
        <is>
          <t>1997-07-29</t>
        </is>
      </c>
      <c r="X579" t="inlineStr">
        <is>
          <t>1997-07-29</t>
        </is>
      </c>
      <c r="Y579" t="n">
        <v>476</v>
      </c>
      <c r="Z579" t="n">
        <v>444</v>
      </c>
      <c r="AA579" t="n">
        <v>448</v>
      </c>
      <c r="AB579" t="n">
        <v>4</v>
      </c>
      <c r="AC579" t="n">
        <v>4</v>
      </c>
      <c r="AD579" t="n">
        <v>11</v>
      </c>
      <c r="AE579" t="n">
        <v>11</v>
      </c>
      <c r="AF579" t="n">
        <v>4</v>
      </c>
      <c r="AG579" t="n">
        <v>4</v>
      </c>
      <c r="AH579" t="n">
        <v>3</v>
      </c>
      <c r="AI579" t="n">
        <v>3</v>
      </c>
      <c r="AJ579" t="n">
        <v>4</v>
      </c>
      <c r="AK579" t="n">
        <v>4</v>
      </c>
      <c r="AL579" t="n">
        <v>2</v>
      </c>
      <c r="AM579" t="n">
        <v>2</v>
      </c>
      <c r="AN579" t="n">
        <v>0</v>
      </c>
      <c r="AO579" t="n">
        <v>0</v>
      </c>
      <c r="AP579" t="inlineStr">
        <is>
          <t>No</t>
        </is>
      </c>
      <c r="AQ579" t="inlineStr">
        <is>
          <t>Yes</t>
        </is>
      </c>
      <c r="AR579">
        <f>HYPERLINK("http://catalog.hathitrust.org/Record/000610851","HathiTrust Record")</f>
        <v/>
      </c>
      <c r="AS579">
        <f>HYPERLINK("https://creighton-primo.hosted.exlibrisgroup.com/primo-explore/search?tab=default_tab&amp;search_scope=EVERYTHING&amp;vid=01CRU&amp;lang=en_US&amp;offset=0&amp;query=any,contains,991002611639702656","Catalog Record")</f>
        <v/>
      </c>
      <c r="AT579">
        <f>HYPERLINK("http://www.worldcat.org/oclc/377995","WorldCat Record")</f>
        <v/>
      </c>
      <c r="AU579" t="inlineStr">
        <is>
          <t>2070270955:eng</t>
        </is>
      </c>
      <c r="AV579" t="inlineStr">
        <is>
          <t>377995</t>
        </is>
      </c>
      <c r="AW579" t="inlineStr">
        <is>
          <t>991002611639702656</t>
        </is>
      </c>
      <c r="AX579" t="inlineStr">
        <is>
          <t>991002611639702656</t>
        </is>
      </c>
      <c r="AY579" t="inlineStr">
        <is>
          <t>2260917100002656</t>
        </is>
      </c>
      <c r="AZ579" t="inlineStr">
        <is>
          <t>BOOK</t>
        </is>
      </c>
      <c r="BC579" t="inlineStr">
        <is>
          <t>32285002968278</t>
        </is>
      </c>
      <c r="BD579" t="inlineStr">
        <is>
          <t>893880161</t>
        </is>
      </c>
    </row>
    <row r="580">
      <c r="A580" t="inlineStr">
        <is>
          <t>No</t>
        </is>
      </c>
      <c r="B580" t="inlineStr">
        <is>
          <t>ND553.S7 C6213 1979</t>
        </is>
      </c>
      <c r="C580" t="inlineStr">
        <is>
          <t>0                      ND 0553000S  7                  C  6213        1979</t>
        </is>
      </c>
      <c r="D580" t="inlineStr">
        <is>
          <t>Soutine / by Raymond Cogniat ; [translated by Eileen B. Hennessy].</t>
        </is>
      </c>
      <c r="F580" t="inlineStr">
        <is>
          <t>No</t>
        </is>
      </c>
      <c r="G580" t="inlineStr">
        <is>
          <t>1</t>
        </is>
      </c>
      <c r="H580" t="inlineStr">
        <is>
          <t>No</t>
        </is>
      </c>
      <c r="I580" t="inlineStr">
        <is>
          <t>No</t>
        </is>
      </c>
      <c r="J580" t="inlineStr">
        <is>
          <t>0</t>
        </is>
      </c>
      <c r="K580" t="inlineStr">
        <is>
          <t>Cogniat, Raymond, 1896-1977.</t>
        </is>
      </c>
      <c r="L580" t="inlineStr">
        <is>
          <t>New York : Crown, c1979.</t>
        </is>
      </c>
      <c r="M580" t="inlineStr">
        <is>
          <t>1979</t>
        </is>
      </c>
      <c r="O580" t="inlineStr">
        <is>
          <t>eng</t>
        </is>
      </c>
      <c r="P580" t="inlineStr">
        <is>
          <t>nyu</t>
        </is>
      </c>
      <c r="R580" t="inlineStr">
        <is>
          <t xml:space="preserve">ND </t>
        </is>
      </c>
      <c r="S580" t="n">
        <v>5</v>
      </c>
      <c r="T580" t="n">
        <v>5</v>
      </c>
      <c r="U580" t="inlineStr">
        <is>
          <t>1999-03-19</t>
        </is>
      </c>
      <c r="V580" t="inlineStr">
        <is>
          <t>1999-03-19</t>
        </is>
      </c>
      <c r="W580" t="inlineStr">
        <is>
          <t>1993-05-21</t>
        </is>
      </c>
      <c r="X580" t="inlineStr">
        <is>
          <t>1993-05-21</t>
        </is>
      </c>
      <c r="Y580" t="n">
        <v>32</v>
      </c>
      <c r="Z580" t="n">
        <v>29</v>
      </c>
      <c r="AA580" t="n">
        <v>446</v>
      </c>
      <c r="AB580" t="n">
        <v>1</v>
      </c>
      <c r="AC580" t="n">
        <v>3</v>
      </c>
      <c r="AD580" t="n">
        <v>2</v>
      </c>
      <c r="AE580" t="n">
        <v>16</v>
      </c>
      <c r="AF580" t="n">
        <v>0</v>
      </c>
      <c r="AG580" t="n">
        <v>6</v>
      </c>
      <c r="AH580" t="n">
        <v>1</v>
      </c>
      <c r="AI580" t="n">
        <v>4</v>
      </c>
      <c r="AJ580" t="n">
        <v>1</v>
      </c>
      <c r="AK580" t="n">
        <v>5</v>
      </c>
      <c r="AL580" t="n">
        <v>0</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HYPERLINK("https://creighton-primo.hosted.exlibrisgroup.com/primo-explore/search?tab=default_tab&amp;search_scope=EVERYTHING&amp;vid=01CRU&amp;lang=en_US&amp;offset=0&amp;query=any,contains,991000333679702656","Catalog Record")</f>
        <v/>
      </c>
      <c r="AT580">
        <f>HYPERLINK("http://www.worldcat.org/oclc/10208567","WorldCat Record")</f>
        <v/>
      </c>
      <c r="AU580" t="inlineStr">
        <is>
          <t>3881217496:eng</t>
        </is>
      </c>
      <c r="AV580" t="inlineStr">
        <is>
          <t>10208567</t>
        </is>
      </c>
      <c r="AW580" t="inlineStr">
        <is>
          <t>991000333679702656</t>
        </is>
      </c>
      <c r="AX580" t="inlineStr">
        <is>
          <t>991000333679702656</t>
        </is>
      </c>
      <c r="AY580" t="inlineStr">
        <is>
          <t>2264275810002656</t>
        </is>
      </c>
      <c r="AZ580" t="inlineStr">
        <is>
          <t>BOOK</t>
        </is>
      </c>
      <c r="BC580" t="inlineStr">
        <is>
          <t>32285001692010</t>
        </is>
      </c>
      <c r="BD580" t="inlineStr">
        <is>
          <t>893890584</t>
        </is>
      </c>
    </row>
    <row r="581">
      <c r="A581" t="inlineStr">
        <is>
          <t>No</t>
        </is>
      </c>
      <c r="B581" t="inlineStr">
        <is>
          <t>ND553.T6 A89 1992</t>
        </is>
      </c>
      <c r="C581" t="inlineStr">
        <is>
          <t>0                      ND 0553000T  6                  A  89          1992</t>
        </is>
      </c>
      <c r="D581" t="inlineStr">
        <is>
          <t>James Tissot / Russell Ash.</t>
        </is>
      </c>
      <c r="F581" t="inlineStr">
        <is>
          <t>No</t>
        </is>
      </c>
      <c r="G581" t="inlineStr">
        <is>
          <t>1</t>
        </is>
      </c>
      <c r="H581" t="inlineStr">
        <is>
          <t>No</t>
        </is>
      </c>
      <c r="I581" t="inlineStr">
        <is>
          <t>No</t>
        </is>
      </c>
      <c r="J581" t="inlineStr">
        <is>
          <t>0</t>
        </is>
      </c>
      <c r="K581" t="inlineStr">
        <is>
          <t>Ash, Russell.</t>
        </is>
      </c>
      <c r="L581" t="inlineStr">
        <is>
          <t>New York : H.N. Abrams, 1992.</t>
        </is>
      </c>
      <c r="M581" t="inlineStr">
        <is>
          <t>1992</t>
        </is>
      </c>
      <c r="O581" t="inlineStr">
        <is>
          <t>eng</t>
        </is>
      </c>
      <c r="P581" t="inlineStr">
        <is>
          <t>nyu</t>
        </is>
      </c>
      <c r="R581" t="inlineStr">
        <is>
          <t xml:space="preserve">ND </t>
        </is>
      </c>
      <c r="S581" t="n">
        <v>7</v>
      </c>
      <c r="T581" t="n">
        <v>7</v>
      </c>
      <c r="U581" t="inlineStr">
        <is>
          <t>2002-01-29</t>
        </is>
      </c>
      <c r="V581" t="inlineStr">
        <is>
          <t>2002-01-29</t>
        </is>
      </c>
      <c r="W581" t="inlineStr">
        <is>
          <t>1993-12-10</t>
        </is>
      </c>
      <c r="X581" t="inlineStr">
        <is>
          <t>1993-12-10</t>
        </is>
      </c>
      <c r="Y581" t="n">
        <v>450</v>
      </c>
      <c r="Z581" t="n">
        <v>413</v>
      </c>
      <c r="AA581" t="n">
        <v>413</v>
      </c>
      <c r="AB581" t="n">
        <v>3</v>
      </c>
      <c r="AC581" t="n">
        <v>3</v>
      </c>
      <c r="AD581" t="n">
        <v>14</v>
      </c>
      <c r="AE581" t="n">
        <v>14</v>
      </c>
      <c r="AF581" t="n">
        <v>7</v>
      </c>
      <c r="AG581" t="n">
        <v>7</v>
      </c>
      <c r="AH581" t="n">
        <v>3</v>
      </c>
      <c r="AI581" t="n">
        <v>3</v>
      </c>
      <c r="AJ581" t="n">
        <v>6</v>
      </c>
      <c r="AK581" t="n">
        <v>6</v>
      </c>
      <c r="AL581" t="n">
        <v>2</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HYPERLINK("https://creighton-primo.hosted.exlibrisgroup.com/primo-explore/search?tab=default_tab&amp;search_scope=EVERYTHING&amp;vid=01CRU&amp;lang=en_US&amp;offset=0&amp;query=any,contains,991001987299702656","Catalog Record")</f>
        <v/>
      </c>
      <c r="AT581">
        <f>HYPERLINK("http://www.worldcat.org/oclc/25246272","WorldCat Record")</f>
        <v/>
      </c>
      <c r="AU581" t="inlineStr">
        <is>
          <t>10677844547:eng</t>
        </is>
      </c>
      <c r="AV581" t="inlineStr">
        <is>
          <t>25246272</t>
        </is>
      </c>
      <c r="AW581" t="inlineStr">
        <is>
          <t>991001987299702656</t>
        </is>
      </c>
      <c r="AX581" t="inlineStr">
        <is>
          <t>991001987299702656</t>
        </is>
      </c>
      <c r="AY581" t="inlineStr">
        <is>
          <t>2256367960002656</t>
        </is>
      </c>
      <c r="AZ581" t="inlineStr">
        <is>
          <t>BOOK</t>
        </is>
      </c>
      <c r="BB581" t="inlineStr">
        <is>
          <t>9780810938649</t>
        </is>
      </c>
      <c r="BC581" t="inlineStr">
        <is>
          <t>32285001816163</t>
        </is>
      </c>
      <c r="BD581" t="inlineStr">
        <is>
          <t>893346970</t>
        </is>
      </c>
    </row>
    <row r="582">
      <c r="A582" t="inlineStr">
        <is>
          <t>No</t>
        </is>
      </c>
      <c r="B582" t="inlineStr">
        <is>
          <t>ND553.T7 F413</t>
        </is>
      </c>
      <c r="C582" t="inlineStr">
        <is>
          <t>0                      ND 0553000T  7                  F  413</t>
        </is>
      </c>
      <c r="D582" t="inlineStr">
        <is>
          <t>Toulouse-Lautrec / translated by Paul Stevenson.</t>
        </is>
      </c>
      <c r="F582" t="inlineStr">
        <is>
          <t>No</t>
        </is>
      </c>
      <c r="G582" t="inlineStr">
        <is>
          <t>1</t>
        </is>
      </c>
      <c r="H582" t="inlineStr">
        <is>
          <t>No</t>
        </is>
      </c>
      <c r="I582" t="inlineStr">
        <is>
          <t>No</t>
        </is>
      </c>
      <c r="J582" t="inlineStr">
        <is>
          <t>0</t>
        </is>
      </c>
      <c r="K582" t="inlineStr">
        <is>
          <t>Fermigier, André.</t>
        </is>
      </c>
      <c r="L582" t="inlineStr">
        <is>
          <t>New York : Praeger, [1969]</t>
        </is>
      </c>
      <c r="M582" t="inlineStr">
        <is>
          <t>1969</t>
        </is>
      </c>
      <c r="O582" t="inlineStr">
        <is>
          <t>eng</t>
        </is>
      </c>
      <c r="P582" t="inlineStr">
        <is>
          <t>nyu</t>
        </is>
      </c>
      <c r="Q582" t="inlineStr">
        <is>
          <t>A Praeger world of art profile</t>
        </is>
      </c>
      <c r="R582" t="inlineStr">
        <is>
          <t xml:space="preserve">ND </t>
        </is>
      </c>
      <c r="S582" t="n">
        <v>13</v>
      </c>
      <c r="T582" t="n">
        <v>13</v>
      </c>
      <c r="U582" t="inlineStr">
        <is>
          <t>2005-10-24</t>
        </is>
      </c>
      <c r="V582" t="inlineStr">
        <is>
          <t>2005-10-24</t>
        </is>
      </c>
      <c r="W582" t="inlineStr">
        <is>
          <t>1992-06-30</t>
        </is>
      </c>
      <c r="X582" t="inlineStr">
        <is>
          <t>1992-06-30</t>
        </is>
      </c>
      <c r="Y582" t="n">
        <v>588</v>
      </c>
      <c r="Z582" t="n">
        <v>551</v>
      </c>
      <c r="AA582" t="n">
        <v>563</v>
      </c>
      <c r="AB582" t="n">
        <v>6</v>
      </c>
      <c r="AC582" t="n">
        <v>6</v>
      </c>
      <c r="AD582" t="n">
        <v>18</v>
      </c>
      <c r="AE582" t="n">
        <v>18</v>
      </c>
      <c r="AF582" t="n">
        <v>5</v>
      </c>
      <c r="AG582" t="n">
        <v>5</v>
      </c>
      <c r="AH582" t="n">
        <v>4</v>
      </c>
      <c r="AI582" t="n">
        <v>4</v>
      </c>
      <c r="AJ582" t="n">
        <v>8</v>
      </c>
      <c r="AK582" t="n">
        <v>8</v>
      </c>
      <c r="AL582" t="n">
        <v>5</v>
      </c>
      <c r="AM582" t="n">
        <v>5</v>
      </c>
      <c r="AN582" t="n">
        <v>0</v>
      </c>
      <c r="AO582" t="n">
        <v>0</v>
      </c>
      <c r="AP582" t="inlineStr">
        <is>
          <t>No</t>
        </is>
      </c>
      <c r="AQ582" t="inlineStr">
        <is>
          <t>Yes</t>
        </is>
      </c>
      <c r="AR582">
        <f>HYPERLINK("http://catalog.hathitrust.org/Record/000417610","HathiTrust Record")</f>
        <v/>
      </c>
      <c r="AS582">
        <f>HYPERLINK("https://creighton-primo.hosted.exlibrisgroup.com/primo-explore/search?tab=default_tab&amp;search_scope=EVERYTHING&amp;vid=01CRU&amp;lang=en_US&amp;offset=0&amp;query=any,contains,991000103099702656","Catalog Record")</f>
        <v/>
      </c>
      <c r="AT582">
        <f>HYPERLINK("http://www.worldcat.org/oclc/45312","WorldCat Record")</f>
        <v/>
      </c>
      <c r="AU582" t="inlineStr">
        <is>
          <t>1214721:eng</t>
        </is>
      </c>
      <c r="AV582" t="inlineStr">
        <is>
          <t>45312</t>
        </is>
      </c>
      <c r="AW582" t="inlineStr">
        <is>
          <t>991000103099702656</t>
        </is>
      </c>
      <c r="AX582" t="inlineStr">
        <is>
          <t>991000103099702656</t>
        </is>
      </c>
      <c r="AY582" t="inlineStr">
        <is>
          <t>2261589520002656</t>
        </is>
      </c>
      <c r="AZ582" t="inlineStr">
        <is>
          <t>BOOK</t>
        </is>
      </c>
      <c r="BC582" t="inlineStr">
        <is>
          <t>32285001145944</t>
        </is>
      </c>
      <c r="BD582" t="inlineStr">
        <is>
          <t>893790237</t>
        </is>
      </c>
    </row>
    <row r="583">
      <c r="A583" t="inlineStr">
        <is>
          <t>No</t>
        </is>
      </c>
      <c r="B583" t="inlineStr">
        <is>
          <t>ND553.T7 H39 1997</t>
        </is>
      </c>
      <c r="C583" t="inlineStr">
        <is>
          <t>0                      ND 0553000T  7                  H  39          1997</t>
        </is>
      </c>
      <c r="D583" t="inlineStr">
        <is>
          <t>Toulouse-Lautrec : the soul of Montmartre / Reinhold Heller.</t>
        </is>
      </c>
      <c r="F583" t="inlineStr">
        <is>
          <t>No</t>
        </is>
      </c>
      <c r="G583" t="inlineStr">
        <is>
          <t>1</t>
        </is>
      </c>
      <c r="H583" t="inlineStr">
        <is>
          <t>No</t>
        </is>
      </c>
      <c r="I583" t="inlineStr">
        <is>
          <t>No</t>
        </is>
      </c>
      <c r="J583" t="inlineStr">
        <is>
          <t>0</t>
        </is>
      </c>
      <c r="K583" t="inlineStr">
        <is>
          <t>Heller, Reinhold.</t>
        </is>
      </c>
      <c r="L583" t="inlineStr">
        <is>
          <t>Munich ; New York : Prestel, c1997.</t>
        </is>
      </c>
      <c r="M583" t="inlineStr">
        <is>
          <t>1997</t>
        </is>
      </c>
      <c r="O583" t="inlineStr">
        <is>
          <t>eng</t>
        </is>
      </c>
      <c r="P583" t="inlineStr">
        <is>
          <t xml:space="preserve">gw </t>
        </is>
      </c>
      <c r="Q583" t="inlineStr">
        <is>
          <t>Pegasus library</t>
        </is>
      </c>
      <c r="R583" t="inlineStr">
        <is>
          <t xml:space="preserve">ND </t>
        </is>
      </c>
      <c r="S583" t="n">
        <v>7</v>
      </c>
      <c r="T583" t="n">
        <v>7</v>
      </c>
      <c r="U583" t="inlineStr">
        <is>
          <t>2005-10-28</t>
        </is>
      </c>
      <c r="V583" t="inlineStr">
        <is>
          <t>2005-10-28</t>
        </is>
      </c>
      <c r="W583" t="inlineStr">
        <is>
          <t>1998-05-19</t>
        </is>
      </c>
      <c r="X583" t="inlineStr">
        <is>
          <t>1998-05-19</t>
        </is>
      </c>
      <c r="Y583" t="n">
        <v>450</v>
      </c>
      <c r="Z583" t="n">
        <v>375</v>
      </c>
      <c r="AA583" t="n">
        <v>378</v>
      </c>
      <c r="AB583" t="n">
        <v>3</v>
      </c>
      <c r="AC583" t="n">
        <v>3</v>
      </c>
      <c r="AD583" t="n">
        <v>13</v>
      </c>
      <c r="AE583" t="n">
        <v>13</v>
      </c>
      <c r="AF583" t="n">
        <v>2</v>
      </c>
      <c r="AG583" t="n">
        <v>2</v>
      </c>
      <c r="AH583" t="n">
        <v>5</v>
      </c>
      <c r="AI583" t="n">
        <v>5</v>
      </c>
      <c r="AJ583" t="n">
        <v>6</v>
      </c>
      <c r="AK583" t="n">
        <v>6</v>
      </c>
      <c r="AL583" t="n">
        <v>2</v>
      </c>
      <c r="AM583" t="n">
        <v>2</v>
      </c>
      <c r="AN583" t="n">
        <v>0</v>
      </c>
      <c r="AO583" t="n">
        <v>0</v>
      </c>
      <c r="AP583" t="inlineStr">
        <is>
          <t>No</t>
        </is>
      </c>
      <c r="AQ583" t="inlineStr">
        <is>
          <t>Yes</t>
        </is>
      </c>
      <c r="AR583">
        <f>HYPERLINK("http://catalog.hathitrust.org/Record/003957621","HathiTrust Record")</f>
        <v/>
      </c>
      <c r="AS583">
        <f>HYPERLINK("https://creighton-primo.hosted.exlibrisgroup.com/primo-explore/search?tab=default_tab&amp;search_scope=EVERYTHING&amp;vid=01CRU&amp;lang=en_US&amp;offset=0&amp;query=any,contains,991002767639702656","Catalog Record")</f>
        <v/>
      </c>
      <c r="AT583">
        <f>HYPERLINK("http://www.worldcat.org/oclc/36315944","WorldCat Record")</f>
        <v/>
      </c>
      <c r="AU583" t="inlineStr">
        <is>
          <t>898242817:eng</t>
        </is>
      </c>
      <c r="AV583" t="inlineStr">
        <is>
          <t>36315944</t>
        </is>
      </c>
      <c r="AW583" t="inlineStr">
        <is>
          <t>991002767639702656</t>
        </is>
      </c>
      <c r="AX583" t="inlineStr">
        <is>
          <t>991002767639702656</t>
        </is>
      </c>
      <c r="AY583" t="inlineStr">
        <is>
          <t>2264976910002656</t>
        </is>
      </c>
      <c r="AZ583" t="inlineStr">
        <is>
          <t>BOOK</t>
        </is>
      </c>
      <c r="BB583" t="inlineStr">
        <is>
          <t>9783791317397</t>
        </is>
      </c>
      <c r="BC583" t="inlineStr">
        <is>
          <t>32285003410221</t>
        </is>
      </c>
      <c r="BD583" t="inlineStr">
        <is>
          <t>893610267</t>
        </is>
      </c>
    </row>
    <row r="584">
      <c r="A584" t="inlineStr">
        <is>
          <t>No</t>
        </is>
      </c>
      <c r="B584" t="inlineStr">
        <is>
          <t>ND553.T7 H783 1964a</t>
        </is>
      </c>
      <c r="C584" t="inlineStr">
        <is>
          <t>0                      ND 0553000T  7                  H  783         1964a</t>
        </is>
      </c>
      <c r="D584" t="inlineStr">
        <is>
          <t>Lautrec by Lautrec / Ph. Huisman, M. G. Dortu. ; translated and edited by Corinne Bellow.</t>
        </is>
      </c>
      <c r="F584" t="inlineStr">
        <is>
          <t>No</t>
        </is>
      </c>
      <c r="G584" t="inlineStr">
        <is>
          <t>1</t>
        </is>
      </c>
      <c r="H584" t="inlineStr">
        <is>
          <t>No</t>
        </is>
      </c>
      <c r="I584" t="inlineStr">
        <is>
          <t>No</t>
        </is>
      </c>
      <c r="J584" t="inlineStr">
        <is>
          <t>0</t>
        </is>
      </c>
      <c r="K584" t="inlineStr">
        <is>
          <t>Huisman, Philippe.</t>
        </is>
      </c>
      <c r="L584" t="inlineStr">
        <is>
          <t>New York : Galahad Books, c1964.</t>
        </is>
      </c>
      <c r="M584" t="inlineStr">
        <is>
          <t>1964</t>
        </is>
      </c>
      <c r="O584" t="inlineStr">
        <is>
          <t>eng</t>
        </is>
      </c>
      <c r="P584" t="inlineStr">
        <is>
          <t>nyu</t>
        </is>
      </c>
      <c r="R584" t="inlineStr">
        <is>
          <t xml:space="preserve">ND </t>
        </is>
      </c>
      <c r="S584" t="n">
        <v>3</v>
      </c>
      <c r="T584" t="n">
        <v>3</v>
      </c>
      <c r="U584" t="inlineStr">
        <is>
          <t>2005-10-24</t>
        </is>
      </c>
      <c r="V584" t="inlineStr">
        <is>
          <t>2005-10-24</t>
        </is>
      </c>
      <c r="W584" t="inlineStr">
        <is>
          <t>1998-06-24</t>
        </is>
      </c>
      <c r="X584" t="inlineStr">
        <is>
          <t>1998-06-24</t>
        </is>
      </c>
      <c r="Y584" t="n">
        <v>443</v>
      </c>
      <c r="Z584" t="n">
        <v>415</v>
      </c>
      <c r="AA584" t="n">
        <v>1199</v>
      </c>
      <c r="AB584" t="n">
        <v>4</v>
      </c>
      <c r="AC584" t="n">
        <v>9</v>
      </c>
      <c r="AD584" t="n">
        <v>11</v>
      </c>
      <c r="AE584" t="n">
        <v>32</v>
      </c>
      <c r="AF584" t="n">
        <v>5</v>
      </c>
      <c r="AG584" t="n">
        <v>15</v>
      </c>
      <c r="AH584" t="n">
        <v>0</v>
      </c>
      <c r="AI584" t="n">
        <v>5</v>
      </c>
      <c r="AJ584" t="n">
        <v>7</v>
      </c>
      <c r="AK584" t="n">
        <v>16</v>
      </c>
      <c r="AL584" t="n">
        <v>1</v>
      </c>
      <c r="AM584" t="n">
        <v>5</v>
      </c>
      <c r="AN584" t="n">
        <v>0</v>
      </c>
      <c r="AO584" t="n">
        <v>0</v>
      </c>
      <c r="AP584" t="inlineStr">
        <is>
          <t>No</t>
        </is>
      </c>
      <c r="AQ584" t="inlineStr">
        <is>
          <t>Yes</t>
        </is>
      </c>
      <c r="AR584">
        <f>HYPERLINK("http://catalog.hathitrust.org/Record/009906041","HathiTrust Record")</f>
        <v/>
      </c>
      <c r="AS584">
        <f>HYPERLINK("https://creighton-primo.hosted.exlibrisgroup.com/primo-explore/search?tab=default_tab&amp;search_scope=EVERYTHING&amp;vid=01CRU&amp;lang=en_US&amp;offset=0&amp;query=any,contains,991004152279702656","Catalog Record")</f>
        <v/>
      </c>
      <c r="AT584">
        <f>HYPERLINK("http://www.worldcat.org/oclc/2528147","WorldCat Record")</f>
        <v/>
      </c>
      <c r="AU584" t="inlineStr">
        <is>
          <t>3855287023:eng</t>
        </is>
      </c>
      <c r="AV584" t="inlineStr">
        <is>
          <t>2528147</t>
        </is>
      </c>
      <c r="AW584" t="inlineStr">
        <is>
          <t>991004152279702656</t>
        </is>
      </c>
      <c r="AX584" t="inlineStr">
        <is>
          <t>991004152279702656</t>
        </is>
      </c>
      <c r="AY584" t="inlineStr">
        <is>
          <t>2272260990002656</t>
        </is>
      </c>
      <c r="AZ584" t="inlineStr">
        <is>
          <t>BOOK</t>
        </is>
      </c>
      <c r="BB584" t="inlineStr">
        <is>
          <t>9780883653609</t>
        </is>
      </c>
      <c r="BC584" t="inlineStr">
        <is>
          <t>32285002968294</t>
        </is>
      </c>
      <c r="BD584" t="inlineStr">
        <is>
          <t>893235110</t>
        </is>
      </c>
    </row>
    <row r="585">
      <c r="A585" t="inlineStr">
        <is>
          <t>No</t>
        </is>
      </c>
      <c r="B585" t="inlineStr">
        <is>
          <t>ND553.T7 M27</t>
        </is>
      </c>
      <c r="C585" t="inlineStr">
        <is>
          <t>0                      ND 0553000T  7                  M  27</t>
        </is>
      </c>
      <c r="D585" t="inlineStr">
        <is>
          <t>Toulouse-Lautrec / Gerstle Mack.</t>
        </is>
      </c>
      <c r="F585" t="inlineStr">
        <is>
          <t>No</t>
        </is>
      </c>
      <c r="G585" t="inlineStr">
        <is>
          <t>1</t>
        </is>
      </c>
      <c r="H585" t="inlineStr">
        <is>
          <t>No</t>
        </is>
      </c>
      <c r="I585" t="inlineStr">
        <is>
          <t>No</t>
        </is>
      </c>
      <c r="J585" t="inlineStr">
        <is>
          <t>0</t>
        </is>
      </c>
      <c r="K585" t="inlineStr">
        <is>
          <t>Mack, Gerstle, 1894-1983.</t>
        </is>
      </c>
      <c r="L585" t="inlineStr">
        <is>
          <t>New York : A. A. Knopf, 1949 [c1938]</t>
        </is>
      </c>
      <c r="M585" t="inlineStr">
        <is>
          <t>1949</t>
        </is>
      </c>
      <c r="O585" t="inlineStr">
        <is>
          <t>eng</t>
        </is>
      </c>
      <c r="P585" t="inlineStr">
        <is>
          <t>___</t>
        </is>
      </c>
      <c r="R585" t="inlineStr">
        <is>
          <t xml:space="preserve">ND </t>
        </is>
      </c>
      <c r="S585" t="n">
        <v>2</v>
      </c>
      <c r="T585" t="n">
        <v>2</v>
      </c>
      <c r="U585" t="inlineStr">
        <is>
          <t>2005-10-24</t>
        </is>
      </c>
      <c r="V585" t="inlineStr">
        <is>
          <t>2005-10-24</t>
        </is>
      </c>
      <c r="W585" t="inlineStr">
        <is>
          <t>1993-05-21</t>
        </is>
      </c>
      <c r="X585" t="inlineStr">
        <is>
          <t>1993-05-21</t>
        </is>
      </c>
      <c r="Y585" t="n">
        <v>82</v>
      </c>
      <c r="Z585" t="n">
        <v>79</v>
      </c>
      <c r="AA585" t="n">
        <v>911</v>
      </c>
      <c r="AB585" t="n">
        <v>1</v>
      </c>
      <c r="AC585" t="n">
        <v>5</v>
      </c>
      <c r="AD585" t="n">
        <v>4</v>
      </c>
      <c r="AE585" t="n">
        <v>33</v>
      </c>
      <c r="AF585" t="n">
        <v>1</v>
      </c>
      <c r="AG585" t="n">
        <v>14</v>
      </c>
      <c r="AH585" t="n">
        <v>1</v>
      </c>
      <c r="AI585" t="n">
        <v>5</v>
      </c>
      <c r="AJ585" t="n">
        <v>3</v>
      </c>
      <c r="AK585" t="n">
        <v>19</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HYPERLINK("https://creighton-primo.hosted.exlibrisgroup.com/primo-explore/search?tab=default_tab&amp;search_scope=EVERYTHING&amp;vid=01CRU&amp;lang=en_US&amp;offset=0&amp;query=any,contains,991001559019702656","Catalog Record")</f>
        <v/>
      </c>
      <c r="AT585">
        <f>HYPERLINK("http://www.worldcat.org/oclc/232672","WorldCat Record")</f>
        <v/>
      </c>
      <c r="AU585" t="inlineStr">
        <is>
          <t>1847929683:eng</t>
        </is>
      </c>
      <c r="AV585" t="inlineStr">
        <is>
          <t>232672</t>
        </is>
      </c>
      <c r="AW585" t="inlineStr">
        <is>
          <t>991001559019702656</t>
        </is>
      </c>
      <c r="AX585" t="inlineStr">
        <is>
          <t>991001559019702656</t>
        </is>
      </c>
      <c r="AY585" t="inlineStr">
        <is>
          <t>2258552740002656</t>
        </is>
      </c>
      <c r="AZ585" t="inlineStr">
        <is>
          <t>BOOK</t>
        </is>
      </c>
      <c r="BC585" t="inlineStr">
        <is>
          <t>32285001692036</t>
        </is>
      </c>
      <c r="BD585" t="inlineStr">
        <is>
          <t>893608944</t>
        </is>
      </c>
    </row>
    <row r="586">
      <c r="A586" t="inlineStr">
        <is>
          <t>No</t>
        </is>
      </c>
      <c r="B586" t="inlineStr">
        <is>
          <t>ND553.T7 S97 1962</t>
        </is>
      </c>
      <c r="C586" t="inlineStr">
        <is>
          <t>0                      ND 0553000T  7                  S  97          1962</t>
        </is>
      </c>
      <c r="D586" t="inlineStr">
        <is>
          <t>Lautrec / by Denys Sutton.</t>
        </is>
      </c>
      <c r="F586" t="inlineStr">
        <is>
          <t>No</t>
        </is>
      </c>
      <c r="G586" t="inlineStr">
        <is>
          <t>1</t>
        </is>
      </c>
      <c r="H586" t="inlineStr">
        <is>
          <t>No</t>
        </is>
      </c>
      <c r="I586" t="inlineStr">
        <is>
          <t>No</t>
        </is>
      </c>
      <c r="J586" t="inlineStr">
        <is>
          <t>0</t>
        </is>
      </c>
      <c r="K586" t="inlineStr">
        <is>
          <t>Toulouse-Lautrec, Henri de, 1864-1901.</t>
        </is>
      </c>
      <c r="L586" t="inlineStr">
        <is>
          <t>London : Spring Books, c1962</t>
        </is>
      </c>
      <c r="M586" t="inlineStr">
        <is>
          <t>1962</t>
        </is>
      </c>
      <c r="O586" t="inlineStr">
        <is>
          <t>eng</t>
        </is>
      </c>
      <c r="P586" t="inlineStr">
        <is>
          <t>enk</t>
        </is>
      </c>
      <c r="Q586" t="inlineStr">
        <is>
          <t>Spring art books</t>
        </is>
      </c>
      <c r="R586" t="inlineStr">
        <is>
          <t xml:space="preserve">ND </t>
        </is>
      </c>
      <c r="S586" t="n">
        <v>11</v>
      </c>
      <c r="T586" t="n">
        <v>11</v>
      </c>
      <c r="U586" t="inlineStr">
        <is>
          <t>2005-10-06</t>
        </is>
      </c>
      <c r="V586" t="inlineStr">
        <is>
          <t>2005-10-06</t>
        </is>
      </c>
      <c r="W586" t="inlineStr">
        <is>
          <t>1994-06-20</t>
        </is>
      </c>
      <c r="X586" t="inlineStr">
        <is>
          <t>1994-06-20</t>
        </is>
      </c>
      <c r="Y586" t="n">
        <v>304</v>
      </c>
      <c r="Z586" t="n">
        <v>281</v>
      </c>
      <c r="AA586" t="n">
        <v>941</v>
      </c>
      <c r="AB586" t="n">
        <v>3</v>
      </c>
      <c r="AC586" t="n">
        <v>5</v>
      </c>
      <c r="AD586" t="n">
        <v>7</v>
      </c>
      <c r="AE586" t="n">
        <v>23</v>
      </c>
      <c r="AF586" t="n">
        <v>2</v>
      </c>
      <c r="AG586" t="n">
        <v>13</v>
      </c>
      <c r="AH586" t="n">
        <v>1</v>
      </c>
      <c r="AI586" t="n">
        <v>3</v>
      </c>
      <c r="AJ586" t="n">
        <v>3</v>
      </c>
      <c r="AK586" t="n">
        <v>10</v>
      </c>
      <c r="AL586" t="n">
        <v>2</v>
      </c>
      <c r="AM586" t="n">
        <v>3</v>
      </c>
      <c r="AN586" t="n">
        <v>0</v>
      </c>
      <c r="AO586" t="n">
        <v>0</v>
      </c>
      <c r="AP586" t="inlineStr">
        <is>
          <t>No</t>
        </is>
      </c>
      <c r="AQ586" t="inlineStr">
        <is>
          <t>Yes</t>
        </is>
      </c>
      <c r="AR586">
        <f>HYPERLINK("http://catalog.hathitrust.org/Record/000417540","HathiTrust Record")</f>
        <v/>
      </c>
      <c r="AS586">
        <f>HYPERLINK("https://creighton-primo.hosted.exlibrisgroup.com/primo-explore/search?tab=default_tab&amp;search_scope=EVERYTHING&amp;vid=01CRU&amp;lang=en_US&amp;offset=0&amp;query=any,contains,991000776829702656","Catalog Record")</f>
        <v/>
      </c>
      <c r="AT586">
        <f>HYPERLINK("http://www.worldcat.org/oclc/519196","WorldCat Record")</f>
        <v/>
      </c>
      <c r="AU586" t="inlineStr">
        <is>
          <t>3758492513:eng</t>
        </is>
      </c>
      <c r="AV586" t="inlineStr">
        <is>
          <t>519196</t>
        </is>
      </c>
      <c r="AW586" t="inlineStr">
        <is>
          <t>991000776829702656</t>
        </is>
      </c>
      <c r="AX586" t="inlineStr">
        <is>
          <t>991000776829702656</t>
        </is>
      </c>
      <c r="AY586" t="inlineStr">
        <is>
          <t>2260654180002656</t>
        </is>
      </c>
      <c r="AZ586" t="inlineStr">
        <is>
          <t>BOOK</t>
        </is>
      </c>
      <c r="BC586" t="inlineStr">
        <is>
          <t>32285001916419</t>
        </is>
      </c>
      <c r="BD586" t="inlineStr">
        <is>
          <t>893690020</t>
        </is>
      </c>
    </row>
    <row r="587">
      <c r="A587" t="inlineStr">
        <is>
          <t>No</t>
        </is>
      </c>
      <c r="B587" t="inlineStr">
        <is>
          <t>ND553.T7 T67 1992</t>
        </is>
      </c>
      <c r="C587" t="inlineStr">
        <is>
          <t>0                      ND 0553000T  7                  T  67          1992</t>
        </is>
      </c>
      <c r="D587" t="inlineStr">
        <is>
          <t>Toulouse-Lautrec : a retrospective / edited by Gale B. Murray.</t>
        </is>
      </c>
      <c r="F587" t="inlineStr">
        <is>
          <t>No</t>
        </is>
      </c>
      <c r="G587" t="inlineStr">
        <is>
          <t>1</t>
        </is>
      </c>
      <c r="H587" t="inlineStr">
        <is>
          <t>No</t>
        </is>
      </c>
      <c r="I587" t="inlineStr">
        <is>
          <t>No</t>
        </is>
      </c>
      <c r="J587" t="inlineStr">
        <is>
          <t>0</t>
        </is>
      </c>
      <c r="L587" t="inlineStr">
        <is>
          <t>New York : Hugh Lauter Levin Associates : Distributed by Macmillan, c1992.</t>
        </is>
      </c>
      <c r="M587" t="inlineStr">
        <is>
          <t>1992</t>
        </is>
      </c>
      <c r="O587" t="inlineStr">
        <is>
          <t>eng</t>
        </is>
      </c>
      <c r="P587" t="inlineStr">
        <is>
          <t>nyu</t>
        </is>
      </c>
      <c r="R587" t="inlineStr">
        <is>
          <t xml:space="preserve">ND </t>
        </is>
      </c>
      <c r="S587" t="n">
        <v>6</v>
      </c>
      <c r="T587" t="n">
        <v>6</v>
      </c>
      <c r="U587" t="inlineStr">
        <is>
          <t>2005-10-24</t>
        </is>
      </c>
      <c r="V587" t="inlineStr">
        <is>
          <t>2005-10-24</t>
        </is>
      </c>
      <c r="W587" t="inlineStr">
        <is>
          <t>1994-04-13</t>
        </is>
      </c>
      <c r="X587" t="inlineStr">
        <is>
          <t>1994-04-13</t>
        </is>
      </c>
      <c r="Y587" t="n">
        <v>227</v>
      </c>
      <c r="Z587" t="n">
        <v>206</v>
      </c>
      <c r="AA587" t="n">
        <v>236</v>
      </c>
      <c r="AB587" t="n">
        <v>4</v>
      </c>
      <c r="AC587" t="n">
        <v>4</v>
      </c>
      <c r="AD587" t="n">
        <v>11</v>
      </c>
      <c r="AE587" t="n">
        <v>12</v>
      </c>
      <c r="AF587" t="n">
        <v>5</v>
      </c>
      <c r="AG587" t="n">
        <v>5</v>
      </c>
      <c r="AH587" t="n">
        <v>2</v>
      </c>
      <c r="AI587" t="n">
        <v>2</v>
      </c>
      <c r="AJ587" t="n">
        <v>4</v>
      </c>
      <c r="AK587" t="n">
        <v>5</v>
      </c>
      <c r="AL587" t="n">
        <v>3</v>
      </c>
      <c r="AM587" t="n">
        <v>3</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HYPERLINK("https://creighton-primo.hosted.exlibrisgroup.com/primo-explore/search?tab=default_tab&amp;search_scope=EVERYTHING&amp;vid=01CRU&amp;lang=en_US&amp;offset=0&amp;query=any,contains,991002110489702656","Catalog Record")</f>
        <v/>
      </c>
      <c r="AT587">
        <f>HYPERLINK("http://www.worldcat.org/oclc/27045166","WorldCat Record")</f>
        <v/>
      </c>
      <c r="AU587" t="inlineStr">
        <is>
          <t>2261046656:eng</t>
        </is>
      </c>
      <c r="AV587" t="inlineStr">
        <is>
          <t>27045166</t>
        </is>
      </c>
      <c r="AW587" t="inlineStr">
        <is>
          <t>991002110489702656</t>
        </is>
      </c>
      <c r="AX587" t="inlineStr">
        <is>
          <t>991002110489702656</t>
        </is>
      </c>
      <c r="AY587" t="inlineStr">
        <is>
          <t>2266453140002656</t>
        </is>
      </c>
      <c r="AZ587" t="inlineStr">
        <is>
          <t>BOOK</t>
        </is>
      </c>
      <c r="BB587" t="inlineStr">
        <is>
          <t>9780883634929</t>
        </is>
      </c>
      <c r="BC587" t="inlineStr">
        <is>
          <t>32285001876134</t>
        </is>
      </c>
      <c r="BD587" t="inlineStr">
        <is>
          <t>893898396</t>
        </is>
      </c>
    </row>
    <row r="588">
      <c r="A588" t="inlineStr">
        <is>
          <t>No</t>
        </is>
      </c>
      <c r="B588" t="inlineStr">
        <is>
          <t>ND553.V35 D513</t>
        </is>
      </c>
      <c r="C588" t="inlineStr">
        <is>
          <t>0                      ND 0553000V  35                 D  513</t>
        </is>
      </c>
      <c r="D588" t="inlineStr">
        <is>
          <t>Vasarely / [translated from the French by Eileen B. Hennessy]</t>
        </is>
      </c>
      <c r="F588" t="inlineStr">
        <is>
          <t>No</t>
        </is>
      </c>
      <c r="G588" t="inlineStr">
        <is>
          <t>1</t>
        </is>
      </c>
      <c r="H588" t="inlineStr">
        <is>
          <t>No</t>
        </is>
      </c>
      <c r="I588" t="inlineStr">
        <is>
          <t>No</t>
        </is>
      </c>
      <c r="J588" t="inlineStr">
        <is>
          <t>0</t>
        </is>
      </c>
      <c r="K588" t="inlineStr">
        <is>
          <t>Diehl, Gaston.</t>
        </is>
      </c>
      <c r="L588" t="inlineStr">
        <is>
          <t>New York : Crown Publishers, [1972]</t>
        </is>
      </c>
      <c r="M588" t="inlineStr">
        <is>
          <t>1972</t>
        </is>
      </c>
      <c r="O588" t="inlineStr">
        <is>
          <t>eng</t>
        </is>
      </c>
      <c r="P588" t="inlineStr">
        <is>
          <t>nyu</t>
        </is>
      </c>
      <c r="R588" t="inlineStr">
        <is>
          <t xml:space="preserve">ND </t>
        </is>
      </c>
      <c r="S588" t="n">
        <v>1</v>
      </c>
      <c r="T588" t="n">
        <v>1</v>
      </c>
      <c r="U588" t="inlineStr">
        <is>
          <t>2002-03-13</t>
        </is>
      </c>
      <c r="V588" t="inlineStr">
        <is>
          <t>2002-03-13</t>
        </is>
      </c>
      <c r="W588" t="inlineStr">
        <is>
          <t>1993-03-29</t>
        </is>
      </c>
      <c r="X588" t="inlineStr">
        <is>
          <t>1993-03-29</t>
        </is>
      </c>
      <c r="Y588" t="n">
        <v>397</v>
      </c>
      <c r="Z588" t="n">
        <v>338</v>
      </c>
      <c r="AA588" t="n">
        <v>344</v>
      </c>
      <c r="AB588" t="n">
        <v>3</v>
      </c>
      <c r="AC588" t="n">
        <v>3</v>
      </c>
      <c r="AD588" t="n">
        <v>9</v>
      </c>
      <c r="AE588" t="n">
        <v>9</v>
      </c>
      <c r="AF588" t="n">
        <v>2</v>
      </c>
      <c r="AG588" t="n">
        <v>2</v>
      </c>
      <c r="AH588" t="n">
        <v>2</v>
      </c>
      <c r="AI588" t="n">
        <v>2</v>
      </c>
      <c r="AJ588" t="n">
        <v>4</v>
      </c>
      <c r="AK588" t="n">
        <v>4</v>
      </c>
      <c r="AL588" t="n">
        <v>2</v>
      </c>
      <c r="AM588" t="n">
        <v>2</v>
      </c>
      <c r="AN588" t="n">
        <v>0</v>
      </c>
      <c r="AO588" t="n">
        <v>0</v>
      </c>
      <c r="AP588" t="inlineStr">
        <is>
          <t>No</t>
        </is>
      </c>
      <c r="AQ588" t="inlineStr">
        <is>
          <t>Yes</t>
        </is>
      </c>
      <c r="AR588">
        <f>HYPERLINK("http://catalog.hathitrust.org/Record/000006383","HathiTrust Record")</f>
        <v/>
      </c>
      <c r="AS588">
        <f>HYPERLINK("https://creighton-primo.hosted.exlibrisgroup.com/primo-explore/search?tab=default_tab&amp;search_scope=EVERYTHING&amp;vid=01CRU&amp;lang=en_US&amp;offset=0&amp;query=any,contains,991002838949702656","Catalog Record")</f>
        <v/>
      </c>
      <c r="AT588">
        <f>HYPERLINK("http://www.worldcat.org/oclc/481154","WorldCat Record")</f>
        <v/>
      </c>
      <c r="AU588" t="inlineStr">
        <is>
          <t>57990630:eng</t>
        </is>
      </c>
      <c r="AV588" t="inlineStr">
        <is>
          <t>481154</t>
        </is>
      </c>
      <c r="AW588" t="inlineStr">
        <is>
          <t>991002838949702656</t>
        </is>
      </c>
      <c r="AX588" t="inlineStr">
        <is>
          <t>991002838949702656</t>
        </is>
      </c>
      <c r="AY588" t="inlineStr">
        <is>
          <t>2269473590002656</t>
        </is>
      </c>
      <c r="AZ588" t="inlineStr">
        <is>
          <t>BOOK</t>
        </is>
      </c>
      <c r="BC588" t="inlineStr">
        <is>
          <t>32285001591956</t>
        </is>
      </c>
      <c r="BD588" t="inlineStr">
        <is>
          <t>893591846</t>
        </is>
      </c>
    </row>
    <row r="589">
      <c r="A589" t="inlineStr">
        <is>
          <t>No</t>
        </is>
      </c>
      <c r="B589" t="inlineStr">
        <is>
          <t>ND553.V6 S43</t>
        </is>
      </c>
      <c r="C589" t="inlineStr">
        <is>
          <t>0                      ND 0553000V  6                  S  43</t>
        </is>
      </c>
      <c r="D589" t="inlineStr">
        <is>
          <t>Vlaminck. [Translated from the French by Graham Snell]</t>
        </is>
      </c>
      <c r="F589" t="inlineStr">
        <is>
          <t>No</t>
        </is>
      </c>
      <c r="G589" t="inlineStr">
        <is>
          <t>1</t>
        </is>
      </c>
      <c r="H589" t="inlineStr">
        <is>
          <t>No</t>
        </is>
      </c>
      <c r="I589" t="inlineStr">
        <is>
          <t>No</t>
        </is>
      </c>
      <c r="J589" t="inlineStr">
        <is>
          <t>0</t>
        </is>
      </c>
      <c r="K589" t="inlineStr">
        <is>
          <t>Selz, Jean.</t>
        </is>
      </c>
      <c r="L589" t="inlineStr">
        <is>
          <t>New York, Crown Publishers [1963]</t>
        </is>
      </c>
      <c r="M589" t="inlineStr">
        <is>
          <t>1963</t>
        </is>
      </c>
      <c r="O589" t="inlineStr">
        <is>
          <t>eng</t>
        </is>
      </c>
      <c r="P589" t="inlineStr">
        <is>
          <t>nyu</t>
        </is>
      </c>
      <c r="R589" t="inlineStr">
        <is>
          <t xml:space="preserve">ND </t>
        </is>
      </c>
      <c r="S589" t="n">
        <v>2</v>
      </c>
      <c r="T589" t="n">
        <v>2</v>
      </c>
      <c r="U589" t="inlineStr">
        <is>
          <t>2000-11-08</t>
        </is>
      </c>
      <c r="V589" t="inlineStr">
        <is>
          <t>2000-11-08</t>
        </is>
      </c>
      <c r="W589" t="inlineStr">
        <is>
          <t>1997-07-30</t>
        </is>
      </c>
      <c r="X589" t="inlineStr">
        <is>
          <t>1997-07-30</t>
        </is>
      </c>
      <c r="Y589" t="n">
        <v>521</v>
      </c>
      <c r="Z589" t="n">
        <v>490</v>
      </c>
      <c r="AA589" t="n">
        <v>526</v>
      </c>
      <c r="AB589" t="n">
        <v>2</v>
      </c>
      <c r="AC589" t="n">
        <v>2</v>
      </c>
      <c r="AD589" t="n">
        <v>13</v>
      </c>
      <c r="AE589" t="n">
        <v>14</v>
      </c>
      <c r="AF589" t="n">
        <v>6</v>
      </c>
      <c r="AG589" t="n">
        <v>6</v>
      </c>
      <c r="AH589" t="n">
        <v>3</v>
      </c>
      <c r="AI589" t="n">
        <v>3</v>
      </c>
      <c r="AJ589" t="n">
        <v>6</v>
      </c>
      <c r="AK589" t="n">
        <v>7</v>
      </c>
      <c r="AL589" t="n">
        <v>1</v>
      </c>
      <c r="AM589" t="n">
        <v>1</v>
      </c>
      <c r="AN589" t="n">
        <v>0</v>
      </c>
      <c r="AO589" t="n">
        <v>0</v>
      </c>
      <c r="AP589" t="inlineStr">
        <is>
          <t>No</t>
        </is>
      </c>
      <c r="AQ589" t="inlineStr">
        <is>
          <t>Yes</t>
        </is>
      </c>
      <c r="AR589">
        <f>HYPERLINK("http://catalog.hathitrust.org/Record/008512467","HathiTrust Record")</f>
        <v/>
      </c>
      <c r="AS589">
        <f>HYPERLINK("https://creighton-primo.hosted.exlibrisgroup.com/primo-explore/search?tab=default_tab&amp;search_scope=EVERYTHING&amp;vid=01CRU&amp;lang=en_US&amp;offset=0&amp;query=any,contains,991003573849702656","Catalog Record")</f>
        <v/>
      </c>
      <c r="AT589">
        <f>HYPERLINK("http://www.worldcat.org/oclc/1150246","WorldCat Record")</f>
        <v/>
      </c>
      <c r="AU589" t="inlineStr">
        <is>
          <t>2078745:eng</t>
        </is>
      </c>
      <c r="AV589" t="inlineStr">
        <is>
          <t>1150246</t>
        </is>
      </c>
      <c r="AW589" t="inlineStr">
        <is>
          <t>991003573849702656</t>
        </is>
      </c>
      <c r="AX589" t="inlineStr">
        <is>
          <t>991003573849702656</t>
        </is>
      </c>
      <c r="AY589" t="inlineStr">
        <is>
          <t>2268539200002656</t>
        </is>
      </c>
      <c r="AZ589" t="inlineStr">
        <is>
          <t>BOOK</t>
        </is>
      </c>
      <c r="BC589" t="inlineStr">
        <is>
          <t>32285002968310</t>
        </is>
      </c>
      <c r="BD589" t="inlineStr">
        <is>
          <t>893805937</t>
        </is>
      </c>
    </row>
    <row r="590">
      <c r="A590" t="inlineStr">
        <is>
          <t>No</t>
        </is>
      </c>
      <c r="B590" t="inlineStr">
        <is>
          <t>ND553.W3 S35</t>
        </is>
      </c>
      <c r="C590" t="inlineStr">
        <is>
          <t>0                      ND 0553000W  3                  S  35</t>
        </is>
      </c>
      <c r="D590" t="inlineStr">
        <is>
          <t>The world of Watteau, 1684-1721, by Pierre Schneider and the editors of Time-Life Books.</t>
        </is>
      </c>
      <c r="F590" t="inlineStr">
        <is>
          <t>No</t>
        </is>
      </c>
      <c r="G590" t="inlineStr">
        <is>
          <t>1</t>
        </is>
      </c>
      <c r="H590" t="inlineStr">
        <is>
          <t>No</t>
        </is>
      </c>
      <c r="I590" t="inlineStr">
        <is>
          <t>No</t>
        </is>
      </c>
      <c r="J590" t="inlineStr">
        <is>
          <t>0</t>
        </is>
      </c>
      <c r="K590" t="inlineStr">
        <is>
          <t>Schneider, Pierre.</t>
        </is>
      </c>
      <c r="L590" t="inlineStr">
        <is>
          <t>New York, Time, inc. [1967]</t>
        </is>
      </c>
      <c r="M590" t="inlineStr">
        <is>
          <t>1967</t>
        </is>
      </c>
      <c r="O590" t="inlineStr">
        <is>
          <t>eng</t>
        </is>
      </c>
      <c r="P590" t="inlineStr">
        <is>
          <t>nyu</t>
        </is>
      </c>
      <c r="Q590" t="inlineStr">
        <is>
          <t>Time-Life library of art</t>
        </is>
      </c>
      <c r="R590" t="inlineStr">
        <is>
          <t xml:space="preserve">ND </t>
        </is>
      </c>
      <c r="S590" t="n">
        <v>1</v>
      </c>
      <c r="T590" t="n">
        <v>1</v>
      </c>
      <c r="U590" t="inlineStr">
        <is>
          <t>1999-11-10</t>
        </is>
      </c>
      <c r="V590" t="inlineStr">
        <is>
          <t>1999-11-10</t>
        </is>
      </c>
      <c r="W590" t="inlineStr">
        <is>
          <t>1997-07-30</t>
        </is>
      </c>
      <c r="X590" t="inlineStr">
        <is>
          <t>1997-07-30</t>
        </is>
      </c>
      <c r="Y590" t="n">
        <v>2551</v>
      </c>
      <c r="Z590" t="n">
        <v>2392</v>
      </c>
      <c r="AA590" t="n">
        <v>2530</v>
      </c>
      <c r="AB590" t="n">
        <v>18</v>
      </c>
      <c r="AC590" t="n">
        <v>20</v>
      </c>
      <c r="AD590" t="n">
        <v>43</v>
      </c>
      <c r="AE590" t="n">
        <v>44</v>
      </c>
      <c r="AF590" t="n">
        <v>16</v>
      </c>
      <c r="AG590" t="n">
        <v>17</v>
      </c>
      <c r="AH590" t="n">
        <v>6</v>
      </c>
      <c r="AI590" t="n">
        <v>6</v>
      </c>
      <c r="AJ590" t="n">
        <v>22</v>
      </c>
      <c r="AK590" t="n">
        <v>22</v>
      </c>
      <c r="AL590" t="n">
        <v>9</v>
      </c>
      <c r="AM590" t="n">
        <v>9</v>
      </c>
      <c r="AN590" t="n">
        <v>0</v>
      </c>
      <c r="AO590" t="n">
        <v>0</v>
      </c>
      <c r="AP590" t="inlineStr">
        <is>
          <t>No</t>
        </is>
      </c>
      <c r="AQ590" t="inlineStr">
        <is>
          <t>Yes</t>
        </is>
      </c>
      <c r="AR590">
        <f>HYPERLINK("http://catalog.hathitrust.org/Record/000458665","HathiTrust Record")</f>
        <v/>
      </c>
      <c r="AS590">
        <f>HYPERLINK("https://creighton-primo.hosted.exlibrisgroup.com/primo-explore/search?tab=default_tab&amp;search_scope=EVERYTHING&amp;vid=01CRU&amp;lang=en_US&amp;offset=0&amp;query=any,contains,991002903759702656","Catalog Record")</f>
        <v/>
      </c>
      <c r="AT590">
        <f>HYPERLINK("http://www.worldcat.org/oclc/518469","WorldCat Record")</f>
        <v/>
      </c>
      <c r="AU590" t="inlineStr">
        <is>
          <t>3769085852:eng</t>
        </is>
      </c>
      <c r="AV590" t="inlineStr">
        <is>
          <t>518469</t>
        </is>
      </c>
      <c r="AW590" t="inlineStr">
        <is>
          <t>991002903759702656</t>
        </is>
      </c>
      <c r="AX590" t="inlineStr">
        <is>
          <t>991002903759702656</t>
        </is>
      </c>
      <c r="AY590" t="inlineStr">
        <is>
          <t>2255902240002656</t>
        </is>
      </c>
      <c r="AZ590" t="inlineStr">
        <is>
          <t>BOOK</t>
        </is>
      </c>
      <c r="BC590" t="inlineStr">
        <is>
          <t>32285002968344</t>
        </is>
      </c>
      <c r="BD590" t="inlineStr">
        <is>
          <t>893880563</t>
        </is>
      </c>
    </row>
    <row r="591">
      <c r="A591" t="inlineStr">
        <is>
          <t>No</t>
        </is>
      </c>
      <c r="B591" t="inlineStr">
        <is>
          <t>ND563 .L313</t>
        </is>
      </c>
      <c r="C591" t="inlineStr">
        <is>
          <t>0                      ND 0563000L  313</t>
        </is>
      </c>
      <c r="D591" t="inlineStr">
        <is>
          <t>German painting; the late Middle Ages (1350-1500). Translated by Heinz Norden.</t>
        </is>
      </c>
      <c r="F591" t="inlineStr">
        <is>
          <t>No</t>
        </is>
      </c>
      <c r="G591" t="inlineStr">
        <is>
          <t>1</t>
        </is>
      </c>
      <c r="H591" t="inlineStr">
        <is>
          <t>No</t>
        </is>
      </c>
      <c r="I591" t="inlineStr">
        <is>
          <t>No</t>
        </is>
      </c>
      <c r="J591" t="inlineStr">
        <is>
          <t>0</t>
        </is>
      </c>
      <c r="K591" t="inlineStr">
        <is>
          <t>Landolt, Hanspeter.</t>
        </is>
      </c>
      <c r="L591" t="inlineStr">
        <is>
          <t>[Geneva] Skira [1968]</t>
        </is>
      </c>
      <c r="M591" t="inlineStr">
        <is>
          <t>1968</t>
        </is>
      </c>
      <c r="O591" t="inlineStr">
        <is>
          <t>eng</t>
        </is>
      </c>
      <c r="P591" t="inlineStr">
        <is>
          <t xml:space="preserve">sz </t>
        </is>
      </c>
      <c r="Q591" t="inlineStr">
        <is>
          <t>Painting, color, history</t>
        </is>
      </c>
      <c r="R591" t="inlineStr">
        <is>
          <t xml:space="preserve">ND </t>
        </is>
      </c>
      <c r="S591" t="n">
        <v>2</v>
      </c>
      <c r="T591" t="n">
        <v>2</v>
      </c>
      <c r="U591" t="inlineStr">
        <is>
          <t>1999-04-12</t>
        </is>
      </c>
      <c r="V591" t="inlineStr">
        <is>
          <t>1999-04-12</t>
        </is>
      </c>
      <c r="W591" t="inlineStr">
        <is>
          <t>1997-07-30</t>
        </is>
      </c>
      <c r="X591" t="inlineStr">
        <is>
          <t>1997-07-30</t>
        </is>
      </c>
      <c r="Y591" t="n">
        <v>690</v>
      </c>
      <c r="Z591" t="n">
        <v>615</v>
      </c>
      <c r="AA591" t="n">
        <v>625</v>
      </c>
      <c r="AB591" t="n">
        <v>4</v>
      </c>
      <c r="AC591" t="n">
        <v>4</v>
      </c>
      <c r="AD591" t="n">
        <v>22</v>
      </c>
      <c r="AE591" t="n">
        <v>22</v>
      </c>
      <c r="AF591" t="n">
        <v>8</v>
      </c>
      <c r="AG591" t="n">
        <v>8</v>
      </c>
      <c r="AH591" t="n">
        <v>4</v>
      </c>
      <c r="AI591" t="n">
        <v>4</v>
      </c>
      <c r="AJ591" t="n">
        <v>11</v>
      </c>
      <c r="AK591" t="n">
        <v>11</v>
      </c>
      <c r="AL591" t="n">
        <v>3</v>
      </c>
      <c r="AM591" t="n">
        <v>3</v>
      </c>
      <c r="AN591" t="n">
        <v>0</v>
      </c>
      <c r="AO591" t="n">
        <v>0</v>
      </c>
      <c r="AP591" t="inlineStr">
        <is>
          <t>No</t>
        </is>
      </c>
      <c r="AQ591" t="inlineStr">
        <is>
          <t>Yes</t>
        </is>
      </c>
      <c r="AR591">
        <f>HYPERLINK("http://catalog.hathitrust.org/Record/000458881","HathiTrust Record")</f>
        <v/>
      </c>
      <c r="AS591">
        <f>HYPERLINK("https://creighton-primo.hosted.exlibrisgroup.com/primo-explore/search?tab=default_tab&amp;search_scope=EVERYTHING&amp;vid=01CRU&amp;lang=en_US&amp;offset=0&amp;query=any,contains,991001177969702656","Catalog Record")</f>
        <v/>
      </c>
      <c r="AT591">
        <f>HYPERLINK("http://www.worldcat.org/oclc/189260","WorldCat Record")</f>
        <v/>
      </c>
      <c r="AU591" t="inlineStr">
        <is>
          <t>365330357:eng</t>
        </is>
      </c>
      <c r="AV591" t="inlineStr">
        <is>
          <t>189260</t>
        </is>
      </c>
      <c r="AW591" t="inlineStr">
        <is>
          <t>991001177969702656</t>
        </is>
      </c>
      <c r="AX591" t="inlineStr">
        <is>
          <t>991001177969702656</t>
        </is>
      </c>
      <c r="AY591" t="inlineStr">
        <is>
          <t>2267992870002656</t>
        </is>
      </c>
      <c r="AZ591" t="inlineStr">
        <is>
          <t>BOOK</t>
        </is>
      </c>
      <c r="BC591" t="inlineStr">
        <is>
          <t>32285002968351</t>
        </is>
      </c>
      <c r="BD591" t="inlineStr">
        <is>
          <t>893522355</t>
        </is>
      </c>
    </row>
    <row r="592">
      <c r="A592" t="inlineStr">
        <is>
          <t>No</t>
        </is>
      </c>
      <c r="B592" t="inlineStr">
        <is>
          <t>ND567 .P57 1996</t>
        </is>
      </c>
      <c r="C592" t="inlineStr">
        <is>
          <t>0                      ND 0567000P  57          1996</t>
        </is>
      </c>
      <c r="D592" t="inlineStr">
        <is>
          <t>Philipp Otto Runge, Caspar David Friedrich : the passage of time / with essays by Hanna Hohl and Werner Busch ; edited by Andreas Blühm ; translated by Rachel Esner.</t>
        </is>
      </c>
      <c r="F592" t="inlineStr">
        <is>
          <t>No</t>
        </is>
      </c>
      <c r="G592" t="inlineStr">
        <is>
          <t>1</t>
        </is>
      </c>
      <c r="H592" t="inlineStr">
        <is>
          <t>No</t>
        </is>
      </c>
      <c r="I592" t="inlineStr">
        <is>
          <t>No</t>
        </is>
      </c>
      <c r="J592" t="inlineStr">
        <is>
          <t>0</t>
        </is>
      </c>
      <c r="L592" t="inlineStr">
        <is>
          <t>Amsterdam : Van Gogh Museum ; Zwolle : Waanders, c1996.</t>
        </is>
      </c>
      <c r="M592" t="inlineStr">
        <is>
          <t>1996</t>
        </is>
      </c>
      <c r="O592" t="inlineStr">
        <is>
          <t>eng</t>
        </is>
      </c>
      <c r="P592" t="inlineStr">
        <is>
          <t xml:space="preserve">ne </t>
        </is>
      </c>
      <c r="R592" t="inlineStr">
        <is>
          <t xml:space="preserve">ND </t>
        </is>
      </c>
      <c r="S592" t="n">
        <v>2</v>
      </c>
      <c r="T592" t="n">
        <v>2</v>
      </c>
      <c r="U592" t="inlineStr">
        <is>
          <t>1999-03-02</t>
        </is>
      </c>
      <c r="V592" t="inlineStr">
        <is>
          <t>1999-03-02</t>
        </is>
      </c>
      <c r="W592" t="inlineStr">
        <is>
          <t>1999-01-14</t>
        </is>
      </c>
      <c r="X592" t="inlineStr">
        <is>
          <t>1999-01-14</t>
        </is>
      </c>
      <c r="Y592" t="n">
        <v>247</v>
      </c>
      <c r="Z592" t="n">
        <v>204</v>
      </c>
      <c r="AA592" t="n">
        <v>205</v>
      </c>
      <c r="AB592" t="n">
        <v>3</v>
      </c>
      <c r="AC592" t="n">
        <v>3</v>
      </c>
      <c r="AD592" t="n">
        <v>8</v>
      </c>
      <c r="AE592" t="n">
        <v>8</v>
      </c>
      <c r="AF592" t="n">
        <v>3</v>
      </c>
      <c r="AG592" t="n">
        <v>3</v>
      </c>
      <c r="AH592" t="n">
        <v>3</v>
      </c>
      <c r="AI592" t="n">
        <v>3</v>
      </c>
      <c r="AJ592" t="n">
        <v>2</v>
      </c>
      <c r="AK592" t="n">
        <v>2</v>
      </c>
      <c r="AL592" t="n">
        <v>1</v>
      </c>
      <c r="AM592" t="n">
        <v>1</v>
      </c>
      <c r="AN592" t="n">
        <v>0</v>
      </c>
      <c r="AO592" t="n">
        <v>0</v>
      </c>
      <c r="AP592" t="inlineStr">
        <is>
          <t>No</t>
        </is>
      </c>
      <c r="AQ592" t="inlineStr">
        <is>
          <t>Yes</t>
        </is>
      </c>
      <c r="AR592">
        <f>HYPERLINK("http://catalog.hathitrust.org/Record/003102527","HathiTrust Record")</f>
        <v/>
      </c>
      <c r="AS592">
        <f>HYPERLINK("https://creighton-primo.hosted.exlibrisgroup.com/primo-explore/search?tab=default_tab&amp;search_scope=EVERYTHING&amp;vid=01CRU&amp;lang=en_US&amp;offset=0&amp;query=any,contains,991002678539702656","Catalog Record")</f>
        <v/>
      </c>
      <c r="AT592">
        <f>HYPERLINK("http://www.worldcat.org/oclc/35016022","WorldCat Record")</f>
        <v/>
      </c>
      <c r="AU592" t="inlineStr">
        <is>
          <t>352236715:eng</t>
        </is>
      </c>
      <c r="AV592" t="inlineStr">
        <is>
          <t>35016022</t>
        </is>
      </c>
      <c r="AW592" t="inlineStr">
        <is>
          <t>991002678539702656</t>
        </is>
      </c>
      <c r="AX592" t="inlineStr">
        <is>
          <t>991002678539702656</t>
        </is>
      </c>
      <c r="AY592" t="inlineStr">
        <is>
          <t>2268758340002656</t>
        </is>
      </c>
      <c r="AZ592" t="inlineStr">
        <is>
          <t>BOOK</t>
        </is>
      </c>
      <c r="BB592" t="inlineStr">
        <is>
          <t>9789040098383</t>
        </is>
      </c>
      <c r="BC592" t="inlineStr">
        <is>
          <t>32285003512489</t>
        </is>
      </c>
      <c r="BD592" t="inlineStr">
        <is>
          <t>893685643</t>
        </is>
      </c>
    </row>
    <row r="593">
      <c r="A593" t="inlineStr">
        <is>
          <t>No</t>
        </is>
      </c>
      <c r="B593" t="inlineStr">
        <is>
          <t>ND567.5.R6 S3713 1977</t>
        </is>
      </c>
      <c r="C593" t="inlineStr">
        <is>
          <t>0                      ND 0567500R  6                  S  3713        1977</t>
        </is>
      </c>
      <c r="D593" t="inlineStr">
        <is>
          <t>German romantic painting / Hubert Schrade ; translated from the German by Maria Pelikan.</t>
        </is>
      </c>
      <c r="F593" t="inlineStr">
        <is>
          <t>No</t>
        </is>
      </c>
      <c r="G593" t="inlineStr">
        <is>
          <t>1</t>
        </is>
      </c>
      <c r="H593" t="inlineStr">
        <is>
          <t>No</t>
        </is>
      </c>
      <c r="I593" t="inlineStr">
        <is>
          <t>No</t>
        </is>
      </c>
      <c r="J593" t="inlineStr">
        <is>
          <t>0</t>
        </is>
      </c>
      <c r="K593" t="inlineStr">
        <is>
          <t>Schrade, Hubert, 1900-1967.</t>
        </is>
      </c>
      <c r="L593" t="inlineStr">
        <is>
          <t>New York : H. N. Abrams, 1977, c1967.</t>
        </is>
      </c>
      <c r="M593" t="inlineStr">
        <is>
          <t>1977</t>
        </is>
      </c>
      <c r="O593" t="inlineStr">
        <is>
          <t>eng</t>
        </is>
      </c>
      <c r="P593" t="inlineStr">
        <is>
          <t>nyu</t>
        </is>
      </c>
      <c r="R593" t="inlineStr">
        <is>
          <t xml:space="preserve">ND </t>
        </is>
      </c>
      <c r="S593" t="n">
        <v>6</v>
      </c>
      <c r="T593" t="n">
        <v>6</v>
      </c>
      <c r="U593" t="inlineStr">
        <is>
          <t>2004-11-12</t>
        </is>
      </c>
      <c r="V593" t="inlineStr">
        <is>
          <t>2004-11-12</t>
        </is>
      </c>
      <c r="W593" t="inlineStr">
        <is>
          <t>1992-10-19</t>
        </is>
      </c>
      <c r="X593" t="inlineStr">
        <is>
          <t>1992-10-19</t>
        </is>
      </c>
      <c r="Y593" t="n">
        <v>763</v>
      </c>
      <c r="Z593" t="n">
        <v>646</v>
      </c>
      <c r="AA593" t="n">
        <v>646</v>
      </c>
      <c r="AB593" t="n">
        <v>6</v>
      </c>
      <c r="AC593" t="n">
        <v>6</v>
      </c>
      <c r="AD593" t="n">
        <v>18</v>
      </c>
      <c r="AE593" t="n">
        <v>18</v>
      </c>
      <c r="AF593" t="n">
        <v>5</v>
      </c>
      <c r="AG593" t="n">
        <v>5</v>
      </c>
      <c r="AH593" t="n">
        <v>6</v>
      </c>
      <c r="AI593" t="n">
        <v>6</v>
      </c>
      <c r="AJ593" t="n">
        <v>8</v>
      </c>
      <c r="AK593" t="n">
        <v>8</v>
      </c>
      <c r="AL593" t="n">
        <v>4</v>
      </c>
      <c r="AM593" t="n">
        <v>4</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HYPERLINK("https://creighton-primo.hosted.exlibrisgroup.com/primo-explore/search?tab=default_tab&amp;search_scope=EVERYTHING&amp;vid=01CRU&amp;lang=en_US&amp;offset=0&amp;query=any,contains,991004447659702656","Catalog Record")</f>
        <v/>
      </c>
      <c r="AT593">
        <f>HYPERLINK("http://www.worldcat.org/oclc/3489978","WorldCat Record")</f>
        <v/>
      </c>
      <c r="AU593" t="inlineStr">
        <is>
          <t>948356460:eng</t>
        </is>
      </c>
      <c r="AV593" t="inlineStr">
        <is>
          <t>3489978</t>
        </is>
      </c>
      <c r="AW593" t="inlineStr">
        <is>
          <t>991004447659702656</t>
        </is>
      </c>
      <c r="AX593" t="inlineStr">
        <is>
          <t>991004447659702656</t>
        </is>
      </c>
      <c r="AY593" t="inlineStr">
        <is>
          <t>2269488530002656</t>
        </is>
      </c>
      <c r="AZ593" t="inlineStr">
        <is>
          <t>BOOK</t>
        </is>
      </c>
      <c r="BB593" t="inlineStr">
        <is>
          <t>9780810901414</t>
        </is>
      </c>
      <c r="BC593" t="inlineStr">
        <is>
          <t>32285001351989</t>
        </is>
      </c>
      <c r="BD593" t="inlineStr">
        <is>
          <t>893776022</t>
        </is>
      </c>
    </row>
    <row r="594">
      <c r="A594" t="inlineStr">
        <is>
          <t>No</t>
        </is>
      </c>
      <c r="B594" t="inlineStr">
        <is>
          <t>ND568 .M9 1963</t>
        </is>
      </c>
      <c r="C594" t="inlineStr">
        <is>
          <t>0                      ND 0568000M  9           1963</t>
        </is>
      </c>
      <c r="D594" t="inlineStr">
        <is>
          <t>The German expressionists : a generation in revolt.</t>
        </is>
      </c>
      <c r="F594" t="inlineStr">
        <is>
          <t>No</t>
        </is>
      </c>
      <c r="G594" t="inlineStr">
        <is>
          <t>1</t>
        </is>
      </c>
      <c r="H594" t="inlineStr">
        <is>
          <t>No</t>
        </is>
      </c>
      <c r="I594" t="inlineStr">
        <is>
          <t>No</t>
        </is>
      </c>
      <c r="J594" t="inlineStr">
        <is>
          <t>0</t>
        </is>
      </c>
      <c r="K594" t="inlineStr">
        <is>
          <t>Myers, Bernard S., 1908-1993.</t>
        </is>
      </c>
      <c r="L594" t="inlineStr">
        <is>
          <t>New York : McGraw-Hill, [1963]</t>
        </is>
      </c>
      <c r="M594" t="inlineStr">
        <is>
          <t>1963</t>
        </is>
      </c>
      <c r="N594" t="inlineStr">
        <is>
          <t>[Concise ed.]</t>
        </is>
      </c>
      <c r="O594" t="inlineStr">
        <is>
          <t>eng</t>
        </is>
      </c>
      <c r="P594" t="inlineStr">
        <is>
          <t>nyu</t>
        </is>
      </c>
      <c r="R594" t="inlineStr">
        <is>
          <t xml:space="preserve">ND </t>
        </is>
      </c>
      <c r="S594" t="n">
        <v>9</v>
      </c>
      <c r="T594" t="n">
        <v>9</v>
      </c>
      <c r="U594" t="inlineStr">
        <is>
          <t>1997-04-13</t>
        </is>
      </c>
      <c r="V594" t="inlineStr">
        <is>
          <t>1997-04-13</t>
        </is>
      </c>
      <c r="W594" t="inlineStr">
        <is>
          <t>1994-05-12</t>
        </is>
      </c>
      <c r="X594" t="inlineStr">
        <is>
          <t>1994-05-12</t>
        </is>
      </c>
      <c r="Y594" t="n">
        <v>309</v>
      </c>
      <c r="Z594" t="n">
        <v>292</v>
      </c>
      <c r="AA594" t="n">
        <v>840</v>
      </c>
      <c r="AB594" t="n">
        <v>7</v>
      </c>
      <c r="AC594" t="n">
        <v>12</v>
      </c>
      <c r="AD594" t="n">
        <v>13</v>
      </c>
      <c r="AE594" t="n">
        <v>36</v>
      </c>
      <c r="AF594" t="n">
        <v>2</v>
      </c>
      <c r="AG594" t="n">
        <v>10</v>
      </c>
      <c r="AH594" t="n">
        <v>0</v>
      </c>
      <c r="AI594" t="n">
        <v>6</v>
      </c>
      <c r="AJ594" t="n">
        <v>5</v>
      </c>
      <c r="AK594" t="n">
        <v>15</v>
      </c>
      <c r="AL594" t="n">
        <v>6</v>
      </c>
      <c r="AM594" t="n">
        <v>9</v>
      </c>
      <c r="AN594" t="n">
        <v>0</v>
      </c>
      <c r="AO594" t="n">
        <v>0</v>
      </c>
      <c r="AP594" t="inlineStr">
        <is>
          <t>No</t>
        </is>
      </c>
      <c r="AQ594" t="inlineStr">
        <is>
          <t>No</t>
        </is>
      </c>
      <c r="AR594">
        <f>HYPERLINK("http://catalog.hathitrust.org/Record/000457804","HathiTrust Record")</f>
        <v/>
      </c>
      <c r="AS594">
        <f>HYPERLINK("https://creighton-primo.hosted.exlibrisgroup.com/primo-explore/search?tab=default_tab&amp;search_scope=EVERYTHING&amp;vid=01CRU&amp;lang=en_US&amp;offset=0&amp;query=any,contains,991003640809702656","Catalog Record")</f>
        <v/>
      </c>
      <c r="AT594">
        <f>HYPERLINK("http://www.worldcat.org/oclc/1238496","WorldCat Record")</f>
        <v/>
      </c>
      <c r="AU594" t="inlineStr">
        <is>
          <t>3943341727:eng</t>
        </is>
      </c>
      <c r="AV594" t="inlineStr">
        <is>
          <t>1238496</t>
        </is>
      </c>
      <c r="AW594" t="inlineStr">
        <is>
          <t>991003640809702656</t>
        </is>
      </c>
      <c r="AX594" t="inlineStr">
        <is>
          <t>991003640809702656</t>
        </is>
      </c>
      <c r="AY594" t="inlineStr">
        <is>
          <t>2264673900002656</t>
        </is>
      </c>
      <c r="AZ594" t="inlineStr">
        <is>
          <t>BOOK</t>
        </is>
      </c>
      <c r="BC594" t="inlineStr">
        <is>
          <t>32285001910990</t>
        </is>
      </c>
      <c r="BD594" t="inlineStr">
        <is>
          <t>893525046</t>
        </is>
      </c>
    </row>
    <row r="595">
      <c r="A595" t="inlineStr">
        <is>
          <t>No</t>
        </is>
      </c>
      <c r="B595" t="inlineStr">
        <is>
          <t>ND568 .S4 1974</t>
        </is>
      </c>
      <c r="C595" t="inlineStr">
        <is>
          <t>0                      ND 0568000S  4           1974</t>
        </is>
      </c>
      <c r="D595" t="inlineStr">
        <is>
          <t>German expressionist painting / by Peter Selz.</t>
        </is>
      </c>
      <c r="F595" t="inlineStr">
        <is>
          <t>No</t>
        </is>
      </c>
      <c r="G595" t="inlineStr">
        <is>
          <t>1</t>
        </is>
      </c>
      <c r="H595" t="inlineStr">
        <is>
          <t>No</t>
        </is>
      </c>
      <c r="I595" t="inlineStr">
        <is>
          <t>No</t>
        </is>
      </c>
      <c r="J595" t="inlineStr">
        <is>
          <t>0</t>
        </is>
      </c>
      <c r="K595" t="inlineStr">
        <is>
          <t>Selz, Peter, 1919-2019.</t>
        </is>
      </c>
      <c r="L595" t="inlineStr">
        <is>
          <t>Berkeley ; Los Angeles ; London : University of California Press, 1974, c1957.</t>
        </is>
      </c>
      <c r="M595" t="inlineStr">
        <is>
          <t>1974</t>
        </is>
      </c>
      <c r="O595" t="inlineStr">
        <is>
          <t>eng</t>
        </is>
      </c>
      <c r="P595" t="inlineStr">
        <is>
          <t>cau</t>
        </is>
      </c>
      <c r="R595" t="inlineStr">
        <is>
          <t xml:space="preserve">ND </t>
        </is>
      </c>
      <c r="S595" t="n">
        <v>5</v>
      </c>
      <c r="T595" t="n">
        <v>5</v>
      </c>
      <c r="U595" t="inlineStr">
        <is>
          <t>2006-10-25</t>
        </is>
      </c>
      <c r="V595" t="inlineStr">
        <is>
          <t>2006-10-25</t>
        </is>
      </c>
      <c r="W595" t="inlineStr">
        <is>
          <t>1995-02-28</t>
        </is>
      </c>
      <c r="X595" t="inlineStr">
        <is>
          <t>1995-02-28</t>
        </is>
      </c>
      <c r="Y595" t="n">
        <v>332</v>
      </c>
      <c r="Z595" t="n">
        <v>226</v>
      </c>
      <c r="AA595" t="n">
        <v>1155</v>
      </c>
      <c r="AB595" t="n">
        <v>2</v>
      </c>
      <c r="AC595" t="n">
        <v>7</v>
      </c>
      <c r="AD595" t="n">
        <v>7</v>
      </c>
      <c r="AE595" t="n">
        <v>44</v>
      </c>
      <c r="AF595" t="n">
        <v>4</v>
      </c>
      <c r="AG595" t="n">
        <v>20</v>
      </c>
      <c r="AH595" t="n">
        <v>0</v>
      </c>
      <c r="AI595" t="n">
        <v>8</v>
      </c>
      <c r="AJ595" t="n">
        <v>5</v>
      </c>
      <c r="AK595" t="n">
        <v>21</v>
      </c>
      <c r="AL595" t="n">
        <v>0</v>
      </c>
      <c r="AM595" t="n">
        <v>5</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HYPERLINK("https://creighton-primo.hosted.exlibrisgroup.com/primo-explore/search?tab=default_tab&amp;search_scope=EVERYTHING&amp;vid=01CRU&amp;lang=en_US&amp;offset=0&amp;query=any,contains,991000593779702656","Catalog Record")</f>
        <v/>
      </c>
      <c r="AT595">
        <f>HYPERLINK("http://www.worldcat.org/oclc/11795407","WorldCat Record")</f>
        <v/>
      </c>
      <c r="AU595" t="inlineStr">
        <is>
          <t>500384:eng</t>
        </is>
      </c>
      <c r="AV595" t="inlineStr">
        <is>
          <t>11795407</t>
        </is>
      </c>
      <c r="AW595" t="inlineStr">
        <is>
          <t>991000593779702656</t>
        </is>
      </c>
      <c r="AX595" t="inlineStr">
        <is>
          <t>991000593779702656</t>
        </is>
      </c>
      <c r="AY595" t="inlineStr">
        <is>
          <t>2256627780002656</t>
        </is>
      </c>
      <c r="AZ595" t="inlineStr">
        <is>
          <t>BOOK</t>
        </is>
      </c>
      <c r="BB595" t="inlineStr">
        <is>
          <t>9780520025158</t>
        </is>
      </c>
      <c r="BC595" t="inlineStr">
        <is>
          <t>32285001779783</t>
        </is>
      </c>
      <c r="BD595" t="inlineStr">
        <is>
          <t>893345800</t>
        </is>
      </c>
    </row>
    <row r="596">
      <c r="A596" t="inlineStr">
        <is>
          <t>No</t>
        </is>
      </c>
      <c r="B596" t="inlineStr">
        <is>
          <t>ND568.5.F54 R44 1989</t>
        </is>
      </c>
      <c r="C596" t="inlineStr">
        <is>
          <t>0                      ND 0568500F  54                 R  44          1989</t>
        </is>
      </c>
      <c r="D596" t="inlineStr">
        <is>
          <t>Refigured painting : the German image, 1960-88 / edited by Thomas Krens, Michael Govan, Joseph Thompson.</t>
        </is>
      </c>
      <c r="F596" t="inlineStr">
        <is>
          <t>No</t>
        </is>
      </c>
      <c r="G596" t="inlineStr">
        <is>
          <t>1</t>
        </is>
      </c>
      <c r="H596" t="inlineStr">
        <is>
          <t>No</t>
        </is>
      </c>
      <c r="I596" t="inlineStr">
        <is>
          <t>No</t>
        </is>
      </c>
      <c r="J596" t="inlineStr">
        <is>
          <t>0</t>
        </is>
      </c>
      <c r="L596" t="inlineStr">
        <is>
          <t>Munich : Prestel ; New York : Solomon R. Guggenheim Museum ; New York, NY, USA : Distributed in the USA and Canada by the Neues Pub. Co., c1989.</t>
        </is>
      </c>
      <c r="M596" t="inlineStr">
        <is>
          <t>1989</t>
        </is>
      </c>
      <c r="O596" t="inlineStr">
        <is>
          <t>eng</t>
        </is>
      </c>
      <c r="P596" t="inlineStr">
        <is>
          <t xml:space="preserve">gw </t>
        </is>
      </c>
      <c r="R596" t="inlineStr">
        <is>
          <t xml:space="preserve">ND </t>
        </is>
      </c>
      <c r="S596" t="n">
        <v>9</v>
      </c>
      <c r="T596" t="n">
        <v>9</v>
      </c>
      <c r="U596" t="inlineStr">
        <is>
          <t>1997-02-13</t>
        </is>
      </c>
      <c r="V596" t="inlineStr">
        <is>
          <t>1997-02-13</t>
        </is>
      </c>
      <c r="W596" t="inlineStr">
        <is>
          <t>1991-06-19</t>
        </is>
      </c>
      <c r="X596" t="inlineStr">
        <is>
          <t>1991-06-19</t>
        </is>
      </c>
      <c r="Y596" t="n">
        <v>625</v>
      </c>
      <c r="Z596" t="n">
        <v>469</v>
      </c>
      <c r="AA596" t="n">
        <v>494</v>
      </c>
      <c r="AB596" t="n">
        <v>3</v>
      </c>
      <c r="AC596" t="n">
        <v>3</v>
      </c>
      <c r="AD596" t="n">
        <v>17</v>
      </c>
      <c r="AE596" t="n">
        <v>17</v>
      </c>
      <c r="AF596" t="n">
        <v>7</v>
      </c>
      <c r="AG596" t="n">
        <v>7</v>
      </c>
      <c r="AH596" t="n">
        <v>4</v>
      </c>
      <c r="AI596" t="n">
        <v>4</v>
      </c>
      <c r="AJ596" t="n">
        <v>7</v>
      </c>
      <c r="AK596" t="n">
        <v>7</v>
      </c>
      <c r="AL596" t="n">
        <v>2</v>
      </c>
      <c r="AM596" t="n">
        <v>2</v>
      </c>
      <c r="AN596" t="n">
        <v>0</v>
      </c>
      <c r="AO596" t="n">
        <v>0</v>
      </c>
      <c r="AP596" t="inlineStr">
        <is>
          <t>No</t>
        </is>
      </c>
      <c r="AQ596" t="inlineStr">
        <is>
          <t>Yes</t>
        </is>
      </c>
      <c r="AR596">
        <f>HYPERLINK("http://catalog.hathitrust.org/Record/001102832","HathiTrust Record")</f>
        <v/>
      </c>
      <c r="AS596">
        <f>HYPERLINK("https://creighton-primo.hosted.exlibrisgroup.com/primo-explore/search?tab=default_tab&amp;search_scope=EVERYTHING&amp;vid=01CRU&amp;lang=en_US&amp;offset=0&amp;query=any,contains,991001431859702656","Catalog Record")</f>
        <v/>
      </c>
      <c r="AT596">
        <f>HYPERLINK("http://www.worldcat.org/oclc/19122658","WorldCat Record")</f>
        <v/>
      </c>
      <c r="AU596" t="inlineStr">
        <is>
          <t>471275455:eng</t>
        </is>
      </c>
      <c r="AV596" t="inlineStr">
        <is>
          <t>19122658</t>
        </is>
      </c>
      <c r="AW596" t="inlineStr">
        <is>
          <t>991001431859702656</t>
        </is>
      </c>
      <c r="AX596" t="inlineStr">
        <is>
          <t>991001431859702656</t>
        </is>
      </c>
      <c r="AY596" t="inlineStr">
        <is>
          <t>2272782730002656</t>
        </is>
      </c>
      <c r="AZ596" t="inlineStr">
        <is>
          <t>BOOK</t>
        </is>
      </c>
      <c r="BB596" t="inlineStr">
        <is>
          <t>9783791308661</t>
        </is>
      </c>
      <c r="BC596" t="inlineStr">
        <is>
          <t>32285000657469</t>
        </is>
      </c>
      <c r="BD596" t="inlineStr">
        <is>
          <t>893803610</t>
        </is>
      </c>
    </row>
    <row r="597">
      <c r="A597" t="inlineStr">
        <is>
          <t>No</t>
        </is>
      </c>
      <c r="B597" t="inlineStr">
        <is>
          <t>ND568.5.N37 H5613</t>
        </is>
      </c>
      <c r="C597" t="inlineStr">
        <is>
          <t>0                      ND 0568500N  37                 H  5613</t>
        </is>
      </c>
      <c r="D597" t="inlineStr">
        <is>
          <t>Art in the Third Reich / Berthold Hinz ; translated from the German by Robert and Rita Kimber.</t>
        </is>
      </c>
      <c r="F597" t="inlineStr">
        <is>
          <t>No</t>
        </is>
      </c>
      <c r="G597" t="inlineStr">
        <is>
          <t>1</t>
        </is>
      </c>
      <c r="H597" t="inlineStr">
        <is>
          <t>No</t>
        </is>
      </c>
      <c r="I597" t="inlineStr">
        <is>
          <t>No</t>
        </is>
      </c>
      <c r="J597" t="inlineStr">
        <is>
          <t>0</t>
        </is>
      </c>
      <c r="K597" t="inlineStr">
        <is>
          <t>Hinz, Berthold.</t>
        </is>
      </c>
      <c r="L597" t="inlineStr">
        <is>
          <t>New York : Pantheon Books, c1979.</t>
        </is>
      </c>
      <c r="M597" t="inlineStr">
        <is>
          <t>1979</t>
        </is>
      </c>
      <c r="N597" t="inlineStr">
        <is>
          <t>1st American ed.</t>
        </is>
      </c>
      <c r="O597" t="inlineStr">
        <is>
          <t>eng</t>
        </is>
      </c>
      <c r="P597" t="inlineStr">
        <is>
          <t>nyu</t>
        </is>
      </c>
      <c r="R597" t="inlineStr">
        <is>
          <t xml:space="preserve">ND </t>
        </is>
      </c>
      <c r="S597" t="n">
        <v>5</v>
      </c>
      <c r="T597" t="n">
        <v>5</v>
      </c>
      <c r="U597" t="inlineStr">
        <is>
          <t>2002-02-25</t>
        </is>
      </c>
      <c r="V597" t="inlineStr">
        <is>
          <t>2002-02-25</t>
        </is>
      </c>
      <c r="W597" t="inlineStr">
        <is>
          <t>1992-03-23</t>
        </is>
      </c>
      <c r="X597" t="inlineStr">
        <is>
          <t>1992-03-23</t>
        </is>
      </c>
      <c r="Y597" t="n">
        <v>853</v>
      </c>
      <c r="Z597" t="n">
        <v>751</v>
      </c>
      <c r="AA597" t="n">
        <v>762</v>
      </c>
      <c r="AB597" t="n">
        <v>4</v>
      </c>
      <c r="AC597" t="n">
        <v>4</v>
      </c>
      <c r="AD597" t="n">
        <v>30</v>
      </c>
      <c r="AE597" t="n">
        <v>31</v>
      </c>
      <c r="AF597" t="n">
        <v>14</v>
      </c>
      <c r="AG597" t="n">
        <v>14</v>
      </c>
      <c r="AH597" t="n">
        <v>6</v>
      </c>
      <c r="AI597" t="n">
        <v>6</v>
      </c>
      <c r="AJ597" t="n">
        <v>16</v>
      </c>
      <c r="AK597" t="n">
        <v>17</v>
      </c>
      <c r="AL597" t="n">
        <v>3</v>
      </c>
      <c r="AM597" t="n">
        <v>3</v>
      </c>
      <c r="AN597" t="n">
        <v>0</v>
      </c>
      <c r="AO597" t="n">
        <v>0</v>
      </c>
      <c r="AP597" t="inlineStr">
        <is>
          <t>No</t>
        </is>
      </c>
      <c r="AQ597" t="inlineStr">
        <is>
          <t>Yes</t>
        </is>
      </c>
      <c r="AR597">
        <f>HYPERLINK("http://catalog.hathitrust.org/Record/000710655","HathiTrust Record")</f>
        <v/>
      </c>
      <c r="AS597">
        <f>HYPERLINK("https://creighton-primo.hosted.exlibrisgroup.com/primo-explore/search?tab=default_tab&amp;search_scope=EVERYTHING&amp;vid=01CRU&amp;lang=en_US&amp;offset=0&amp;query=any,contains,991004779529702656","Catalog Record")</f>
        <v/>
      </c>
      <c r="AT597">
        <f>HYPERLINK("http://www.worldcat.org/oclc/5102127","WorldCat Record")</f>
        <v/>
      </c>
      <c r="AU597" t="inlineStr">
        <is>
          <t>1151026111:eng</t>
        </is>
      </c>
      <c r="AV597" t="inlineStr">
        <is>
          <t>5102127</t>
        </is>
      </c>
      <c r="AW597" t="inlineStr">
        <is>
          <t>991004779529702656</t>
        </is>
      </c>
      <c r="AX597" t="inlineStr">
        <is>
          <t>991004779529702656</t>
        </is>
      </c>
      <c r="AY597" t="inlineStr">
        <is>
          <t>2269216290002656</t>
        </is>
      </c>
      <c r="AZ597" t="inlineStr">
        <is>
          <t>BOOK</t>
        </is>
      </c>
      <c r="BB597" t="inlineStr">
        <is>
          <t>9780394416403</t>
        </is>
      </c>
      <c r="BC597" t="inlineStr">
        <is>
          <t>32285001027050</t>
        </is>
      </c>
      <c r="BD597" t="inlineStr">
        <is>
          <t>893532792</t>
        </is>
      </c>
    </row>
    <row r="598">
      <c r="A598" t="inlineStr">
        <is>
          <t>No</t>
        </is>
      </c>
      <c r="B598" t="inlineStr">
        <is>
          <t>ND588.B37 F49513 1973</t>
        </is>
      </c>
      <c r="C598" t="inlineStr">
        <is>
          <t>0                      ND 0588000B  37                 F  49513       1973</t>
        </is>
      </c>
      <c r="D598" t="inlineStr">
        <is>
          <t>Max Beckmann [by] Friedhelm W. Fischer. Translated by P. S. Falla</t>
        </is>
      </c>
      <c r="F598" t="inlineStr">
        <is>
          <t>No</t>
        </is>
      </c>
      <c r="G598" t="inlineStr">
        <is>
          <t>1</t>
        </is>
      </c>
      <c r="H598" t="inlineStr">
        <is>
          <t>No</t>
        </is>
      </c>
      <c r="I598" t="inlineStr">
        <is>
          <t>No</t>
        </is>
      </c>
      <c r="J598" t="inlineStr">
        <is>
          <t>0</t>
        </is>
      </c>
      <c r="K598" t="inlineStr">
        <is>
          <t>Fischer, Friedhelm W. (Friedhelm Wilhelm)</t>
        </is>
      </c>
      <c r="L598" t="inlineStr">
        <is>
          <t>[London] Phaidon [distributed in U.S.A. by Praeger Publishers, Inc., 1973]</t>
        </is>
      </c>
      <c r="M598" t="inlineStr">
        <is>
          <t>1973</t>
        </is>
      </c>
      <c r="O598" t="inlineStr">
        <is>
          <t>eng</t>
        </is>
      </c>
      <c r="P598" t="inlineStr">
        <is>
          <t>enk</t>
        </is>
      </c>
      <c r="R598" t="inlineStr">
        <is>
          <t xml:space="preserve">ND </t>
        </is>
      </c>
      <c r="S598" t="n">
        <v>4</v>
      </c>
      <c r="T598" t="n">
        <v>4</v>
      </c>
      <c r="U598" t="inlineStr">
        <is>
          <t>2002-02-20</t>
        </is>
      </c>
      <c r="V598" t="inlineStr">
        <is>
          <t>2002-02-20</t>
        </is>
      </c>
      <c r="W598" t="inlineStr">
        <is>
          <t>1992-04-23</t>
        </is>
      </c>
      <c r="X598" t="inlineStr">
        <is>
          <t>1992-04-23</t>
        </is>
      </c>
      <c r="Y598" t="n">
        <v>671</v>
      </c>
      <c r="Z598" t="n">
        <v>533</v>
      </c>
      <c r="AA598" t="n">
        <v>534</v>
      </c>
      <c r="AB598" t="n">
        <v>2</v>
      </c>
      <c r="AC598" t="n">
        <v>2</v>
      </c>
      <c r="AD598" t="n">
        <v>18</v>
      </c>
      <c r="AE598" t="n">
        <v>18</v>
      </c>
      <c r="AF598" t="n">
        <v>7</v>
      </c>
      <c r="AG598" t="n">
        <v>7</v>
      </c>
      <c r="AH598" t="n">
        <v>2</v>
      </c>
      <c r="AI598" t="n">
        <v>2</v>
      </c>
      <c r="AJ598" t="n">
        <v>10</v>
      </c>
      <c r="AK598" t="n">
        <v>10</v>
      </c>
      <c r="AL598" t="n">
        <v>1</v>
      </c>
      <c r="AM598" t="n">
        <v>1</v>
      </c>
      <c r="AN598" t="n">
        <v>0</v>
      </c>
      <c r="AO598" t="n">
        <v>0</v>
      </c>
      <c r="AP598" t="inlineStr">
        <is>
          <t>No</t>
        </is>
      </c>
      <c r="AQ598" t="inlineStr">
        <is>
          <t>Yes</t>
        </is>
      </c>
      <c r="AR598">
        <f>HYPERLINK("http://catalog.hathitrust.org/Record/000009256","HathiTrust Record")</f>
        <v/>
      </c>
      <c r="AS598">
        <f>HYPERLINK("https://creighton-primo.hosted.exlibrisgroup.com/primo-explore/search?tab=default_tab&amp;search_scope=EVERYTHING&amp;vid=01CRU&amp;lang=en_US&amp;offset=0&amp;query=any,contains,991003115989702656","Catalog Record")</f>
        <v/>
      </c>
      <c r="AT598">
        <f>HYPERLINK("http://www.worldcat.org/oclc/661641","WorldCat Record")</f>
        <v/>
      </c>
      <c r="AU598" t="inlineStr">
        <is>
          <t>1862983216:eng</t>
        </is>
      </c>
      <c r="AV598" t="inlineStr">
        <is>
          <t>661641</t>
        </is>
      </c>
      <c r="AW598" t="inlineStr">
        <is>
          <t>991003115989702656</t>
        </is>
      </c>
      <c r="AX598" t="inlineStr">
        <is>
          <t>991003115989702656</t>
        </is>
      </c>
      <c r="AY598" t="inlineStr">
        <is>
          <t>2268888650002656</t>
        </is>
      </c>
      <c r="AZ598" t="inlineStr">
        <is>
          <t>BOOK</t>
        </is>
      </c>
      <c r="BB598" t="inlineStr">
        <is>
          <t>9780714815770</t>
        </is>
      </c>
      <c r="BC598" t="inlineStr">
        <is>
          <t>32285001054823</t>
        </is>
      </c>
      <c r="BD598" t="inlineStr">
        <is>
          <t>893780625</t>
        </is>
      </c>
    </row>
    <row r="599">
      <c r="A599" t="inlineStr">
        <is>
          <t>No</t>
        </is>
      </c>
      <c r="B599" t="inlineStr">
        <is>
          <t>ND588.B37 L298 1991</t>
        </is>
      </c>
      <c r="C599" t="inlineStr">
        <is>
          <t>0                      ND 0588000B  37                 L  298         1991</t>
        </is>
      </c>
      <c r="D599" t="inlineStr">
        <is>
          <t>Max Beckmann / Stephan Lackner.</t>
        </is>
      </c>
      <c r="F599" t="inlineStr">
        <is>
          <t>No</t>
        </is>
      </c>
      <c r="G599" t="inlineStr">
        <is>
          <t>1</t>
        </is>
      </c>
      <c r="H599" t="inlineStr">
        <is>
          <t>No</t>
        </is>
      </c>
      <c r="I599" t="inlineStr">
        <is>
          <t>No</t>
        </is>
      </c>
      <c r="J599" t="inlineStr">
        <is>
          <t>0</t>
        </is>
      </c>
      <c r="K599" t="inlineStr">
        <is>
          <t>Lackner, Stephan.</t>
        </is>
      </c>
      <c r="L599" t="inlineStr">
        <is>
          <t>New York : Abrams, 1991.</t>
        </is>
      </c>
      <c r="M599" t="inlineStr">
        <is>
          <t>1991</t>
        </is>
      </c>
      <c r="O599" t="inlineStr">
        <is>
          <t>eng</t>
        </is>
      </c>
      <c r="P599" t="inlineStr">
        <is>
          <t>nyu</t>
        </is>
      </c>
      <c r="R599" t="inlineStr">
        <is>
          <t xml:space="preserve">ND </t>
        </is>
      </c>
      <c r="S599" t="n">
        <v>11</v>
      </c>
      <c r="T599" t="n">
        <v>11</v>
      </c>
      <c r="U599" t="inlineStr">
        <is>
          <t>2002-02-20</t>
        </is>
      </c>
      <c r="V599" t="inlineStr">
        <is>
          <t>2002-02-20</t>
        </is>
      </c>
      <c r="W599" t="inlineStr">
        <is>
          <t>1991-11-07</t>
        </is>
      </c>
      <c r="X599" t="inlineStr">
        <is>
          <t>1991-11-07</t>
        </is>
      </c>
      <c r="Y599" t="n">
        <v>351</v>
      </c>
      <c r="Z599" t="n">
        <v>312</v>
      </c>
      <c r="AA599" t="n">
        <v>314</v>
      </c>
      <c r="AB599" t="n">
        <v>2</v>
      </c>
      <c r="AC599" t="n">
        <v>2</v>
      </c>
      <c r="AD599" t="n">
        <v>7</v>
      </c>
      <c r="AE599" t="n">
        <v>7</v>
      </c>
      <c r="AF599" t="n">
        <v>3</v>
      </c>
      <c r="AG599" t="n">
        <v>3</v>
      </c>
      <c r="AH599" t="n">
        <v>1</v>
      </c>
      <c r="AI599" t="n">
        <v>1</v>
      </c>
      <c r="AJ599" t="n">
        <v>3</v>
      </c>
      <c r="AK599" t="n">
        <v>3</v>
      </c>
      <c r="AL599" t="n">
        <v>1</v>
      </c>
      <c r="AM599" t="n">
        <v>1</v>
      </c>
      <c r="AN599" t="n">
        <v>0</v>
      </c>
      <c r="AO599" t="n">
        <v>0</v>
      </c>
      <c r="AP599" t="inlineStr">
        <is>
          <t>No</t>
        </is>
      </c>
      <c r="AQ599" t="inlineStr">
        <is>
          <t>Yes</t>
        </is>
      </c>
      <c r="AR599">
        <f>HYPERLINK("http://catalog.hathitrust.org/Record/008232040","HathiTrust Record")</f>
        <v/>
      </c>
      <c r="AS599">
        <f>HYPERLINK("https://creighton-primo.hosted.exlibrisgroup.com/primo-explore/search?tab=default_tab&amp;search_scope=EVERYTHING&amp;vid=01CRU&amp;lang=en_US&amp;offset=0&amp;query=any,contains,991001733769702656","Catalog Record")</f>
        <v/>
      </c>
      <c r="AT599">
        <f>HYPERLINK("http://www.worldcat.org/oclc/21951004","WorldCat Record")</f>
        <v/>
      </c>
      <c r="AU599" t="inlineStr">
        <is>
          <t>2070199382:eng</t>
        </is>
      </c>
      <c r="AV599" t="inlineStr">
        <is>
          <t>21951004</t>
        </is>
      </c>
      <c r="AW599" t="inlineStr">
        <is>
          <t>991001733769702656</t>
        </is>
      </c>
      <c r="AX599" t="inlineStr">
        <is>
          <t>991001733769702656</t>
        </is>
      </c>
      <c r="AY599" t="inlineStr">
        <is>
          <t>2272543850002656</t>
        </is>
      </c>
      <c r="AZ599" t="inlineStr">
        <is>
          <t>BOOK</t>
        </is>
      </c>
      <c r="BB599" t="inlineStr">
        <is>
          <t>9780810931091</t>
        </is>
      </c>
      <c r="BC599" t="inlineStr">
        <is>
          <t>32285000729870</t>
        </is>
      </c>
      <c r="BD599" t="inlineStr">
        <is>
          <t>893334525</t>
        </is>
      </c>
    </row>
    <row r="600">
      <c r="A600" t="inlineStr">
        <is>
          <t>No</t>
        </is>
      </c>
      <c r="B600" t="inlineStr">
        <is>
          <t>ND588.C8 A4 1978</t>
        </is>
      </c>
      <c r="C600" t="inlineStr">
        <is>
          <t>0                      ND 0588000C  8                  A  4           1978</t>
        </is>
      </c>
      <c r="D600" t="inlineStr">
        <is>
          <t>The paintings of Lucas Cranach / Max J. Friedländer &amp; Jakob Rosenberg ; [catalogue translated by Heinz Norden ; introd. translated by Ronald Taylor.]</t>
        </is>
      </c>
      <c r="F600" t="inlineStr">
        <is>
          <t>No</t>
        </is>
      </c>
      <c r="G600" t="inlineStr">
        <is>
          <t>1</t>
        </is>
      </c>
      <c r="H600" t="inlineStr">
        <is>
          <t>No</t>
        </is>
      </c>
      <c r="I600" t="inlineStr">
        <is>
          <t>No</t>
        </is>
      </c>
      <c r="J600" t="inlineStr">
        <is>
          <t>0</t>
        </is>
      </c>
      <c r="K600" t="inlineStr">
        <is>
          <t>Friedländer, Max J., 1867-1958.</t>
        </is>
      </c>
      <c r="L600" t="inlineStr">
        <is>
          <t>Ithaca, N.Y. : Cornell University Press, c1978.</t>
        </is>
      </c>
      <c r="M600" t="inlineStr">
        <is>
          <t>1978</t>
        </is>
      </c>
      <c r="N600" t="inlineStr">
        <is>
          <t>Rev. ed.</t>
        </is>
      </c>
      <c r="O600" t="inlineStr">
        <is>
          <t>eng</t>
        </is>
      </c>
      <c r="P600" t="inlineStr">
        <is>
          <t>nyu</t>
        </is>
      </c>
      <c r="R600" t="inlineStr">
        <is>
          <t xml:space="preserve">ND </t>
        </is>
      </c>
      <c r="S600" t="n">
        <v>2</v>
      </c>
      <c r="T600" t="n">
        <v>2</v>
      </c>
      <c r="U600" t="inlineStr">
        <is>
          <t>2001-07-12</t>
        </is>
      </c>
      <c r="V600" t="inlineStr">
        <is>
          <t>2001-07-12</t>
        </is>
      </c>
      <c r="W600" t="inlineStr">
        <is>
          <t>2001-07-12</t>
        </is>
      </c>
      <c r="X600" t="inlineStr">
        <is>
          <t>2001-07-12</t>
        </is>
      </c>
      <c r="Y600" t="n">
        <v>545</v>
      </c>
      <c r="Z600" t="n">
        <v>495</v>
      </c>
      <c r="AA600" t="n">
        <v>648</v>
      </c>
      <c r="AB600" t="n">
        <v>3</v>
      </c>
      <c r="AC600" t="n">
        <v>4</v>
      </c>
      <c r="AD600" t="n">
        <v>18</v>
      </c>
      <c r="AE600" t="n">
        <v>28</v>
      </c>
      <c r="AF600" t="n">
        <v>5</v>
      </c>
      <c r="AG600" t="n">
        <v>10</v>
      </c>
      <c r="AH600" t="n">
        <v>5</v>
      </c>
      <c r="AI600" t="n">
        <v>6</v>
      </c>
      <c r="AJ600" t="n">
        <v>9</v>
      </c>
      <c r="AK600" t="n">
        <v>16</v>
      </c>
      <c r="AL600" t="n">
        <v>1</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HYPERLINK("https://creighton-primo.hosted.exlibrisgroup.com/primo-explore/search?tab=default_tab&amp;search_scope=EVERYTHING&amp;vid=01CRU&amp;lang=en_US&amp;offset=0&amp;query=any,contains,991003567659702656","Catalog Record")</f>
        <v/>
      </c>
      <c r="AT600">
        <f>HYPERLINK("http://www.worldcat.org/oclc/4505133","WorldCat Record")</f>
        <v/>
      </c>
      <c r="AU600" t="inlineStr">
        <is>
          <t>14794396:eng</t>
        </is>
      </c>
      <c r="AV600" t="inlineStr">
        <is>
          <t>4505133</t>
        </is>
      </c>
      <c r="AW600" t="inlineStr">
        <is>
          <t>991003567659702656</t>
        </is>
      </c>
      <c r="AX600" t="inlineStr">
        <is>
          <t>991003567659702656</t>
        </is>
      </c>
      <c r="AY600" t="inlineStr">
        <is>
          <t>2264372150002656</t>
        </is>
      </c>
      <c r="AZ600" t="inlineStr">
        <is>
          <t>BOOK</t>
        </is>
      </c>
      <c r="BB600" t="inlineStr">
        <is>
          <t>9780801410611</t>
        </is>
      </c>
      <c r="BC600" t="inlineStr">
        <is>
          <t>32285004332119</t>
        </is>
      </c>
      <c r="BD600" t="inlineStr">
        <is>
          <t>893874895</t>
        </is>
      </c>
    </row>
    <row r="601">
      <c r="A601" t="inlineStr">
        <is>
          <t>No</t>
        </is>
      </c>
      <c r="B601" t="inlineStr">
        <is>
          <t>ND588.D9 B73</t>
        </is>
      </c>
      <c r="C601" t="inlineStr">
        <is>
          <t>0                      ND 0588000D  9                  B  73</t>
        </is>
      </c>
      <c r="D601" t="inlineStr">
        <is>
          <t>Dürer : his life and work.</t>
        </is>
      </c>
      <c r="F601" t="inlineStr">
        <is>
          <t>No</t>
        </is>
      </c>
      <c r="G601" t="inlineStr">
        <is>
          <t>1</t>
        </is>
      </c>
      <c r="H601" t="inlineStr">
        <is>
          <t>No</t>
        </is>
      </c>
      <c r="I601" t="inlineStr">
        <is>
          <t>No</t>
        </is>
      </c>
      <c r="J601" t="inlineStr">
        <is>
          <t>0</t>
        </is>
      </c>
      <c r="K601" t="inlineStr">
        <is>
          <t>Brion, Marcel, 1895-1984.</t>
        </is>
      </c>
      <c r="L601" t="inlineStr">
        <is>
          <t>New York : Tudor Pub. Co., [1960]</t>
        </is>
      </c>
      <c r="M601" t="inlineStr">
        <is>
          <t>1960</t>
        </is>
      </c>
      <c r="O601" t="inlineStr">
        <is>
          <t>eng</t>
        </is>
      </c>
      <c r="P601" t="inlineStr">
        <is>
          <t>nyu</t>
        </is>
      </c>
      <c r="R601" t="inlineStr">
        <is>
          <t xml:space="preserve">ND </t>
        </is>
      </c>
      <c r="S601" t="n">
        <v>4</v>
      </c>
      <c r="T601" t="n">
        <v>4</v>
      </c>
      <c r="U601" t="inlineStr">
        <is>
          <t>1996-04-02</t>
        </is>
      </c>
      <c r="V601" t="inlineStr">
        <is>
          <t>1996-04-02</t>
        </is>
      </c>
      <c r="W601" t="inlineStr">
        <is>
          <t>1992-04-09</t>
        </is>
      </c>
      <c r="X601" t="inlineStr">
        <is>
          <t>1992-04-09</t>
        </is>
      </c>
      <c r="Y601" t="n">
        <v>412</v>
      </c>
      <c r="Z601" t="n">
        <v>409</v>
      </c>
      <c r="AA601" t="n">
        <v>413</v>
      </c>
      <c r="AB601" t="n">
        <v>2</v>
      </c>
      <c r="AC601" t="n">
        <v>2</v>
      </c>
      <c r="AD601" t="n">
        <v>10</v>
      </c>
      <c r="AE601" t="n">
        <v>10</v>
      </c>
      <c r="AF601" t="n">
        <v>2</v>
      </c>
      <c r="AG601" t="n">
        <v>2</v>
      </c>
      <c r="AH601" t="n">
        <v>1</v>
      </c>
      <c r="AI601" t="n">
        <v>1</v>
      </c>
      <c r="AJ601" t="n">
        <v>7</v>
      </c>
      <c r="AK601" t="n">
        <v>7</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HYPERLINK("https://creighton-primo.hosted.exlibrisgroup.com/primo-explore/search?tab=default_tab&amp;search_scope=EVERYTHING&amp;vid=01CRU&amp;lang=en_US&amp;offset=0&amp;query=any,contains,991002902639702656","Catalog Record")</f>
        <v/>
      </c>
      <c r="AT601">
        <f>HYPERLINK("http://www.worldcat.org/oclc/517953","WorldCat Record")</f>
        <v/>
      </c>
      <c r="AU601" t="inlineStr">
        <is>
          <t>4161437237:eng</t>
        </is>
      </c>
      <c r="AV601" t="inlineStr">
        <is>
          <t>517953</t>
        </is>
      </c>
      <c r="AW601" t="inlineStr">
        <is>
          <t>991002902639702656</t>
        </is>
      </c>
      <c r="AX601" t="inlineStr">
        <is>
          <t>991002902639702656</t>
        </is>
      </c>
      <c r="AY601" t="inlineStr">
        <is>
          <t>2254956760002656</t>
        </is>
      </c>
      <c r="AZ601" t="inlineStr">
        <is>
          <t>BOOK</t>
        </is>
      </c>
      <c r="BC601" t="inlineStr">
        <is>
          <t>32285001057065</t>
        </is>
      </c>
      <c r="BD601" t="inlineStr">
        <is>
          <t>893342003</t>
        </is>
      </c>
    </row>
    <row r="602">
      <c r="A602" t="inlineStr">
        <is>
          <t>No</t>
        </is>
      </c>
      <c r="B602" t="inlineStr">
        <is>
          <t>ND588.D9 G7</t>
        </is>
      </c>
      <c r="C602" t="inlineStr">
        <is>
          <t>0                      ND 0588000D  9                  G  7</t>
        </is>
      </c>
      <c r="D602" t="inlineStr">
        <is>
          <t>Dürer : biographical and critical study / translated from the German by Helga Harrison.</t>
        </is>
      </c>
      <c r="F602" t="inlineStr">
        <is>
          <t>No</t>
        </is>
      </c>
      <c r="G602" t="inlineStr">
        <is>
          <t>1</t>
        </is>
      </c>
      <c r="H602" t="inlineStr">
        <is>
          <t>No</t>
        </is>
      </c>
      <c r="I602" t="inlineStr">
        <is>
          <t>No</t>
        </is>
      </c>
      <c r="J602" t="inlineStr">
        <is>
          <t>0</t>
        </is>
      </c>
      <c r="K602" t="inlineStr">
        <is>
          <t>Grote, Ludwig, 1893-1974.</t>
        </is>
      </c>
      <c r="L602" t="inlineStr">
        <is>
          <t>[Geneva] Skira [distributed in the U.S. by World Pub. Co., Cleveland, 1965]</t>
        </is>
      </c>
      <c r="M602" t="inlineStr">
        <is>
          <t>1965</t>
        </is>
      </c>
      <c r="O602" t="inlineStr">
        <is>
          <t>eng</t>
        </is>
      </c>
      <c r="P602" t="inlineStr">
        <is>
          <t xml:space="preserve">sz </t>
        </is>
      </c>
      <c r="Q602" t="inlineStr">
        <is>
          <t>The Taste of our time, v. 43</t>
        </is>
      </c>
      <c r="R602" t="inlineStr">
        <is>
          <t xml:space="preserve">ND </t>
        </is>
      </c>
      <c r="S602" t="n">
        <v>3</v>
      </c>
      <c r="T602" t="n">
        <v>3</v>
      </c>
      <c r="U602" t="inlineStr">
        <is>
          <t>2010-10-01</t>
        </is>
      </c>
      <c r="V602" t="inlineStr">
        <is>
          <t>2010-10-01</t>
        </is>
      </c>
      <c r="W602" t="inlineStr">
        <is>
          <t>1997-05-28</t>
        </is>
      </c>
      <c r="X602" t="inlineStr">
        <is>
          <t>1997-05-28</t>
        </is>
      </c>
      <c r="Y602" t="n">
        <v>589</v>
      </c>
      <c r="Z602" t="n">
        <v>533</v>
      </c>
      <c r="AA602" t="n">
        <v>541</v>
      </c>
      <c r="AB602" t="n">
        <v>6</v>
      </c>
      <c r="AC602" t="n">
        <v>6</v>
      </c>
      <c r="AD602" t="n">
        <v>19</v>
      </c>
      <c r="AE602" t="n">
        <v>19</v>
      </c>
      <c r="AF602" t="n">
        <v>5</v>
      </c>
      <c r="AG602" t="n">
        <v>5</v>
      </c>
      <c r="AH602" t="n">
        <v>5</v>
      </c>
      <c r="AI602" t="n">
        <v>5</v>
      </c>
      <c r="AJ602" t="n">
        <v>8</v>
      </c>
      <c r="AK602" t="n">
        <v>8</v>
      </c>
      <c r="AL602" t="n">
        <v>5</v>
      </c>
      <c r="AM602" t="n">
        <v>5</v>
      </c>
      <c r="AN602" t="n">
        <v>0</v>
      </c>
      <c r="AO602" t="n">
        <v>0</v>
      </c>
      <c r="AP602" t="inlineStr">
        <is>
          <t>No</t>
        </is>
      </c>
      <c r="AQ602" t="inlineStr">
        <is>
          <t>Yes</t>
        </is>
      </c>
      <c r="AR602">
        <f>HYPERLINK("http://catalog.hathitrust.org/Record/004692555","HathiTrust Record")</f>
        <v/>
      </c>
      <c r="AS602">
        <f>HYPERLINK("https://creighton-primo.hosted.exlibrisgroup.com/primo-explore/search?tab=default_tab&amp;search_scope=EVERYTHING&amp;vid=01CRU&amp;lang=en_US&amp;offset=0&amp;query=any,contains,991003695299702656","Catalog Record")</f>
        <v/>
      </c>
      <c r="AT602">
        <f>HYPERLINK("http://www.worldcat.org/oclc/1327377","WorldCat Record")</f>
        <v/>
      </c>
      <c r="AU602" t="inlineStr">
        <is>
          <t>3943281672:eng</t>
        </is>
      </c>
      <c r="AV602" t="inlineStr">
        <is>
          <t>1327377</t>
        </is>
      </c>
      <c r="AW602" t="inlineStr">
        <is>
          <t>991003695299702656</t>
        </is>
      </c>
      <c r="AX602" t="inlineStr">
        <is>
          <t>991003695299702656</t>
        </is>
      </c>
      <c r="AY602" t="inlineStr">
        <is>
          <t>2258604240002656</t>
        </is>
      </c>
      <c r="AZ602" t="inlineStr">
        <is>
          <t>BOOK</t>
        </is>
      </c>
      <c r="BC602" t="inlineStr">
        <is>
          <t>32285002698453</t>
        </is>
      </c>
      <c r="BD602" t="inlineStr">
        <is>
          <t>893410573</t>
        </is>
      </c>
    </row>
    <row r="603">
      <c r="A603" t="inlineStr">
        <is>
          <t>No</t>
        </is>
      </c>
      <c r="B603" t="inlineStr">
        <is>
          <t>ND588.D9 R85</t>
        </is>
      </c>
      <c r="C603" t="inlineStr">
        <is>
          <t>0                      ND 0588000D  9                  R  85</t>
        </is>
      </c>
      <c r="D603" t="inlineStr">
        <is>
          <t>The world of Dürer, 1471-1528 / by Francis Russell and the editors of Time-Life Books.</t>
        </is>
      </c>
      <c r="F603" t="inlineStr">
        <is>
          <t>No</t>
        </is>
      </c>
      <c r="G603" t="inlineStr">
        <is>
          <t>1</t>
        </is>
      </c>
      <c r="H603" t="inlineStr">
        <is>
          <t>No</t>
        </is>
      </c>
      <c r="I603" t="inlineStr">
        <is>
          <t>No</t>
        </is>
      </c>
      <c r="J603" t="inlineStr">
        <is>
          <t>0</t>
        </is>
      </c>
      <c r="K603" t="inlineStr">
        <is>
          <t>Russell, Francis, 1910-1989.</t>
        </is>
      </c>
      <c r="L603" t="inlineStr">
        <is>
          <t>New York : Time, inc., [1967]</t>
        </is>
      </c>
      <c r="M603" t="inlineStr">
        <is>
          <t>1967</t>
        </is>
      </c>
      <c r="O603" t="inlineStr">
        <is>
          <t>eng</t>
        </is>
      </c>
      <c r="P603" t="inlineStr">
        <is>
          <t>nyu</t>
        </is>
      </c>
      <c r="Q603" t="inlineStr">
        <is>
          <t>Time-Life library of art</t>
        </is>
      </c>
      <c r="R603" t="inlineStr">
        <is>
          <t xml:space="preserve">ND </t>
        </is>
      </c>
      <c r="S603" t="n">
        <v>13</v>
      </c>
      <c r="T603" t="n">
        <v>13</v>
      </c>
      <c r="U603" t="inlineStr">
        <is>
          <t>2010-10-01</t>
        </is>
      </c>
      <c r="V603" t="inlineStr">
        <is>
          <t>2010-10-01</t>
        </is>
      </c>
      <c r="W603" t="inlineStr">
        <is>
          <t>1990-07-06</t>
        </is>
      </c>
      <c r="X603" t="inlineStr">
        <is>
          <t>1990-07-06</t>
        </is>
      </c>
      <c r="Y603" t="n">
        <v>2629</v>
      </c>
      <c r="Z603" t="n">
        <v>2466</v>
      </c>
      <c r="AA603" t="n">
        <v>2597</v>
      </c>
      <c r="AB603" t="n">
        <v>23</v>
      </c>
      <c r="AC603" t="n">
        <v>26</v>
      </c>
      <c r="AD603" t="n">
        <v>46</v>
      </c>
      <c r="AE603" t="n">
        <v>46</v>
      </c>
      <c r="AF603" t="n">
        <v>18</v>
      </c>
      <c r="AG603" t="n">
        <v>18</v>
      </c>
      <c r="AH603" t="n">
        <v>9</v>
      </c>
      <c r="AI603" t="n">
        <v>9</v>
      </c>
      <c r="AJ603" t="n">
        <v>20</v>
      </c>
      <c r="AK603" t="n">
        <v>20</v>
      </c>
      <c r="AL603" t="n">
        <v>9</v>
      </c>
      <c r="AM603" t="n">
        <v>9</v>
      </c>
      <c r="AN603" t="n">
        <v>0</v>
      </c>
      <c r="AO603" t="n">
        <v>0</v>
      </c>
      <c r="AP603" t="inlineStr">
        <is>
          <t>No</t>
        </is>
      </c>
      <c r="AQ603" t="inlineStr">
        <is>
          <t>Yes</t>
        </is>
      </c>
      <c r="AR603">
        <f>HYPERLINK("http://catalog.hathitrust.org/Record/000459196","HathiTrust Record")</f>
        <v/>
      </c>
      <c r="AS603">
        <f>HYPERLINK("https://creighton-primo.hosted.exlibrisgroup.com/primo-explore/search?tab=default_tab&amp;search_scope=EVERYTHING&amp;vid=01CRU&amp;lang=en_US&amp;offset=0&amp;query=any,contains,991001989639702656","Catalog Record")</f>
        <v/>
      </c>
      <c r="AT603">
        <f>HYPERLINK("http://www.worldcat.org/oclc/255020","WorldCat Record")</f>
        <v/>
      </c>
      <c r="AU603" t="inlineStr">
        <is>
          <t>29489421:eng</t>
        </is>
      </c>
      <c r="AV603" t="inlineStr">
        <is>
          <t>255020</t>
        </is>
      </c>
      <c r="AW603" t="inlineStr">
        <is>
          <t>991001989639702656</t>
        </is>
      </c>
      <c r="AX603" t="inlineStr">
        <is>
          <t>991001989639702656</t>
        </is>
      </c>
      <c r="AY603" t="inlineStr">
        <is>
          <t>2270837590002656</t>
        </is>
      </c>
      <c r="AZ603" t="inlineStr">
        <is>
          <t>BOOK</t>
        </is>
      </c>
      <c r="BC603" t="inlineStr">
        <is>
          <t>32285000204411</t>
        </is>
      </c>
      <c r="BD603" t="inlineStr">
        <is>
          <t>893444903</t>
        </is>
      </c>
    </row>
    <row r="604">
      <c r="A604" t="inlineStr">
        <is>
          <t>No</t>
        </is>
      </c>
      <c r="B604" t="inlineStr">
        <is>
          <t>ND588.D9 W132 1950</t>
        </is>
      </c>
      <c r="C604" t="inlineStr">
        <is>
          <t>0                      ND 0588000D  9                  W  132         1950</t>
        </is>
      </c>
      <c r="D604" t="inlineStr">
        <is>
          <t>Dürer and his times / [translated from the German by R.H. Boothroyd]</t>
        </is>
      </c>
      <c r="F604" t="inlineStr">
        <is>
          <t>No</t>
        </is>
      </c>
      <c r="G604" t="inlineStr">
        <is>
          <t>1</t>
        </is>
      </c>
      <c r="H604" t="inlineStr">
        <is>
          <t>No</t>
        </is>
      </c>
      <c r="I604" t="inlineStr">
        <is>
          <t>No</t>
        </is>
      </c>
      <c r="J604" t="inlineStr">
        <is>
          <t>0</t>
        </is>
      </c>
      <c r="K604" t="inlineStr">
        <is>
          <t>Waetzoldt, Wilhelm, 1880-1945.</t>
        </is>
      </c>
      <c r="L604" t="inlineStr">
        <is>
          <t>London ; New York : Phaidon Publishers ; distributed by Oxford University Press, [1950]</t>
        </is>
      </c>
      <c r="M604" t="inlineStr">
        <is>
          <t>1950</t>
        </is>
      </c>
      <c r="O604" t="inlineStr">
        <is>
          <t>eng</t>
        </is>
      </c>
      <c r="P604" t="inlineStr">
        <is>
          <t>nyu</t>
        </is>
      </c>
      <c r="R604" t="inlineStr">
        <is>
          <t xml:space="preserve">ND </t>
        </is>
      </c>
      <c r="S604" t="n">
        <v>8</v>
      </c>
      <c r="T604" t="n">
        <v>8</v>
      </c>
      <c r="U604" t="inlineStr">
        <is>
          <t>2003-09-16</t>
        </is>
      </c>
      <c r="V604" t="inlineStr">
        <is>
          <t>2003-09-16</t>
        </is>
      </c>
      <c r="W604" t="inlineStr">
        <is>
          <t>1990-07-06</t>
        </is>
      </c>
      <c r="X604" t="inlineStr">
        <is>
          <t>1990-07-06</t>
        </is>
      </c>
      <c r="Y604" t="n">
        <v>248</v>
      </c>
      <c r="Z604" t="n">
        <v>232</v>
      </c>
      <c r="AA604" t="n">
        <v>487</v>
      </c>
      <c r="AB604" t="n">
        <v>3</v>
      </c>
      <c r="AC604" t="n">
        <v>4</v>
      </c>
      <c r="AD604" t="n">
        <v>12</v>
      </c>
      <c r="AE604" t="n">
        <v>20</v>
      </c>
      <c r="AF604" t="n">
        <v>3</v>
      </c>
      <c r="AG604" t="n">
        <v>6</v>
      </c>
      <c r="AH604" t="n">
        <v>2</v>
      </c>
      <c r="AI604" t="n">
        <v>3</v>
      </c>
      <c r="AJ604" t="n">
        <v>7</v>
      </c>
      <c r="AK604" t="n">
        <v>11</v>
      </c>
      <c r="AL604" t="n">
        <v>2</v>
      </c>
      <c r="AM604" t="n">
        <v>3</v>
      </c>
      <c r="AN604" t="n">
        <v>0</v>
      </c>
      <c r="AO604" t="n">
        <v>0</v>
      </c>
      <c r="AP604" t="inlineStr">
        <is>
          <t>No</t>
        </is>
      </c>
      <c r="AQ604" t="inlineStr">
        <is>
          <t>Yes</t>
        </is>
      </c>
      <c r="AR604">
        <f>HYPERLINK("http://catalog.hathitrust.org/Record/007135614","HathiTrust Record")</f>
        <v/>
      </c>
      <c r="AS604">
        <f>HYPERLINK("https://creighton-primo.hosted.exlibrisgroup.com/primo-explore/search?tab=default_tab&amp;search_scope=EVERYTHING&amp;vid=01CRU&amp;lang=en_US&amp;offset=0&amp;query=any,contains,991003149049702656","Catalog Record")</f>
        <v/>
      </c>
      <c r="AT604">
        <f>HYPERLINK("http://www.worldcat.org/oclc/688714","WorldCat Record")</f>
        <v/>
      </c>
      <c r="AU604" t="inlineStr">
        <is>
          <t>1491586:eng</t>
        </is>
      </c>
      <c r="AV604" t="inlineStr">
        <is>
          <t>688714</t>
        </is>
      </c>
      <c r="AW604" t="inlineStr">
        <is>
          <t>991003149049702656</t>
        </is>
      </c>
      <c r="AX604" t="inlineStr">
        <is>
          <t>991003149049702656</t>
        </is>
      </c>
      <c r="AY604" t="inlineStr">
        <is>
          <t>2272037050002656</t>
        </is>
      </c>
      <c r="AZ604" t="inlineStr">
        <is>
          <t>BOOK</t>
        </is>
      </c>
      <c r="BC604" t="inlineStr">
        <is>
          <t>32285000204429</t>
        </is>
      </c>
      <c r="BD604" t="inlineStr">
        <is>
          <t>893617048</t>
        </is>
      </c>
    </row>
    <row r="605">
      <c r="A605" t="inlineStr">
        <is>
          <t>No</t>
        </is>
      </c>
      <c r="B605" t="inlineStr">
        <is>
          <t>ND588.G7 G58</t>
        </is>
      </c>
      <c r="C605" t="inlineStr">
        <is>
          <t>0                      ND 0588000G  7                  G  58</t>
        </is>
      </c>
      <c r="D605" t="inlineStr">
        <is>
          <t>The Isenheim altar / [Introd. by] Pierre Schmitt.</t>
        </is>
      </c>
      <c r="F605" t="inlineStr">
        <is>
          <t>No</t>
        </is>
      </c>
      <c r="G605" t="inlineStr">
        <is>
          <t>1</t>
        </is>
      </c>
      <c r="H605" t="inlineStr">
        <is>
          <t>No</t>
        </is>
      </c>
      <c r="I605" t="inlineStr">
        <is>
          <t>No</t>
        </is>
      </c>
      <c r="J605" t="inlineStr">
        <is>
          <t>0</t>
        </is>
      </c>
      <c r="K605" t="inlineStr">
        <is>
          <t>Grünewald, Matthias, active 16th century.</t>
        </is>
      </c>
      <c r="L605" t="inlineStr">
        <is>
          <t>Berne : Hallwag, c1960.</t>
        </is>
      </c>
      <c r="M605" t="inlineStr">
        <is>
          <t>1960</t>
        </is>
      </c>
      <c r="O605" t="inlineStr">
        <is>
          <t>eng</t>
        </is>
      </c>
      <c r="P605" t="inlineStr">
        <is>
          <t xml:space="preserve">xx </t>
        </is>
      </c>
      <c r="Q605" t="inlineStr">
        <is>
          <t>Orbis pictus ; 3</t>
        </is>
      </c>
      <c r="R605" t="inlineStr">
        <is>
          <t xml:space="preserve">ND </t>
        </is>
      </c>
      <c r="S605" t="n">
        <v>11</v>
      </c>
      <c r="T605" t="n">
        <v>11</v>
      </c>
      <c r="U605" t="inlineStr">
        <is>
          <t>2010-10-27</t>
        </is>
      </c>
      <c r="V605" t="inlineStr">
        <is>
          <t>2010-10-27</t>
        </is>
      </c>
      <c r="W605" t="inlineStr">
        <is>
          <t>1993-05-24</t>
        </is>
      </c>
      <c r="X605" t="inlineStr">
        <is>
          <t>1993-05-24</t>
        </is>
      </c>
      <c r="Y605" t="n">
        <v>145</v>
      </c>
      <c r="Z605" t="n">
        <v>127</v>
      </c>
      <c r="AA605" t="n">
        <v>132</v>
      </c>
      <c r="AB605" t="n">
        <v>3</v>
      </c>
      <c r="AC605" t="n">
        <v>3</v>
      </c>
      <c r="AD605" t="n">
        <v>4</v>
      </c>
      <c r="AE605" t="n">
        <v>4</v>
      </c>
      <c r="AF605" t="n">
        <v>2</v>
      </c>
      <c r="AG605" t="n">
        <v>2</v>
      </c>
      <c r="AH605" t="n">
        <v>1</v>
      </c>
      <c r="AI605" t="n">
        <v>1</v>
      </c>
      <c r="AJ605" t="n">
        <v>1</v>
      </c>
      <c r="AK605" t="n">
        <v>1</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HYPERLINK("https://creighton-primo.hosted.exlibrisgroup.com/primo-explore/search?tab=default_tab&amp;search_scope=EVERYTHING&amp;vid=01CRU&amp;lang=en_US&amp;offset=0&amp;query=any,contains,991004049339702656","Catalog Record")</f>
        <v/>
      </c>
      <c r="AT605">
        <f>HYPERLINK("http://www.worldcat.org/oclc/2209266","WorldCat Record")</f>
        <v/>
      </c>
      <c r="AU605" t="inlineStr">
        <is>
          <t>10075942852:eng</t>
        </is>
      </c>
      <c r="AV605" t="inlineStr">
        <is>
          <t>2209266</t>
        </is>
      </c>
      <c r="AW605" t="inlineStr">
        <is>
          <t>991004049339702656</t>
        </is>
      </c>
      <c r="AX605" t="inlineStr">
        <is>
          <t>991004049339702656</t>
        </is>
      </c>
      <c r="AY605" t="inlineStr">
        <is>
          <t>2260602990002656</t>
        </is>
      </c>
      <c r="AZ605" t="inlineStr">
        <is>
          <t>BOOK</t>
        </is>
      </c>
      <c r="BC605" t="inlineStr">
        <is>
          <t>32285001692275</t>
        </is>
      </c>
      <c r="BD605" t="inlineStr">
        <is>
          <t>893687292</t>
        </is>
      </c>
    </row>
    <row r="606">
      <c r="A606" t="inlineStr">
        <is>
          <t>No</t>
        </is>
      </c>
      <c r="B606" t="inlineStr">
        <is>
          <t>ND588.G7 H88 1976</t>
        </is>
      </c>
      <c r="C606" t="inlineStr">
        <is>
          <t>0                      ND 0588000G  7                  H  88          1976</t>
        </is>
      </c>
      <c r="D606" t="inlineStr">
        <is>
          <t>Grünewald / with an essay by J.-K. Huysmans ; [translated from the French by Robert Baldick].</t>
        </is>
      </c>
      <c r="F606" t="inlineStr">
        <is>
          <t>No</t>
        </is>
      </c>
      <c r="G606" t="inlineStr">
        <is>
          <t>1</t>
        </is>
      </c>
      <c r="H606" t="inlineStr">
        <is>
          <t>No</t>
        </is>
      </c>
      <c r="I606" t="inlineStr">
        <is>
          <t>No</t>
        </is>
      </c>
      <c r="J606" t="inlineStr">
        <is>
          <t>0</t>
        </is>
      </c>
      <c r="K606" t="inlineStr">
        <is>
          <t>Grünewald, Matthias, active 16th century.</t>
        </is>
      </c>
      <c r="L606" t="inlineStr">
        <is>
          <t>Oxford : Phaidon, 1976.</t>
        </is>
      </c>
      <c r="M606" t="inlineStr">
        <is>
          <t>1976</t>
        </is>
      </c>
      <c r="O606" t="inlineStr">
        <is>
          <t>eng</t>
        </is>
      </c>
      <c r="P606" t="inlineStr">
        <is>
          <t>enk</t>
        </is>
      </c>
      <c r="R606" t="inlineStr">
        <is>
          <t xml:space="preserve">ND </t>
        </is>
      </c>
      <c r="S606" t="n">
        <v>6</v>
      </c>
      <c r="T606" t="n">
        <v>6</v>
      </c>
      <c r="U606" t="inlineStr">
        <is>
          <t>2010-10-27</t>
        </is>
      </c>
      <c r="V606" t="inlineStr">
        <is>
          <t>2010-10-27</t>
        </is>
      </c>
      <c r="W606" t="inlineStr">
        <is>
          <t>1993-08-05</t>
        </is>
      </c>
      <c r="X606" t="inlineStr">
        <is>
          <t>1993-08-05</t>
        </is>
      </c>
      <c r="Y606" t="n">
        <v>551</v>
      </c>
      <c r="Z606" t="n">
        <v>396</v>
      </c>
      <c r="AA606" t="n">
        <v>398</v>
      </c>
      <c r="AB606" t="n">
        <v>3</v>
      </c>
      <c r="AC606" t="n">
        <v>3</v>
      </c>
      <c r="AD606" t="n">
        <v>10</v>
      </c>
      <c r="AE606" t="n">
        <v>10</v>
      </c>
      <c r="AF606" t="n">
        <v>1</v>
      </c>
      <c r="AG606" t="n">
        <v>1</v>
      </c>
      <c r="AH606" t="n">
        <v>3</v>
      </c>
      <c r="AI606" t="n">
        <v>3</v>
      </c>
      <c r="AJ606" t="n">
        <v>5</v>
      </c>
      <c r="AK606" t="n">
        <v>5</v>
      </c>
      <c r="AL606" t="n">
        <v>2</v>
      </c>
      <c r="AM606" t="n">
        <v>2</v>
      </c>
      <c r="AN606" t="n">
        <v>0</v>
      </c>
      <c r="AO606" t="n">
        <v>0</v>
      </c>
      <c r="AP606" t="inlineStr">
        <is>
          <t>No</t>
        </is>
      </c>
      <c r="AQ606" t="inlineStr">
        <is>
          <t>Yes</t>
        </is>
      </c>
      <c r="AR606">
        <f>HYPERLINK("http://catalog.hathitrust.org/Record/005641270","HathiTrust Record")</f>
        <v/>
      </c>
      <c r="AS606">
        <f>HYPERLINK("https://creighton-primo.hosted.exlibrisgroup.com/primo-explore/search?tab=default_tab&amp;search_scope=EVERYTHING&amp;vid=01CRU&amp;lang=en_US&amp;offset=0&amp;query=any,contains,991004169229702656","Catalog Record")</f>
        <v/>
      </c>
      <c r="AT606">
        <f>HYPERLINK("http://www.worldcat.org/oclc/2576260","WorldCat Record")</f>
        <v/>
      </c>
      <c r="AU606" t="inlineStr">
        <is>
          <t>10677848861:eng</t>
        </is>
      </c>
      <c r="AV606" t="inlineStr">
        <is>
          <t>2576260</t>
        </is>
      </c>
      <c r="AW606" t="inlineStr">
        <is>
          <t>991004169229702656</t>
        </is>
      </c>
      <c r="AX606" t="inlineStr">
        <is>
          <t>991004169229702656</t>
        </is>
      </c>
      <c r="AY606" t="inlineStr">
        <is>
          <t>2254766190002656</t>
        </is>
      </c>
      <c r="AZ606" t="inlineStr">
        <is>
          <t>BOOK</t>
        </is>
      </c>
      <c r="BB606" t="inlineStr">
        <is>
          <t>9780714817514</t>
        </is>
      </c>
      <c r="BC606" t="inlineStr">
        <is>
          <t>32285001750933</t>
        </is>
      </c>
      <c r="BD606" t="inlineStr">
        <is>
          <t>893253331</t>
        </is>
      </c>
    </row>
    <row r="607">
      <c r="A607" t="inlineStr">
        <is>
          <t>No</t>
        </is>
      </c>
      <c r="B607" t="inlineStr">
        <is>
          <t>ND588.G7 S3713</t>
        </is>
      </c>
      <c r="C607" t="inlineStr">
        <is>
          <t>0                      ND 0588000G  7                  S  3713</t>
        </is>
      </c>
      <c r="D607" t="inlineStr">
        <is>
          <t>The Isenheim Altarpiece. Photos. by Bert Koch. [Translated from German by Robert Erich Wolf]</t>
        </is>
      </c>
      <c r="F607" t="inlineStr">
        <is>
          <t>No</t>
        </is>
      </c>
      <c r="G607" t="inlineStr">
        <is>
          <t>1</t>
        </is>
      </c>
      <c r="H607" t="inlineStr">
        <is>
          <t>No</t>
        </is>
      </c>
      <c r="I607" t="inlineStr">
        <is>
          <t>No</t>
        </is>
      </c>
      <c r="J607" t="inlineStr">
        <is>
          <t>0</t>
        </is>
      </c>
      <c r="K607" t="inlineStr">
        <is>
          <t>Scheja, Georg.</t>
        </is>
      </c>
      <c r="L607" t="inlineStr">
        <is>
          <t>New York, H. N. Abrams [c1969]</t>
        </is>
      </c>
      <c r="M607" t="inlineStr">
        <is>
          <t>1969</t>
        </is>
      </c>
      <c r="O607" t="inlineStr">
        <is>
          <t>eng</t>
        </is>
      </c>
      <c r="P607" t="inlineStr">
        <is>
          <t>nyu</t>
        </is>
      </c>
      <c r="R607" t="inlineStr">
        <is>
          <t xml:space="preserve">ND </t>
        </is>
      </c>
      <c r="S607" t="n">
        <v>8</v>
      </c>
      <c r="T607" t="n">
        <v>8</v>
      </c>
      <c r="U607" t="inlineStr">
        <is>
          <t>2010-10-27</t>
        </is>
      </c>
      <c r="V607" t="inlineStr">
        <is>
          <t>2010-10-27</t>
        </is>
      </c>
      <c r="W607" t="inlineStr">
        <is>
          <t>1997-07-30</t>
        </is>
      </c>
      <c r="X607" t="inlineStr">
        <is>
          <t>1997-07-30</t>
        </is>
      </c>
      <c r="Y607" t="n">
        <v>576</v>
      </c>
      <c r="Z607" t="n">
        <v>512</v>
      </c>
      <c r="AA607" t="n">
        <v>516</v>
      </c>
      <c r="AB607" t="n">
        <v>5</v>
      </c>
      <c r="AC607" t="n">
        <v>5</v>
      </c>
      <c r="AD607" t="n">
        <v>25</v>
      </c>
      <c r="AE607" t="n">
        <v>26</v>
      </c>
      <c r="AF607" t="n">
        <v>7</v>
      </c>
      <c r="AG607" t="n">
        <v>8</v>
      </c>
      <c r="AH607" t="n">
        <v>5</v>
      </c>
      <c r="AI607" t="n">
        <v>5</v>
      </c>
      <c r="AJ607" t="n">
        <v>15</v>
      </c>
      <c r="AK607" t="n">
        <v>15</v>
      </c>
      <c r="AL607" t="n">
        <v>3</v>
      </c>
      <c r="AM607" t="n">
        <v>3</v>
      </c>
      <c r="AN607" t="n">
        <v>0</v>
      </c>
      <c r="AO607" t="n">
        <v>0</v>
      </c>
      <c r="AP607" t="inlineStr">
        <is>
          <t>No</t>
        </is>
      </c>
      <c r="AQ607" t="inlineStr">
        <is>
          <t>Yes</t>
        </is>
      </c>
      <c r="AR607">
        <f>HYPERLINK("http://catalog.hathitrust.org/Record/008512987","HathiTrust Record")</f>
        <v/>
      </c>
      <c r="AS607">
        <f>HYPERLINK("https://creighton-primo.hosted.exlibrisgroup.com/primo-explore/search?tab=default_tab&amp;search_scope=EVERYTHING&amp;vid=01CRU&amp;lang=en_US&amp;offset=0&amp;query=any,contains,991000725149702656","Catalog Record")</f>
        <v/>
      </c>
      <c r="AT607">
        <f>HYPERLINK("http://www.worldcat.org/oclc/127414","WorldCat Record")</f>
        <v/>
      </c>
      <c r="AU607" t="inlineStr">
        <is>
          <t>5196311434:eng</t>
        </is>
      </c>
      <c r="AV607" t="inlineStr">
        <is>
          <t>127414</t>
        </is>
      </c>
      <c r="AW607" t="inlineStr">
        <is>
          <t>991000725149702656</t>
        </is>
      </c>
      <c r="AX607" t="inlineStr">
        <is>
          <t>991000725149702656</t>
        </is>
      </c>
      <c r="AY607" t="inlineStr">
        <is>
          <t>2261010280002656</t>
        </is>
      </c>
      <c r="AZ607" t="inlineStr">
        <is>
          <t>BOOK</t>
        </is>
      </c>
      <c r="BB607" t="inlineStr">
        <is>
          <t>9780810901902</t>
        </is>
      </c>
      <c r="BC607" t="inlineStr">
        <is>
          <t>32285002968401</t>
        </is>
      </c>
      <c r="BD607" t="inlineStr">
        <is>
          <t>893407458</t>
        </is>
      </c>
    </row>
    <row r="608">
      <c r="A608" t="inlineStr">
        <is>
          <t>No</t>
        </is>
      </c>
      <c r="B608" t="inlineStr">
        <is>
          <t>ND588.K464 A4 1987a</t>
        </is>
      </c>
      <c r="C608" t="inlineStr">
        <is>
          <t>0                      ND 0588000K  464                A  4           1987a</t>
        </is>
      </c>
      <c r="D608" t="inlineStr">
        <is>
          <t>Anselm Kiefer / by Mark Rosenthal ; organized by A. James Speyer, Mark Rosenthal.</t>
        </is>
      </c>
      <c r="F608" t="inlineStr">
        <is>
          <t>No</t>
        </is>
      </c>
      <c r="G608" t="inlineStr">
        <is>
          <t>1</t>
        </is>
      </c>
      <c r="H608" t="inlineStr">
        <is>
          <t>Yes</t>
        </is>
      </c>
      <c r="I608" t="inlineStr">
        <is>
          <t>No</t>
        </is>
      </c>
      <c r="J608" t="inlineStr">
        <is>
          <t>0</t>
        </is>
      </c>
      <c r="K608" t="inlineStr">
        <is>
          <t>Rosenthal, Mark (Mark Lawrence)</t>
        </is>
      </c>
      <c r="L608" t="inlineStr">
        <is>
          <t>Chicago : Art Institute of Chicago ; Philadelphia : Philadelphia Museum of Art ; New York, NY : Distributed in the U.S. and Canada by the Neues Pub. Co., 1987.</t>
        </is>
      </c>
      <c r="M608" t="inlineStr">
        <is>
          <t>1987</t>
        </is>
      </c>
      <c r="O608" t="inlineStr">
        <is>
          <t>eng</t>
        </is>
      </c>
      <c r="P608" t="inlineStr">
        <is>
          <t>ilu</t>
        </is>
      </c>
      <c r="R608" t="inlineStr">
        <is>
          <t xml:space="preserve">ND </t>
        </is>
      </c>
      <c r="S608" t="n">
        <v>7</v>
      </c>
      <c r="T608" t="n">
        <v>18</v>
      </c>
      <c r="U608" t="inlineStr">
        <is>
          <t>1999-09-13</t>
        </is>
      </c>
      <c r="V608" t="inlineStr">
        <is>
          <t>2005-02-11</t>
        </is>
      </c>
      <c r="W608" t="inlineStr">
        <is>
          <t>1993-02-02</t>
        </is>
      </c>
      <c r="X608" t="inlineStr">
        <is>
          <t>1993-06-02</t>
        </is>
      </c>
      <c r="Y608" t="n">
        <v>1131</v>
      </c>
      <c r="Z608" t="n">
        <v>914</v>
      </c>
      <c r="AA608" t="n">
        <v>962</v>
      </c>
      <c r="AB608" t="n">
        <v>8</v>
      </c>
      <c r="AC608" t="n">
        <v>8</v>
      </c>
      <c r="AD608" t="n">
        <v>39</v>
      </c>
      <c r="AE608" t="n">
        <v>41</v>
      </c>
      <c r="AF608" t="n">
        <v>18</v>
      </c>
      <c r="AG608" t="n">
        <v>20</v>
      </c>
      <c r="AH608" t="n">
        <v>9</v>
      </c>
      <c r="AI608" t="n">
        <v>9</v>
      </c>
      <c r="AJ608" t="n">
        <v>15</v>
      </c>
      <c r="AK608" t="n">
        <v>16</v>
      </c>
      <c r="AL608" t="n">
        <v>6</v>
      </c>
      <c r="AM608" t="n">
        <v>6</v>
      </c>
      <c r="AN608" t="n">
        <v>0</v>
      </c>
      <c r="AO608" t="n">
        <v>0</v>
      </c>
      <c r="AP608" t="inlineStr">
        <is>
          <t>No</t>
        </is>
      </c>
      <c r="AQ608" t="inlineStr">
        <is>
          <t>Yes</t>
        </is>
      </c>
      <c r="AR608">
        <f>HYPERLINK("http://catalog.hathitrust.org/Record/000843939","HathiTrust Record")</f>
        <v/>
      </c>
      <c r="AS608">
        <f>HYPERLINK("https://creighton-primo.hosted.exlibrisgroup.com/primo-explore/search?tab=default_tab&amp;search_scope=EVERYTHING&amp;vid=01CRU&amp;lang=en_US&amp;offset=0&amp;query=any,contains,991005408469702656","Catalog Record")</f>
        <v/>
      </c>
      <c r="AT608">
        <f>HYPERLINK("http://www.worldcat.org/oclc/16871073","WorldCat Record")</f>
        <v/>
      </c>
      <c r="AU608" t="inlineStr">
        <is>
          <t>900078972:eng</t>
        </is>
      </c>
      <c r="AV608" t="inlineStr">
        <is>
          <t>16871073</t>
        </is>
      </c>
      <c r="AW608" t="inlineStr">
        <is>
          <t>991005408469702656</t>
        </is>
      </c>
      <c r="AX608" t="inlineStr">
        <is>
          <t>991005408469702656</t>
        </is>
      </c>
      <c r="AY608" t="inlineStr">
        <is>
          <t>2263133150002656</t>
        </is>
      </c>
      <c r="AZ608" t="inlineStr">
        <is>
          <t>BOOK</t>
        </is>
      </c>
      <c r="BB608" t="inlineStr">
        <is>
          <t>9780876330715</t>
        </is>
      </c>
      <c r="BC608" t="inlineStr">
        <is>
          <t>32285001427581</t>
        </is>
      </c>
      <c r="BD608" t="inlineStr">
        <is>
          <t>893601165</t>
        </is>
      </c>
    </row>
    <row r="609">
      <c r="A609" t="inlineStr">
        <is>
          <t>No</t>
        </is>
      </c>
      <c r="B609" t="inlineStr">
        <is>
          <t>ND588.K464 A4 1987a</t>
        </is>
      </c>
      <c r="C609" t="inlineStr">
        <is>
          <t>0                      ND 0588000K  464                A  4           1987a</t>
        </is>
      </c>
      <c r="D609" t="inlineStr">
        <is>
          <t>Anselm Kiefer / by Mark Rosenthal ; organized by A. James Speyer, Mark Rosenthal.</t>
        </is>
      </c>
      <c r="F609" t="inlineStr">
        <is>
          <t>No</t>
        </is>
      </c>
      <c r="G609" t="inlineStr">
        <is>
          <t>1</t>
        </is>
      </c>
      <c r="H609" t="inlineStr">
        <is>
          <t>Yes</t>
        </is>
      </c>
      <c r="I609" t="inlineStr">
        <is>
          <t>No</t>
        </is>
      </c>
      <c r="J609" t="inlineStr">
        <is>
          <t>0</t>
        </is>
      </c>
      <c r="K609" t="inlineStr">
        <is>
          <t>Rosenthal, Mark (Mark Lawrence)</t>
        </is>
      </c>
      <c r="L609" t="inlineStr">
        <is>
          <t>Chicago : Art Institute of Chicago ; Philadelphia : Philadelphia Museum of Art ; New York, NY : Distributed in the U.S. and Canada by the Neues Pub. Co., 1987.</t>
        </is>
      </c>
      <c r="M609" t="inlineStr">
        <is>
          <t>1987</t>
        </is>
      </c>
      <c r="O609" t="inlineStr">
        <is>
          <t>eng</t>
        </is>
      </c>
      <c r="P609" t="inlineStr">
        <is>
          <t>ilu</t>
        </is>
      </c>
      <c r="R609" t="inlineStr">
        <is>
          <t xml:space="preserve">ND </t>
        </is>
      </c>
      <c r="S609" t="n">
        <v>11</v>
      </c>
      <c r="T609" t="n">
        <v>18</v>
      </c>
      <c r="U609" t="inlineStr">
        <is>
          <t>2005-02-11</t>
        </is>
      </c>
      <c r="V609" t="inlineStr">
        <is>
          <t>2005-02-11</t>
        </is>
      </c>
      <c r="W609" t="inlineStr">
        <is>
          <t>1993-06-02</t>
        </is>
      </c>
      <c r="X609" t="inlineStr">
        <is>
          <t>1993-06-02</t>
        </is>
      </c>
      <c r="Y609" t="n">
        <v>1131</v>
      </c>
      <c r="Z609" t="n">
        <v>914</v>
      </c>
      <c r="AA609" t="n">
        <v>962</v>
      </c>
      <c r="AB609" t="n">
        <v>8</v>
      </c>
      <c r="AC609" t="n">
        <v>8</v>
      </c>
      <c r="AD609" t="n">
        <v>39</v>
      </c>
      <c r="AE609" t="n">
        <v>41</v>
      </c>
      <c r="AF609" t="n">
        <v>18</v>
      </c>
      <c r="AG609" t="n">
        <v>20</v>
      </c>
      <c r="AH609" t="n">
        <v>9</v>
      </c>
      <c r="AI609" t="n">
        <v>9</v>
      </c>
      <c r="AJ609" t="n">
        <v>15</v>
      </c>
      <c r="AK609" t="n">
        <v>16</v>
      </c>
      <c r="AL609" t="n">
        <v>6</v>
      </c>
      <c r="AM609" t="n">
        <v>6</v>
      </c>
      <c r="AN609" t="n">
        <v>0</v>
      </c>
      <c r="AO609" t="n">
        <v>0</v>
      </c>
      <c r="AP609" t="inlineStr">
        <is>
          <t>No</t>
        </is>
      </c>
      <c r="AQ609" t="inlineStr">
        <is>
          <t>Yes</t>
        </is>
      </c>
      <c r="AR609">
        <f>HYPERLINK("http://catalog.hathitrust.org/Record/000843939","HathiTrust Record")</f>
        <v/>
      </c>
      <c r="AS609">
        <f>HYPERLINK("https://creighton-primo.hosted.exlibrisgroup.com/primo-explore/search?tab=default_tab&amp;search_scope=EVERYTHING&amp;vid=01CRU&amp;lang=en_US&amp;offset=0&amp;query=any,contains,991005408469702656","Catalog Record")</f>
        <v/>
      </c>
      <c r="AT609">
        <f>HYPERLINK("http://www.worldcat.org/oclc/16871073","WorldCat Record")</f>
        <v/>
      </c>
      <c r="AU609" t="inlineStr">
        <is>
          <t>900078972:eng</t>
        </is>
      </c>
      <c r="AV609" t="inlineStr">
        <is>
          <t>16871073</t>
        </is>
      </c>
      <c r="AW609" t="inlineStr">
        <is>
          <t>991005408469702656</t>
        </is>
      </c>
      <c r="AX609" t="inlineStr">
        <is>
          <t>991005408469702656</t>
        </is>
      </c>
      <c r="AY609" t="inlineStr">
        <is>
          <t>2263133150002656</t>
        </is>
      </c>
      <c r="AZ609" t="inlineStr">
        <is>
          <t>BOOK</t>
        </is>
      </c>
      <c r="BB609" t="inlineStr">
        <is>
          <t>9780876330715</t>
        </is>
      </c>
      <c r="BC609" t="inlineStr">
        <is>
          <t>32285001668671</t>
        </is>
      </c>
      <c r="BD609" t="inlineStr">
        <is>
          <t>893619948</t>
        </is>
      </c>
    </row>
    <row r="610">
      <c r="A610" t="inlineStr">
        <is>
          <t>No</t>
        </is>
      </c>
      <c r="B610" t="inlineStr">
        <is>
          <t>ND588.K464 G55 1990</t>
        </is>
      </c>
      <c r="C610" t="inlineStr">
        <is>
          <t>0                      ND 0588000K  464                G  55          1990</t>
        </is>
      </c>
      <c r="D610" t="inlineStr">
        <is>
          <t>Fire on the earth : Anselm Kiefer and the postmodern world / John C. Gilmour.</t>
        </is>
      </c>
      <c r="F610" t="inlineStr">
        <is>
          <t>No</t>
        </is>
      </c>
      <c r="G610" t="inlineStr">
        <is>
          <t>1</t>
        </is>
      </c>
      <c r="H610" t="inlineStr">
        <is>
          <t>No</t>
        </is>
      </c>
      <c r="I610" t="inlineStr">
        <is>
          <t>No</t>
        </is>
      </c>
      <c r="J610" t="inlineStr">
        <is>
          <t>0</t>
        </is>
      </c>
      <c r="K610" t="inlineStr">
        <is>
          <t>Gilmour, John, 1939-</t>
        </is>
      </c>
      <c r="L610" t="inlineStr">
        <is>
          <t>Philadelphia : Temple University Press, 1990.</t>
        </is>
      </c>
      <c r="M610" t="inlineStr">
        <is>
          <t>1990</t>
        </is>
      </c>
      <c r="O610" t="inlineStr">
        <is>
          <t>eng</t>
        </is>
      </c>
      <c r="P610" t="inlineStr">
        <is>
          <t>pau</t>
        </is>
      </c>
      <c r="Q610" t="inlineStr">
        <is>
          <t>The Arts and their philosophies</t>
        </is>
      </c>
      <c r="R610" t="inlineStr">
        <is>
          <t xml:space="preserve">ND </t>
        </is>
      </c>
      <c r="S610" t="n">
        <v>6</v>
      </c>
      <c r="T610" t="n">
        <v>6</v>
      </c>
      <c r="U610" t="inlineStr">
        <is>
          <t>2005-02-11</t>
        </is>
      </c>
      <c r="V610" t="inlineStr">
        <is>
          <t>2005-02-11</t>
        </is>
      </c>
      <c r="W610" t="inlineStr">
        <is>
          <t>1990-12-04</t>
        </is>
      </c>
      <c r="X610" t="inlineStr">
        <is>
          <t>1990-12-04</t>
        </is>
      </c>
      <c r="Y610" t="n">
        <v>540</v>
      </c>
      <c r="Z610" t="n">
        <v>454</v>
      </c>
      <c r="AA610" t="n">
        <v>459</v>
      </c>
      <c r="AB610" t="n">
        <v>5</v>
      </c>
      <c r="AC610" t="n">
        <v>5</v>
      </c>
      <c r="AD610" t="n">
        <v>22</v>
      </c>
      <c r="AE610" t="n">
        <v>22</v>
      </c>
      <c r="AF610" t="n">
        <v>9</v>
      </c>
      <c r="AG610" t="n">
        <v>9</v>
      </c>
      <c r="AH610" t="n">
        <v>5</v>
      </c>
      <c r="AI610" t="n">
        <v>5</v>
      </c>
      <c r="AJ610" t="n">
        <v>9</v>
      </c>
      <c r="AK610" t="n">
        <v>9</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HYPERLINK("https://creighton-primo.hosted.exlibrisgroup.com/primo-explore/search?tab=default_tab&amp;search_scope=EVERYTHING&amp;vid=01CRU&amp;lang=en_US&amp;offset=0&amp;query=any,contains,991001541089702656","Catalog Record")</f>
        <v/>
      </c>
      <c r="AT610">
        <f>HYPERLINK("http://www.worldcat.org/oclc/20130746","WorldCat Record")</f>
        <v/>
      </c>
      <c r="AU610" t="inlineStr">
        <is>
          <t>889452743:eng</t>
        </is>
      </c>
      <c r="AV610" t="inlineStr">
        <is>
          <t>20130746</t>
        </is>
      </c>
      <c r="AW610" t="inlineStr">
        <is>
          <t>991001541089702656</t>
        </is>
      </c>
      <c r="AX610" t="inlineStr">
        <is>
          <t>991001541089702656</t>
        </is>
      </c>
      <c r="AY610" t="inlineStr">
        <is>
          <t>2263601850002656</t>
        </is>
      </c>
      <c r="AZ610" t="inlineStr">
        <is>
          <t>BOOK</t>
        </is>
      </c>
      <c r="BB610" t="inlineStr">
        <is>
          <t>9780877226901</t>
        </is>
      </c>
      <c r="BC610" t="inlineStr">
        <is>
          <t>32285000358407</t>
        </is>
      </c>
      <c r="BD610" t="inlineStr">
        <is>
          <t>893238173</t>
        </is>
      </c>
    </row>
    <row r="611">
      <c r="A611" t="inlineStr">
        <is>
          <t>No</t>
        </is>
      </c>
      <c r="B611" t="inlineStr">
        <is>
          <t>ND588.K5 A252 1968</t>
        </is>
      </c>
      <c r="C611" t="inlineStr">
        <is>
          <t>0                      ND 0588000K  5                  A  252         1968</t>
        </is>
      </c>
      <c r="D611" t="inlineStr">
        <is>
          <t>The diaries of Paul Klee, 1898-1918 / edited, with an introd., by Felix Klee.</t>
        </is>
      </c>
      <c r="F611" t="inlineStr">
        <is>
          <t>No</t>
        </is>
      </c>
      <c r="G611" t="inlineStr">
        <is>
          <t>1</t>
        </is>
      </c>
      <c r="H611" t="inlineStr">
        <is>
          <t>No</t>
        </is>
      </c>
      <c r="I611" t="inlineStr">
        <is>
          <t>No</t>
        </is>
      </c>
      <c r="J611" t="inlineStr">
        <is>
          <t>0</t>
        </is>
      </c>
      <c r="K611" t="inlineStr">
        <is>
          <t>Klee, Paul, 1879-1940.</t>
        </is>
      </c>
      <c r="L611" t="inlineStr">
        <is>
          <t>Berkeley : University of California Press, 1968 [c1964]</t>
        </is>
      </c>
      <c r="M611" t="inlineStr">
        <is>
          <t>1968</t>
        </is>
      </c>
      <c r="O611" t="inlineStr">
        <is>
          <t>eng</t>
        </is>
      </c>
      <c r="P611" t="inlineStr">
        <is>
          <t>cau</t>
        </is>
      </c>
      <c r="R611" t="inlineStr">
        <is>
          <t xml:space="preserve">ND </t>
        </is>
      </c>
      <c r="S611" t="n">
        <v>4</v>
      </c>
      <c r="T611" t="n">
        <v>4</v>
      </c>
      <c r="U611" t="inlineStr">
        <is>
          <t>1994-04-23</t>
        </is>
      </c>
      <c r="V611" t="inlineStr">
        <is>
          <t>1994-04-23</t>
        </is>
      </c>
      <c r="W611" t="inlineStr">
        <is>
          <t>1992-12-02</t>
        </is>
      </c>
      <c r="X611" t="inlineStr">
        <is>
          <t>1992-12-02</t>
        </is>
      </c>
      <c r="Y611" t="n">
        <v>227</v>
      </c>
      <c r="Z611" t="n">
        <v>186</v>
      </c>
      <c r="AA611" t="n">
        <v>1113</v>
      </c>
      <c r="AB611" t="n">
        <v>3</v>
      </c>
      <c r="AC611" t="n">
        <v>12</v>
      </c>
      <c r="AD611" t="n">
        <v>5</v>
      </c>
      <c r="AE611" t="n">
        <v>38</v>
      </c>
      <c r="AF611" t="n">
        <v>2</v>
      </c>
      <c r="AG611" t="n">
        <v>11</v>
      </c>
      <c r="AH611" t="n">
        <v>2</v>
      </c>
      <c r="AI611" t="n">
        <v>8</v>
      </c>
      <c r="AJ611" t="n">
        <v>1</v>
      </c>
      <c r="AK611" t="n">
        <v>16</v>
      </c>
      <c r="AL611" t="n">
        <v>2</v>
      </c>
      <c r="AM611" t="n">
        <v>9</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HYPERLINK("https://creighton-primo.hosted.exlibrisgroup.com/primo-explore/search?tab=default_tab&amp;search_scope=EVERYTHING&amp;vid=01CRU&amp;lang=en_US&amp;offset=0&amp;query=any,contains,991004171279702656","Catalog Record")</f>
        <v/>
      </c>
      <c r="AT611">
        <f>HYPERLINK("http://www.worldcat.org/oclc/2581654","WorldCat Record")</f>
        <v/>
      </c>
      <c r="AU611" t="inlineStr">
        <is>
          <t>3753216381:eng</t>
        </is>
      </c>
      <c r="AV611" t="inlineStr">
        <is>
          <t>2581654</t>
        </is>
      </c>
      <c r="AW611" t="inlineStr">
        <is>
          <t>991004171279702656</t>
        </is>
      </c>
      <c r="AX611" t="inlineStr">
        <is>
          <t>991004171279702656</t>
        </is>
      </c>
      <c r="AY611" t="inlineStr">
        <is>
          <t>2260025000002656</t>
        </is>
      </c>
      <c r="AZ611" t="inlineStr">
        <is>
          <t>BOOK</t>
        </is>
      </c>
      <c r="BC611" t="inlineStr">
        <is>
          <t>32285001402261</t>
        </is>
      </c>
      <c r="BD611" t="inlineStr">
        <is>
          <t>893593352</t>
        </is>
      </c>
    </row>
    <row r="612">
      <c r="A612" t="inlineStr">
        <is>
          <t>No</t>
        </is>
      </c>
      <c r="B612" t="inlineStr">
        <is>
          <t>ND588.K5 K28 1983</t>
        </is>
      </c>
      <c r="C612" t="inlineStr">
        <is>
          <t>0                      ND 0588000K  5                  K  28          1983</t>
        </is>
      </c>
      <c r="D612" t="inlineStr">
        <is>
          <t>Paul Klee/art &amp; music / by Andrew Kagan.</t>
        </is>
      </c>
      <c r="F612" t="inlineStr">
        <is>
          <t>No</t>
        </is>
      </c>
      <c r="G612" t="inlineStr">
        <is>
          <t>1</t>
        </is>
      </c>
      <c r="H612" t="inlineStr">
        <is>
          <t>No</t>
        </is>
      </c>
      <c r="I612" t="inlineStr">
        <is>
          <t>No</t>
        </is>
      </c>
      <c r="J612" t="inlineStr">
        <is>
          <t>0</t>
        </is>
      </c>
      <c r="K612" t="inlineStr">
        <is>
          <t>Kagan, Andrew.</t>
        </is>
      </c>
      <c r="L612" t="inlineStr">
        <is>
          <t>Ithaca, N.Y. : Cornell University Press, 1983.</t>
        </is>
      </c>
      <c r="M612" t="inlineStr">
        <is>
          <t>1983</t>
        </is>
      </c>
      <c r="O612" t="inlineStr">
        <is>
          <t>eng</t>
        </is>
      </c>
      <c r="P612" t="inlineStr">
        <is>
          <t>nyu</t>
        </is>
      </c>
      <c r="R612" t="inlineStr">
        <is>
          <t xml:space="preserve">ND </t>
        </is>
      </c>
      <c r="S612" t="n">
        <v>2</v>
      </c>
      <c r="T612" t="n">
        <v>2</v>
      </c>
      <c r="U612" t="inlineStr">
        <is>
          <t>1994-04-23</t>
        </is>
      </c>
      <c r="V612" t="inlineStr">
        <is>
          <t>1994-04-23</t>
        </is>
      </c>
      <c r="W612" t="inlineStr">
        <is>
          <t>1992-12-15</t>
        </is>
      </c>
      <c r="X612" t="inlineStr">
        <is>
          <t>1992-12-15</t>
        </is>
      </c>
      <c r="Y612" t="n">
        <v>705</v>
      </c>
      <c r="Z612" t="n">
        <v>573</v>
      </c>
      <c r="AA612" t="n">
        <v>574</v>
      </c>
      <c r="AB612" t="n">
        <v>5</v>
      </c>
      <c r="AC612" t="n">
        <v>5</v>
      </c>
      <c r="AD612" t="n">
        <v>25</v>
      </c>
      <c r="AE612" t="n">
        <v>25</v>
      </c>
      <c r="AF612" t="n">
        <v>11</v>
      </c>
      <c r="AG612" t="n">
        <v>11</v>
      </c>
      <c r="AH612" t="n">
        <v>6</v>
      </c>
      <c r="AI612" t="n">
        <v>6</v>
      </c>
      <c r="AJ612" t="n">
        <v>10</v>
      </c>
      <c r="AK612" t="n">
        <v>10</v>
      </c>
      <c r="AL612" t="n">
        <v>4</v>
      </c>
      <c r="AM612" t="n">
        <v>4</v>
      </c>
      <c r="AN612" t="n">
        <v>0</v>
      </c>
      <c r="AO612" t="n">
        <v>0</v>
      </c>
      <c r="AP612" t="inlineStr">
        <is>
          <t>No</t>
        </is>
      </c>
      <c r="AQ612" t="inlineStr">
        <is>
          <t>Yes</t>
        </is>
      </c>
      <c r="AR612">
        <f>HYPERLINK("http://catalog.hathitrust.org/Record/000111757","HathiTrust Record")</f>
        <v/>
      </c>
      <c r="AS612">
        <f>HYPERLINK("https://creighton-primo.hosted.exlibrisgroup.com/primo-explore/search?tab=default_tab&amp;search_scope=EVERYTHING&amp;vid=01CRU&amp;lang=en_US&amp;offset=0&amp;query=any,contains,991000068549702656","Catalog Record")</f>
        <v/>
      </c>
      <c r="AT612">
        <f>HYPERLINK("http://www.worldcat.org/oclc/8765751","WorldCat Record")</f>
        <v/>
      </c>
      <c r="AU612" t="inlineStr">
        <is>
          <t>889300516:eng</t>
        </is>
      </c>
      <c r="AV612" t="inlineStr">
        <is>
          <t>8765751</t>
        </is>
      </c>
      <c r="AW612" t="inlineStr">
        <is>
          <t>991000068549702656</t>
        </is>
      </c>
      <c r="AX612" t="inlineStr">
        <is>
          <t>991000068549702656</t>
        </is>
      </c>
      <c r="AY612" t="inlineStr">
        <is>
          <t>2267963290002656</t>
        </is>
      </c>
      <c r="AZ612" t="inlineStr">
        <is>
          <t>BOOK</t>
        </is>
      </c>
      <c r="BB612" t="inlineStr">
        <is>
          <t>9780801415005</t>
        </is>
      </c>
      <c r="BC612" t="inlineStr">
        <is>
          <t>32285001467041</t>
        </is>
      </c>
      <c r="BD612" t="inlineStr">
        <is>
          <t>893495875</t>
        </is>
      </c>
    </row>
    <row r="613">
      <c r="A613" t="inlineStr">
        <is>
          <t>No</t>
        </is>
      </c>
      <c r="B613" t="inlineStr">
        <is>
          <t>ND588.K5 P6</t>
        </is>
      </c>
      <c r="C613" t="inlineStr">
        <is>
          <t>0                      ND 0588000K  5                  P  6</t>
        </is>
      </c>
      <c r="D613" t="inlineStr">
        <is>
          <t>Klee : biographical and critical study / translated from the Italian by James Emmons.</t>
        </is>
      </c>
      <c r="F613" t="inlineStr">
        <is>
          <t>No</t>
        </is>
      </c>
      <c r="G613" t="inlineStr">
        <is>
          <t>1</t>
        </is>
      </c>
      <c r="H613" t="inlineStr">
        <is>
          <t>No</t>
        </is>
      </c>
      <c r="I613" t="inlineStr">
        <is>
          <t>No</t>
        </is>
      </c>
      <c r="J613" t="inlineStr">
        <is>
          <t>0</t>
        </is>
      </c>
      <c r="K613" t="inlineStr">
        <is>
          <t>Ponente, Nello.</t>
        </is>
      </c>
      <c r="L613" t="inlineStr">
        <is>
          <t>[Lausanne] : Skira ; [distributed by World Pub. Co., Cleveland, 1960]</t>
        </is>
      </c>
      <c r="M613" t="inlineStr">
        <is>
          <t>1960</t>
        </is>
      </c>
      <c r="O613" t="inlineStr">
        <is>
          <t>eng</t>
        </is>
      </c>
      <c r="P613" t="inlineStr">
        <is>
          <t xml:space="preserve">sz </t>
        </is>
      </c>
      <c r="Q613" t="inlineStr">
        <is>
          <t>The Taste of our time, v. 31</t>
        </is>
      </c>
      <c r="R613" t="inlineStr">
        <is>
          <t xml:space="preserve">ND </t>
        </is>
      </c>
      <c r="S613" t="n">
        <v>6</v>
      </c>
      <c r="T613" t="n">
        <v>6</v>
      </c>
      <c r="U613" t="inlineStr">
        <is>
          <t>1996-10-29</t>
        </is>
      </c>
      <c r="V613" t="inlineStr">
        <is>
          <t>1996-10-29</t>
        </is>
      </c>
      <c r="W613" t="inlineStr">
        <is>
          <t>1992-12-17</t>
        </is>
      </c>
      <c r="X613" t="inlineStr">
        <is>
          <t>1992-12-17</t>
        </is>
      </c>
      <c r="Y613" t="n">
        <v>708</v>
      </c>
      <c r="Z613" t="n">
        <v>655</v>
      </c>
      <c r="AA613" t="n">
        <v>732</v>
      </c>
      <c r="AB613" t="n">
        <v>8</v>
      </c>
      <c r="AC613" t="n">
        <v>8</v>
      </c>
      <c r="AD613" t="n">
        <v>30</v>
      </c>
      <c r="AE613" t="n">
        <v>35</v>
      </c>
      <c r="AF613" t="n">
        <v>11</v>
      </c>
      <c r="AG613" t="n">
        <v>13</v>
      </c>
      <c r="AH613" t="n">
        <v>5</v>
      </c>
      <c r="AI613" t="n">
        <v>6</v>
      </c>
      <c r="AJ613" t="n">
        <v>13</v>
      </c>
      <c r="AK613" t="n">
        <v>17</v>
      </c>
      <c r="AL613" t="n">
        <v>7</v>
      </c>
      <c r="AM613" t="n">
        <v>7</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HYPERLINK("https://creighton-primo.hosted.exlibrisgroup.com/primo-explore/search?tab=default_tab&amp;search_scope=EVERYTHING&amp;vid=01CRU&amp;lang=en_US&amp;offset=0&amp;query=any,contains,991003427099702656","Catalog Record")</f>
        <v/>
      </c>
      <c r="AT613">
        <f>HYPERLINK("http://www.worldcat.org/oclc/964797","WorldCat Record")</f>
        <v/>
      </c>
      <c r="AU613" t="inlineStr">
        <is>
          <t>3943704078:eng</t>
        </is>
      </c>
      <c r="AV613" t="inlineStr">
        <is>
          <t>964797</t>
        </is>
      </c>
      <c r="AW613" t="inlineStr">
        <is>
          <t>991003427099702656</t>
        </is>
      </c>
      <c r="AX613" t="inlineStr">
        <is>
          <t>991003427099702656</t>
        </is>
      </c>
      <c r="AY613" t="inlineStr">
        <is>
          <t>2261676130002656</t>
        </is>
      </c>
      <c r="AZ613" t="inlineStr">
        <is>
          <t>BOOK</t>
        </is>
      </c>
      <c r="BC613" t="inlineStr">
        <is>
          <t>32285001403806</t>
        </is>
      </c>
      <c r="BD613" t="inlineStr">
        <is>
          <t>893604781</t>
        </is>
      </c>
    </row>
    <row r="614">
      <c r="A614" t="inlineStr">
        <is>
          <t>No</t>
        </is>
      </c>
      <c r="B614" t="inlineStr">
        <is>
          <t>ND588.K5 S26</t>
        </is>
      </c>
      <c r="C614" t="inlineStr">
        <is>
          <t>0                      ND 0588000K  5                  S  26</t>
        </is>
      </c>
      <c r="D614" t="inlineStr">
        <is>
          <t>Klee : a study of his life and work / translated from the Italian by Stuart Hood.</t>
        </is>
      </c>
      <c r="F614" t="inlineStr">
        <is>
          <t>No</t>
        </is>
      </c>
      <c r="G614" t="inlineStr">
        <is>
          <t>1</t>
        </is>
      </c>
      <c r="H614" t="inlineStr">
        <is>
          <t>No</t>
        </is>
      </c>
      <c r="I614" t="inlineStr">
        <is>
          <t>No</t>
        </is>
      </c>
      <c r="J614" t="inlineStr">
        <is>
          <t>0</t>
        </is>
      </c>
      <c r="K614" t="inlineStr">
        <is>
          <t>Di San Lazzaro, G. (Gualtieri), 1908-1974.</t>
        </is>
      </c>
      <c r="L614" t="inlineStr">
        <is>
          <t>New York : Praeger, [1957]</t>
        </is>
      </c>
      <c r="M614" t="inlineStr">
        <is>
          <t>1957</t>
        </is>
      </c>
      <c r="O614" t="inlineStr">
        <is>
          <t>eng</t>
        </is>
      </c>
      <c r="P614" t="inlineStr">
        <is>
          <t>nyu</t>
        </is>
      </c>
      <c r="R614" t="inlineStr">
        <is>
          <t xml:space="preserve">ND </t>
        </is>
      </c>
      <c r="S614" t="n">
        <v>5</v>
      </c>
      <c r="T614" t="n">
        <v>5</v>
      </c>
      <c r="U614" t="inlineStr">
        <is>
          <t>1996-10-29</t>
        </is>
      </c>
      <c r="V614" t="inlineStr">
        <is>
          <t>1996-10-29</t>
        </is>
      </c>
      <c r="W614" t="inlineStr">
        <is>
          <t>1990-11-12</t>
        </is>
      </c>
      <c r="X614" t="inlineStr">
        <is>
          <t>1990-11-12</t>
        </is>
      </c>
      <c r="Y614" t="n">
        <v>882</v>
      </c>
      <c r="Z614" t="n">
        <v>840</v>
      </c>
      <c r="AA614" t="n">
        <v>1007</v>
      </c>
      <c r="AB614" t="n">
        <v>6</v>
      </c>
      <c r="AC614" t="n">
        <v>8</v>
      </c>
      <c r="AD614" t="n">
        <v>27</v>
      </c>
      <c r="AE614" t="n">
        <v>35</v>
      </c>
      <c r="AF614" t="n">
        <v>14</v>
      </c>
      <c r="AG614" t="n">
        <v>15</v>
      </c>
      <c r="AH614" t="n">
        <v>5</v>
      </c>
      <c r="AI614" t="n">
        <v>7</v>
      </c>
      <c r="AJ614" t="n">
        <v>11</v>
      </c>
      <c r="AK614" t="n">
        <v>16</v>
      </c>
      <c r="AL614" t="n">
        <v>4</v>
      </c>
      <c r="AM614" t="n">
        <v>6</v>
      </c>
      <c r="AN614" t="n">
        <v>0</v>
      </c>
      <c r="AO614" t="n">
        <v>0</v>
      </c>
      <c r="AP614" t="inlineStr">
        <is>
          <t>No</t>
        </is>
      </c>
      <c r="AQ614" t="inlineStr">
        <is>
          <t>Yes</t>
        </is>
      </c>
      <c r="AR614">
        <f>HYPERLINK("http://catalog.hathitrust.org/Record/000651129","HathiTrust Record")</f>
        <v/>
      </c>
      <c r="AS614">
        <f>HYPERLINK("https://creighton-primo.hosted.exlibrisgroup.com/primo-explore/search?tab=default_tab&amp;search_scope=EVERYTHING&amp;vid=01CRU&amp;lang=en_US&amp;offset=0&amp;query=any,contains,991002820149702656","Catalog Record")</f>
        <v/>
      </c>
      <c r="AT614">
        <f>HYPERLINK("http://www.worldcat.org/oclc/466417","WorldCat Record")</f>
        <v/>
      </c>
      <c r="AU614" t="inlineStr">
        <is>
          <t>3856379342:eng</t>
        </is>
      </c>
      <c r="AV614" t="inlineStr">
        <is>
          <t>466417</t>
        </is>
      </c>
      <c r="AW614" t="inlineStr">
        <is>
          <t>991002820149702656</t>
        </is>
      </c>
      <c r="AX614" t="inlineStr">
        <is>
          <t>991002820149702656</t>
        </is>
      </c>
      <c r="AY614" t="inlineStr">
        <is>
          <t>2259837370002656</t>
        </is>
      </c>
      <c r="AZ614" t="inlineStr">
        <is>
          <t>BOOK</t>
        </is>
      </c>
      <c r="BC614" t="inlineStr">
        <is>
          <t>32285000353721</t>
        </is>
      </c>
      <c r="BD614" t="inlineStr">
        <is>
          <t>893597915</t>
        </is>
      </c>
    </row>
    <row r="615">
      <c r="A615" t="inlineStr">
        <is>
          <t>No</t>
        </is>
      </c>
      <c r="B615" t="inlineStr">
        <is>
          <t>ND588.K5 V46 1991</t>
        </is>
      </c>
      <c r="C615" t="inlineStr">
        <is>
          <t>0                      ND 0588000K  5                  V  46          1991</t>
        </is>
      </c>
      <c r="D615" t="inlineStr">
        <is>
          <t>Paul Klee / by Mike Venezia.</t>
        </is>
      </c>
      <c r="F615" t="inlineStr">
        <is>
          <t>No</t>
        </is>
      </c>
      <c r="G615" t="inlineStr">
        <is>
          <t>1</t>
        </is>
      </c>
      <c r="H615" t="inlineStr">
        <is>
          <t>No</t>
        </is>
      </c>
      <c r="I615" t="inlineStr">
        <is>
          <t>No</t>
        </is>
      </c>
      <c r="J615" t="inlineStr">
        <is>
          <t>0</t>
        </is>
      </c>
      <c r="K615" t="inlineStr">
        <is>
          <t>Venezia, Mike.</t>
        </is>
      </c>
      <c r="L615" t="inlineStr">
        <is>
          <t>Chicago : Children's Press, 1991.</t>
        </is>
      </c>
      <c r="M615" t="inlineStr">
        <is>
          <t>1991</t>
        </is>
      </c>
      <c r="O615" t="inlineStr">
        <is>
          <t>eng</t>
        </is>
      </c>
      <c r="P615" t="inlineStr">
        <is>
          <t>ilu</t>
        </is>
      </c>
      <c r="Q615" t="inlineStr">
        <is>
          <t>Getting to know the world's greatest artists</t>
        </is>
      </c>
      <c r="R615" t="inlineStr">
        <is>
          <t xml:space="preserve">ND </t>
        </is>
      </c>
      <c r="S615" t="n">
        <v>7</v>
      </c>
      <c r="T615" t="n">
        <v>7</v>
      </c>
      <c r="U615" t="inlineStr">
        <is>
          <t>2007-11-29</t>
        </is>
      </c>
      <c r="V615" t="inlineStr">
        <is>
          <t>2007-11-29</t>
        </is>
      </c>
      <c r="W615" t="inlineStr">
        <is>
          <t>1995-10-19</t>
        </is>
      </c>
      <c r="X615" t="inlineStr">
        <is>
          <t>1995-10-19</t>
        </is>
      </c>
      <c r="Y615" t="n">
        <v>870</v>
      </c>
      <c r="Z615" t="n">
        <v>791</v>
      </c>
      <c r="AA615" t="n">
        <v>798</v>
      </c>
      <c r="AB615" t="n">
        <v>10</v>
      </c>
      <c r="AC615" t="n">
        <v>10</v>
      </c>
      <c r="AD615" t="n">
        <v>5</v>
      </c>
      <c r="AE615" t="n">
        <v>5</v>
      </c>
      <c r="AF615" t="n">
        <v>3</v>
      </c>
      <c r="AG615" t="n">
        <v>3</v>
      </c>
      <c r="AH615" t="n">
        <v>1</v>
      </c>
      <c r="AI615" t="n">
        <v>1</v>
      </c>
      <c r="AJ615" t="n">
        <v>1</v>
      </c>
      <c r="AK615" t="n">
        <v>1</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HYPERLINK("https://creighton-primo.hosted.exlibrisgroup.com/primo-explore/search?tab=default_tab&amp;search_scope=EVERYTHING&amp;vid=01CRU&amp;lang=en_US&amp;offset=0&amp;query=any,contains,991004517229702656","Catalog Record")</f>
        <v/>
      </c>
      <c r="AT615">
        <f>HYPERLINK("http://www.worldcat.org/oclc/23463726","WorldCat Record")</f>
        <v/>
      </c>
      <c r="AU615" t="inlineStr">
        <is>
          <t>2864429592:eng</t>
        </is>
      </c>
      <c r="AV615" t="inlineStr">
        <is>
          <t>23463726</t>
        </is>
      </c>
      <c r="AW615" t="inlineStr">
        <is>
          <t>991004517229702656</t>
        </is>
      </c>
      <c r="AX615" t="inlineStr">
        <is>
          <t>991004517229702656</t>
        </is>
      </c>
      <c r="AY615" t="inlineStr">
        <is>
          <t>2256011600002656</t>
        </is>
      </c>
      <c r="AZ615" t="inlineStr">
        <is>
          <t>BOOK</t>
        </is>
      </c>
      <c r="BB615" t="inlineStr">
        <is>
          <t>9780516022949</t>
        </is>
      </c>
      <c r="BC615" t="inlineStr">
        <is>
          <t>32285002096542</t>
        </is>
      </c>
      <c r="BD615" t="inlineStr">
        <is>
          <t>893220870</t>
        </is>
      </c>
    </row>
    <row r="616">
      <c r="A616" t="inlineStr">
        <is>
          <t>No</t>
        </is>
      </c>
      <c r="B616" t="inlineStr">
        <is>
          <t>ND588.M194 L46 1979</t>
        </is>
      </c>
      <c r="C616" t="inlineStr">
        <is>
          <t>0                      ND 0588000M  194                L  46          1979</t>
        </is>
      </c>
      <c r="D616" t="inlineStr">
        <is>
          <t>The apocalyptic vision : the art of Franz Marc as German expressionism / by Frederick S. Levine.</t>
        </is>
      </c>
      <c r="F616" t="inlineStr">
        <is>
          <t>No</t>
        </is>
      </c>
      <c r="G616" t="inlineStr">
        <is>
          <t>1</t>
        </is>
      </c>
      <c r="H616" t="inlineStr">
        <is>
          <t>No</t>
        </is>
      </c>
      <c r="I616" t="inlineStr">
        <is>
          <t>No</t>
        </is>
      </c>
      <c r="J616" t="inlineStr">
        <is>
          <t>0</t>
        </is>
      </c>
      <c r="K616" t="inlineStr">
        <is>
          <t>Levine, Frederick S.</t>
        </is>
      </c>
      <c r="L616" t="inlineStr">
        <is>
          <t>New York : Harper &amp; Row, c1979.</t>
        </is>
      </c>
      <c r="M616" t="inlineStr">
        <is>
          <t>1979</t>
        </is>
      </c>
      <c r="N616" t="inlineStr">
        <is>
          <t>1st ed.</t>
        </is>
      </c>
      <c r="O616" t="inlineStr">
        <is>
          <t>eng</t>
        </is>
      </c>
      <c r="P616" t="inlineStr">
        <is>
          <t>nyu</t>
        </is>
      </c>
      <c r="Q616" t="inlineStr">
        <is>
          <t>Icon editions</t>
        </is>
      </c>
      <c r="R616" t="inlineStr">
        <is>
          <t xml:space="preserve">ND </t>
        </is>
      </c>
      <c r="S616" t="n">
        <v>3</v>
      </c>
      <c r="T616" t="n">
        <v>3</v>
      </c>
      <c r="U616" t="inlineStr">
        <is>
          <t>1995-03-27</t>
        </is>
      </c>
      <c r="V616" t="inlineStr">
        <is>
          <t>1995-03-27</t>
        </is>
      </c>
      <c r="W616" t="inlineStr">
        <is>
          <t>1993-05-24</t>
        </is>
      </c>
      <c r="X616" t="inlineStr">
        <is>
          <t>1993-05-24</t>
        </is>
      </c>
      <c r="Y616" t="n">
        <v>745</v>
      </c>
      <c r="Z616" t="n">
        <v>579</v>
      </c>
      <c r="AA616" t="n">
        <v>585</v>
      </c>
      <c r="AB616" t="n">
        <v>4</v>
      </c>
      <c r="AC616" t="n">
        <v>4</v>
      </c>
      <c r="AD616" t="n">
        <v>19</v>
      </c>
      <c r="AE616" t="n">
        <v>19</v>
      </c>
      <c r="AF616" t="n">
        <v>5</v>
      </c>
      <c r="AG616" t="n">
        <v>5</v>
      </c>
      <c r="AH616" t="n">
        <v>6</v>
      </c>
      <c r="AI616" t="n">
        <v>6</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HYPERLINK("https://creighton-primo.hosted.exlibrisgroup.com/primo-explore/search?tab=default_tab&amp;search_scope=EVERYTHING&amp;vid=01CRU&amp;lang=en_US&amp;offset=0&amp;query=any,contains,991004567349702656","Catalog Record")</f>
        <v/>
      </c>
      <c r="AT616">
        <f>HYPERLINK("http://www.worldcat.org/oclc/4004868","WorldCat Record")</f>
        <v/>
      </c>
      <c r="AU616" t="inlineStr">
        <is>
          <t>948309175:eng</t>
        </is>
      </c>
      <c r="AV616" t="inlineStr">
        <is>
          <t>4004868</t>
        </is>
      </c>
      <c r="AW616" t="inlineStr">
        <is>
          <t>991004567349702656</t>
        </is>
      </c>
      <c r="AX616" t="inlineStr">
        <is>
          <t>991004567349702656</t>
        </is>
      </c>
      <c r="AY616" t="inlineStr">
        <is>
          <t>2265079890002656</t>
        </is>
      </c>
      <c r="AZ616" t="inlineStr">
        <is>
          <t>BOOK</t>
        </is>
      </c>
      <c r="BB616" t="inlineStr">
        <is>
          <t>9780064352758</t>
        </is>
      </c>
      <c r="BC616" t="inlineStr">
        <is>
          <t>32285001692283</t>
        </is>
      </c>
      <c r="BD616" t="inlineStr">
        <is>
          <t>893719089</t>
        </is>
      </c>
    </row>
    <row r="617">
      <c r="A617" t="inlineStr">
        <is>
          <t>No</t>
        </is>
      </c>
      <c r="B617" t="inlineStr">
        <is>
          <t>ND588.M58 A313</t>
        </is>
      </c>
      <c r="C617" t="inlineStr">
        <is>
          <t>0                      ND 0588000M  58                 A  313</t>
        </is>
      </c>
      <c r="D617" t="inlineStr">
        <is>
          <t>The letters and journals of Paula Modersohn-Becker / translated and annotated by J. Diane Radycki ; introd. by Alessandra Comini ; epilogue by Adrienne Rich and Lilly Engler.</t>
        </is>
      </c>
      <c r="F617" t="inlineStr">
        <is>
          <t>No</t>
        </is>
      </c>
      <c r="G617" t="inlineStr">
        <is>
          <t>1</t>
        </is>
      </c>
      <c r="H617" t="inlineStr">
        <is>
          <t>No</t>
        </is>
      </c>
      <c r="I617" t="inlineStr">
        <is>
          <t>No</t>
        </is>
      </c>
      <c r="J617" t="inlineStr">
        <is>
          <t>0</t>
        </is>
      </c>
      <c r="K617" t="inlineStr">
        <is>
          <t>Modersohn-Becker, Paula, 1876-1907.</t>
        </is>
      </c>
      <c r="L617" t="inlineStr">
        <is>
          <t>Metuchen, N.J. : Scarecrow Press, c1980.</t>
        </is>
      </c>
      <c r="M617" t="inlineStr">
        <is>
          <t>1980</t>
        </is>
      </c>
      <c r="O617" t="inlineStr">
        <is>
          <t>eng</t>
        </is>
      </c>
      <c r="P617" t="inlineStr">
        <is>
          <t>nju</t>
        </is>
      </c>
      <c r="R617" t="inlineStr">
        <is>
          <t xml:space="preserve">ND </t>
        </is>
      </c>
      <c r="S617" t="n">
        <v>3</v>
      </c>
      <c r="T617" t="n">
        <v>3</v>
      </c>
      <c r="U617" t="inlineStr">
        <is>
          <t>2009-02-02</t>
        </is>
      </c>
      <c r="V617" t="inlineStr">
        <is>
          <t>2009-02-02</t>
        </is>
      </c>
      <c r="W617" t="inlineStr">
        <is>
          <t>1993-05-24</t>
        </is>
      </c>
      <c r="X617" t="inlineStr">
        <is>
          <t>1993-05-24</t>
        </is>
      </c>
      <c r="Y617" t="n">
        <v>496</v>
      </c>
      <c r="Z617" t="n">
        <v>431</v>
      </c>
      <c r="AA617" t="n">
        <v>434</v>
      </c>
      <c r="AB617" t="n">
        <v>4</v>
      </c>
      <c r="AC617" t="n">
        <v>4</v>
      </c>
      <c r="AD617" t="n">
        <v>14</v>
      </c>
      <c r="AE617" t="n">
        <v>14</v>
      </c>
      <c r="AF617" t="n">
        <v>4</v>
      </c>
      <c r="AG617" t="n">
        <v>4</v>
      </c>
      <c r="AH617" t="n">
        <v>5</v>
      </c>
      <c r="AI617" t="n">
        <v>5</v>
      </c>
      <c r="AJ617" t="n">
        <v>5</v>
      </c>
      <c r="AK617" t="n">
        <v>5</v>
      </c>
      <c r="AL617" t="n">
        <v>2</v>
      </c>
      <c r="AM617" t="n">
        <v>2</v>
      </c>
      <c r="AN617" t="n">
        <v>0</v>
      </c>
      <c r="AO617" t="n">
        <v>0</v>
      </c>
      <c r="AP617" t="inlineStr">
        <is>
          <t>No</t>
        </is>
      </c>
      <c r="AQ617" t="inlineStr">
        <is>
          <t>Yes</t>
        </is>
      </c>
      <c r="AR617">
        <f>HYPERLINK("http://catalog.hathitrust.org/Record/000746392","HathiTrust Record")</f>
        <v/>
      </c>
      <c r="AS617">
        <f>HYPERLINK("https://creighton-primo.hosted.exlibrisgroup.com/primo-explore/search?tab=default_tab&amp;search_scope=EVERYTHING&amp;vid=01CRU&amp;lang=en_US&amp;offset=0&amp;query=any,contains,991004999069702656","Catalog Record")</f>
        <v/>
      </c>
      <c r="AT617">
        <f>HYPERLINK("http://www.worldcat.org/oclc/6532911","WorldCat Record")</f>
        <v/>
      </c>
      <c r="AU617" t="inlineStr">
        <is>
          <t>4820381706:eng</t>
        </is>
      </c>
      <c r="AV617" t="inlineStr">
        <is>
          <t>6532911</t>
        </is>
      </c>
      <c r="AW617" t="inlineStr">
        <is>
          <t>991004999069702656</t>
        </is>
      </c>
      <c r="AX617" t="inlineStr">
        <is>
          <t>991004999069702656</t>
        </is>
      </c>
      <c r="AY617" t="inlineStr">
        <is>
          <t>2262150000002656</t>
        </is>
      </c>
      <c r="AZ617" t="inlineStr">
        <is>
          <t>BOOK</t>
        </is>
      </c>
      <c r="BB617" t="inlineStr">
        <is>
          <t>9780810813441</t>
        </is>
      </c>
      <c r="BC617" t="inlineStr">
        <is>
          <t>32285001692291</t>
        </is>
      </c>
      <c r="BD617" t="inlineStr">
        <is>
          <t>893501182</t>
        </is>
      </c>
    </row>
    <row r="618">
      <c r="A618" t="inlineStr">
        <is>
          <t>No</t>
        </is>
      </c>
      <c r="B618" t="inlineStr">
        <is>
          <t>ND588.N6 H33</t>
        </is>
      </c>
      <c r="C618" t="inlineStr">
        <is>
          <t>0                      ND 0588000N  6                  H  33</t>
        </is>
      </c>
      <c r="D618" t="inlineStr">
        <is>
          <t>Unpainted pictures. [Text by] Werner Haftmann. [Translated from the German by Inge Goodwin]</t>
        </is>
      </c>
      <c r="F618" t="inlineStr">
        <is>
          <t>No</t>
        </is>
      </c>
      <c r="G618" t="inlineStr">
        <is>
          <t>1</t>
        </is>
      </c>
      <c r="H618" t="inlineStr">
        <is>
          <t>No</t>
        </is>
      </c>
      <c r="I618" t="inlineStr">
        <is>
          <t>No</t>
        </is>
      </c>
      <c r="J618" t="inlineStr">
        <is>
          <t>0</t>
        </is>
      </c>
      <c r="K618" t="inlineStr">
        <is>
          <t>Nolde, Emil, 1867-1956.</t>
        </is>
      </c>
      <c r="L618" t="inlineStr">
        <is>
          <t>New York, F.A. Praeger, [1965]</t>
        </is>
      </c>
      <c r="M618" t="inlineStr">
        <is>
          <t>1965</t>
        </is>
      </c>
      <c r="O618" t="inlineStr">
        <is>
          <t>eng</t>
        </is>
      </c>
      <c r="P618" t="inlineStr">
        <is>
          <t xml:space="preserve">xx </t>
        </is>
      </c>
      <c r="R618" t="inlineStr">
        <is>
          <t xml:space="preserve">ND </t>
        </is>
      </c>
      <c r="S618" t="n">
        <v>3</v>
      </c>
      <c r="T618" t="n">
        <v>3</v>
      </c>
      <c r="U618" t="inlineStr">
        <is>
          <t>2006-10-25</t>
        </is>
      </c>
      <c r="V618" t="inlineStr">
        <is>
          <t>2006-10-25</t>
        </is>
      </c>
      <c r="W618" t="inlineStr">
        <is>
          <t>1997-07-30</t>
        </is>
      </c>
      <c r="X618" t="inlineStr">
        <is>
          <t>1997-07-30</t>
        </is>
      </c>
      <c r="Y618" t="n">
        <v>364</v>
      </c>
      <c r="Z618" t="n">
        <v>354</v>
      </c>
      <c r="AA618" t="n">
        <v>364</v>
      </c>
      <c r="AB618" t="n">
        <v>4</v>
      </c>
      <c r="AC618" t="n">
        <v>4</v>
      </c>
      <c r="AD618" t="n">
        <v>10</v>
      </c>
      <c r="AE618" t="n">
        <v>10</v>
      </c>
      <c r="AF618" t="n">
        <v>4</v>
      </c>
      <c r="AG618" t="n">
        <v>4</v>
      </c>
      <c r="AH618" t="n">
        <v>2</v>
      </c>
      <c r="AI618" t="n">
        <v>2</v>
      </c>
      <c r="AJ618" t="n">
        <v>2</v>
      </c>
      <c r="AK618" t="n">
        <v>2</v>
      </c>
      <c r="AL618" t="n">
        <v>3</v>
      </c>
      <c r="AM618" t="n">
        <v>3</v>
      </c>
      <c r="AN618" t="n">
        <v>0</v>
      </c>
      <c r="AO618" t="n">
        <v>0</v>
      </c>
      <c r="AP618" t="inlineStr">
        <is>
          <t>No</t>
        </is>
      </c>
      <c r="AQ618" t="inlineStr">
        <is>
          <t>Yes</t>
        </is>
      </c>
      <c r="AR618">
        <f>HYPERLINK("http://catalog.hathitrust.org/Record/008513005","HathiTrust Record")</f>
        <v/>
      </c>
      <c r="AS618">
        <f>HYPERLINK("https://creighton-primo.hosted.exlibrisgroup.com/primo-explore/search?tab=default_tab&amp;search_scope=EVERYTHING&amp;vid=01CRU&amp;lang=en_US&amp;offset=0&amp;query=any,contains,991003770539702656","Catalog Record")</f>
        <v/>
      </c>
      <c r="AT618">
        <f>HYPERLINK("http://www.worldcat.org/oclc/1470332","WorldCat Record")</f>
        <v/>
      </c>
      <c r="AU618" t="inlineStr">
        <is>
          <t>3855380868:eng</t>
        </is>
      </c>
      <c r="AV618" t="inlineStr">
        <is>
          <t>1470332</t>
        </is>
      </c>
      <c r="AW618" t="inlineStr">
        <is>
          <t>991003770539702656</t>
        </is>
      </c>
      <c r="AX618" t="inlineStr">
        <is>
          <t>991003770539702656</t>
        </is>
      </c>
      <c r="AY618" t="inlineStr">
        <is>
          <t>2272532790002656</t>
        </is>
      </c>
      <c r="AZ618" t="inlineStr">
        <is>
          <t>BOOK</t>
        </is>
      </c>
      <c r="BC618" t="inlineStr">
        <is>
          <t>32285002968435</t>
        </is>
      </c>
      <c r="BD618" t="inlineStr">
        <is>
          <t>893240582</t>
        </is>
      </c>
    </row>
    <row r="619">
      <c r="A619" t="inlineStr">
        <is>
          <t>No</t>
        </is>
      </c>
      <c r="B619" t="inlineStr">
        <is>
          <t>ND611 .C8 1975</t>
        </is>
      </c>
      <c r="C619" t="inlineStr">
        <is>
          <t>0                      ND 0611000C  8           1975</t>
        </is>
      </c>
      <c r="D619" t="inlineStr">
        <is>
          <t>A history of painting in Italy, Umbria, Florence and Siena, from the second to the sixteenth century / by J. A. Crowe &amp; G. B. Cavalcaselle; edited by Langton Douglas, assisted by S. Arthur Strong. London, J. Murray, 1903-14.</t>
        </is>
      </c>
      <c r="E619" t="inlineStr">
        <is>
          <t>V.6</t>
        </is>
      </c>
      <c r="F619" t="inlineStr">
        <is>
          <t>Yes</t>
        </is>
      </c>
      <c r="G619" t="inlineStr">
        <is>
          <t>1</t>
        </is>
      </c>
      <c r="H619" t="inlineStr">
        <is>
          <t>No</t>
        </is>
      </c>
      <c r="I619" t="inlineStr">
        <is>
          <t>No</t>
        </is>
      </c>
      <c r="J619" t="inlineStr">
        <is>
          <t>0</t>
        </is>
      </c>
      <c r="K619" t="inlineStr">
        <is>
          <t>Crowe, J. A. (Joseph Archer), 1825-1896.</t>
        </is>
      </c>
      <c r="L619" t="inlineStr">
        <is>
          <t>[New York : AMS Press, 1975]</t>
        </is>
      </c>
      <c r="M619" t="inlineStr">
        <is>
          <t>1975</t>
        </is>
      </c>
      <c r="O619" t="inlineStr">
        <is>
          <t>eng</t>
        </is>
      </c>
      <c r="P619" t="inlineStr">
        <is>
          <t>nyu</t>
        </is>
      </c>
      <c r="R619" t="inlineStr">
        <is>
          <t xml:space="preserve">ND </t>
        </is>
      </c>
      <c r="S619" t="n">
        <v>0</v>
      </c>
      <c r="T619" t="n">
        <v>4</v>
      </c>
      <c r="V619" t="inlineStr">
        <is>
          <t>1999-02-14</t>
        </is>
      </c>
      <c r="W619" t="inlineStr">
        <is>
          <t>1994-04-28</t>
        </is>
      </c>
      <c r="X619" t="inlineStr">
        <is>
          <t>1994-04-28</t>
        </is>
      </c>
      <c r="Y619" t="n">
        <v>63</v>
      </c>
      <c r="Z619" t="n">
        <v>52</v>
      </c>
      <c r="AA619" t="n">
        <v>413</v>
      </c>
      <c r="AB619" t="n">
        <v>1</v>
      </c>
      <c r="AC619" t="n">
        <v>2</v>
      </c>
      <c r="AD619" t="n">
        <v>3</v>
      </c>
      <c r="AE619" t="n">
        <v>15</v>
      </c>
      <c r="AF619" t="n">
        <v>2</v>
      </c>
      <c r="AG619" t="n">
        <v>4</v>
      </c>
      <c r="AH619" t="n">
        <v>1</v>
      </c>
      <c r="AI619" t="n">
        <v>4</v>
      </c>
      <c r="AJ619" t="n">
        <v>1</v>
      </c>
      <c r="AK619" t="n">
        <v>8</v>
      </c>
      <c r="AL619" t="n">
        <v>0</v>
      </c>
      <c r="AM619" t="n">
        <v>1</v>
      </c>
      <c r="AN619" t="n">
        <v>0</v>
      </c>
      <c r="AO619" t="n">
        <v>0</v>
      </c>
      <c r="AP619" t="inlineStr">
        <is>
          <t>No</t>
        </is>
      </c>
      <c r="AQ619" t="inlineStr">
        <is>
          <t>Yes</t>
        </is>
      </c>
      <c r="AR619">
        <f>HYPERLINK("http://catalog.hathitrust.org/Record/100025376","HathiTrust Record")</f>
        <v/>
      </c>
      <c r="AS619">
        <f>HYPERLINK("https://creighton-primo.hosted.exlibrisgroup.com/primo-explore/search?tab=default_tab&amp;search_scope=EVERYTHING&amp;vid=01CRU&amp;lang=en_US&amp;offset=0&amp;query=any,contains,991004345289702656","Catalog Record")</f>
        <v/>
      </c>
      <c r="AT619">
        <f>HYPERLINK("http://www.worldcat.org/oclc/3100776","WorldCat Record")</f>
        <v/>
      </c>
      <c r="AU619" t="inlineStr">
        <is>
          <t>4915442688:eng</t>
        </is>
      </c>
      <c r="AV619" t="inlineStr">
        <is>
          <t>3100776</t>
        </is>
      </c>
      <c r="AW619" t="inlineStr">
        <is>
          <t>991004345289702656</t>
        </is>
      </c>
      <c r="AX619" t="inlineStr">
        <is>
          <t>991004345289702656</t>
        </is>
      </c>
      <c r="AY619" t="inlineStr">
        <is>
          <t>2264873770002656</t>
        </is>
      </c>
      <c r="AZ619" t="inlineStr">
        <is>
          <t>BOOK</t>
        </is>
      </c>
      <c r="BB619" t="inlineStr">
        <is>
          <t>9780404019204</t>
        </is>
      </c>
      <c r="BC619" t="inlineStr">
        <is>
          <t>32285001894483</t>
        </is>
      </c>
      <c r="BD619" t="inlineStr">
        <is>
          <t>893331477</t>
        </is>
      </c>
    </row>
    <row r="620">
      <c r="A620" t="inlineStr">
        <is>
          <t>No</t>
        </is>
      </c>
      <c r="B620" t="inlineStr">
        <is>
          <t>ND611 .C8 1975</t>
        </is>
      </c>
      <c r="C620" t="inlineStr">
        <is>
          <t>0                      ND 0611000C  8           1975</t>
        </is>
      </c>
      <c r="D620" t="inlineStr">
        <is>
          <t>A history of painting in Italy, Umbria, Florence and Siena, from the second to the sixteenth century / by J. A. Crowe &amp; G. B. Cavalcaselle; edited by Langton Douglas, assisted by S. Arthur Strong. London, J. Murray, 1903-14.</t>
        </is>
      </c>
      <c r="E620" t="inlineStr">
        <is>
          <t>V.2</t>
        </is>
      </c>
      <c r="F620" t="inlineStr">
        <is>
          <t>Yes</t>
        </is>
      </c>
      <c r="G620" t="inlineStr">
        <is>
          <t>1</t>
        </is>
      </c>
      <c r="H620" t="inlineStr">
        <is>
          <t>No</t>
        </is>
      </c>
      <c r="I620" t="inlineStr">
        <is>
          <t>No</t>
        </is>
      </c>
      <c r="J620" t="inlineStr">
        <is>
          <t>0</t>
        </is>
      </c>
      <c r="K620" t="inlineStr">
        <is>
          <t>Crowe, J. A. (Joseph Archer), 1825-1896.</t>
        </is>
      </c>
      <c r="L620" t="inlineStr">
        <is>
          <t>[New York : AMS Press, 1975]</t>
        </is>
      </c>
      <c r="M620" t="inlineStr">
        <is>
          <t>1975</t>
        </is>
      </c>
      <c r="O620" t="inlineStr">
        <is>
          <t>eng</t>
        </is>
      </c>
      <c r="P620" t="inlineStr">
        <is>
          <t>nyu</t>
        </is>
      </c>
      <c r="R620" t="inlineStr">
        <is>
          <t xml:space="preserve">ND </t>
        </is>
      </c>
      <c r="S620" t="n">
        <v>0</v>
      </c>
      <c r="T620" t="n">
        <v>4</v>
      </c>
      <c r="V620" t="inlineStr">
        <is>
          <t>1999-02-14</t>
        </is>
      </c>
      <c r="W620" t="inlineStr">
        <is>
          <t>1994-04-28</t>
        </is>
      </c>
      <c r="X620" t="inlineStr">
        <is>
          <t>1994-04-28</t>
        </is>
      </c>
      <c r="Y620" t="n">
        <v>63</v>
      </c>
      <c r="Z620" t="n">
        <v>52</v>
      </c>
      <c r="AA620" t="n">
        <v>413</v>
      </c>
      <c r="AB620" t="n">
        <v>1</v>
      </c>
      <c r="AC620" t="n">
        <v>2</v>
      </c>
      <c r="AD620" t="n">
        <v>3</v>
      </c>
      <c r="AE620" t="n">
        <v>15</v>
      </c>
      <c r="AF620" t="n">
        <v>2</v>
      </c>
      <c r="AG620" t="n">
        <v>4</v>
      </c>
      <c r="AH620" t="n">
        <v>1</v>
      </c>
      <c r="AI620" t="n">
        <v>4</v>
      </c>
      <c r="AJ620" t="n">
        <v>1</v>
      </c>
      <c r="AK620" t="n">
        <v>8</v>
      </c>
      <c r="AL620" t="n">
        <v>0</v>
      </c>
      <c r="AM620" t="n">
        <v>1</v>
      </c>
      <c r="AN620" t="n">
        <v>0</v>
      </c>
      <c r="AO620" t="n">
        <v>0</v>
      </c>
      <c r="AP620" t="inlineStr">
        <is>
          <t>No</t>
        </is>
      </c>
      <c r="AQ620" t="inlineStr">
        <is>
          <t>Yes</t>
        </is>
      </c>
      <c r="AR620">
        <f>HYPERLINK("http://catalog.hathitrust.org/Record/100025376","HathiTrust Record")</f>
        <v/>
      </c>
      <c r="AS620">
        <f>HYPERLINK("https://creighton-primo.hosted.exlibrisgroup.com/primo-explore/search?tab=default_tab&amp;search_scope=EVERYTHING&amp;vid=01CRU&amp;lang=en_US&amp;offset=0&amp;query=any,contains,991004345289702656","Catalog Record")</f>
        <v/>
      </c>
      <c r="AT620">
        <f>HYPERLINK("http://www.worldcat.org/oclc/3100776","WorldCat Record")</f>
        <v/>
      </c>
      <c r="AU620" t="inlineStr">
        <is>
          <t>4915442688:eng</t>
        </is>
      </c>
      <c r="AV620" t="inlineStr">
        <is>
          <t>3100776</t>
        </is>
      </c>
      <c r="AW620" t="inlineStr">
        <is>
          <t>991004345289702656</t>
        </is>
      </c>
      <c r="AX620" t="inlineStr">
        <is>
          <t>991004345289702656</t>
        </is>
      </c>
      <c r="AY620" t="inlineStr">
        <is>
          <t>2264873770002656</t>
        </is>
      </c>
      <c r="AZ620" t="inlineStr">
        <is>
          <t>BOOK</t>
        </is>
      </c>
      <c r="BB620" t="inlineStr">
        <is>
          <t>9780404019204</t>
        </is>
      </c>
      <c r="BC620" t="inlineStr">
        <is>
          <t>32285001894442</t>
        </is>
      </c>
      <c r="BD620" t="inlineStr">
        <is>
          <t>893343727</t>
        </is>
      </c>
    </row>
    <row r="621">
      <c r="A621" t="inlineStr">
        <is>
          <t>No</t>
        </is>
      </c>
      <c r="B621" t="inlineStr">
        <is>
          <t>ND611 .C8 1975</t>
        </is>
      </c>
      <c r="C621" t="inlineStr">
        <is>
          <t>0                      ND 0611000C  8           1975</t>
        </is>
      </c>
      <c r="D621" t="inlineStr">
        <is>
          <t>A history of painting in Italy, Umbria, Florence and Siena, from the second to the sixteenth century / by J. A. Crowe &amp; G. B. Cavalcaselle; edited by Langton Douglas, assisted by S. Arthur Strong. London, J. Murray, 1903-14.</t>
        </is>
      </c>
      <c r="E621" t="inlineStr">
        <is>
          <t>V.5</t>
        </is>
      </c>
      <c r="F621" t="inlineStr">
        <is>
          <t>Yes</t>
        </is>
      </c>
      <c r="G621" t="inlineStr">
        <is>
          <t>1</t>
        </is>
      </c>
      <c r="H621" t="inlineStr">
        <is>
          <t>No</t>
        </is>
      </c>
      <c r="I621" t="inlineStr">
        <is>
          <t>No</t>
        </is>
      </c>
      <c r="J621" t="inlineStr">
        <is>
          <t>0</t>
        </is>
      </c>
      <c r="K621" t="inlineStr">
        <is>
          <t>Crowe, J. A. (Joseph Archer), 1825-1896.</t>
        </is>
      </c>
      <c r="L621" t="inlineStr">
        <is>
          <t>[New York : AMS Press, 1975]</t>
        </is>
      </c>
      <c r="M621" t="inlineStr">
        <is>
          <t>1975</t>
        </is>
      </c>
      <c r="O621" t="inlineStr">
        <is>
          <t>eng</t>
        </is>
      </c>
      <c r="P621" t="inlineStr">
        <is>
          <t>nyu</t>
        </is>
      </c>
      <c r="R621" t="inlineStr">
        <is>
          <t xml:space="preserve">ND </t>
        </is>
      </c>
      <c r="S621" t="n">
        <v>0</v>
      </c>
      <c r="T621" t="n">
        <v>4</v>
      </c>
      <c r="V621" t="inlineStr">
        <is>
          <t>1999-02-14</t>
        </is>
      </c>
      <c r="W621" t="inlineStr">
        <is>
          <t>1994-04-28</t>
        </is>
      </c>
      <c r="X621" t="inlineStr">
        <is>
          <t>1994-04-28</t>
        </is>
      </c>
      <c r="Y621" t="n">
        <v>63</v>
      </c>
      <c r="Z621" t="n">
        <v>52</v>
      </c>
      <c r="AA621" t="n">
        <v>413</v>
      </c>
      <c r="AB621" t="n">
        <v>1</v>
      </c>
      <c r="AC621" t="n">
        <v>2</v>
      </c>
      <c r="AD621" t="n">
        <v>3</v>
      </c>
      <c r="AE621" t="n">
        <v>15</v>
      </c>
      <c r="AF621" t="n">
        <v>2</v>
      </c>
      <c r="AG621" t="n">
        <v>4</v>
      </c>
      <c r="AH621" t="n">
        <v>1</v>
      </c>
      <c r="AI621" t="n">
        <v>4</v>
      </c>
      <c r="AJ621" t="n">
        <v>1</v>
      </c>
      <c r="AK621" t="n">
        <v>8</v>
      </c>
      <c r="AL621" t="n">
        <v>0</v>
      </c>
      <c r="AM621" t="n">
        <v>1</v>
      </c>
      <c r="AN621" t="n">
        <v>0</v>
      </c>
      <c r="AO621" t="n">
        <v>0</v>
      </c>
      <c r="AP621" t="inlineStr">
        <is>
          <t>No</t>
        </is>
      </c>
      <c r="AQ621" t="inlineStr">
        <is>
          <t>Yes</t>
        </is>
      </c>
      <c r="AR621">
        <f>HYPERLINK("http://catalog.hathitrust.org/Record/100025376","HathiTrust Record")</f>
        <v/>
      </c>
      <c r="AS621">
        <f>HYPERLINK("https://creighton-primo.hosted.exlibrisgroup.com/primo-explore/search?tab=default_tab&amp;search_scope=EVERYTHING&amp;vid=01CRU&amp;lang=en_US&amp;offset=0&amp;query=any,contains,991004345289702656","Catalog Record")</f>
        <v/>
      </c>
      <c r="AT621">
        <f>HYPERLINK("http://www.worldcat.org/oclc/3100776","WorldCat Record")</f>
        <v/>
      </c>
      <c r="AU621" t="inlineStr">
        <is>
          <t>4915442688:eng</t>
        </is>
      </c>
      <c r="AV621" t="inlineStr">
        <is>
          <t>3100776</t>
        </is>
      </c>
      <c r="AW621" t="inlineStr">
        <is>
          <t>991004345289702656</t>
        </is>
      </c>
      <c r="AX621" t="inlineStr">
        <is>
          <t>991004345289702656</t>
        </is>
      </c>
      <c r="AY621" t="inlineStr">
        <is>
          <t>2264873770002656</t>
        </is>
      </c>
      <c r="AZ621" t="inlineStr">
        <is>
          <t>BOOK</t>
        </is>
      </c>
      <c r="BB621" t="inlineStr">
        <is>
          <t>9780404019204</t>
        </is>
      </c>
      <c r="BC621" t="inlineStr">
        <is>
          <t>32285001894475</t>
        </is>
      </c>
      <c r="BD621" t="inlineStr">
        <is>
          <t>893343726</t>
        </is>
      </c>
    </row>
    <row r="622">
      <c r="A622" t="inlineStr">
        <is>
          <t>No</t>
        </is>
      </c>
      <c r="B622" t="inlineStr">
        <is>
          <t>ND611 .C8 1975</t>
        </is>
      </c>
      <c r="C622" t="inlineStr">
        <is>
          <t>0                      ND 0611000C  8           1975</t>
        </is>
      </c>
      <c r="D622" t="inlineStr">
        <is>
          <t>A history of painting in Italy, Umbria, Florence and Siena, from the second to the sixteenth century / by J. A. Crowe &amp; G. B. Cavalcaselle; edited by Langton Douglas, assisted by S. Arthur Strong. London, J. Murray, 1903-14.</t>
        </is>
      </c>
      <c r="E622" t="inlineStr">
        <is>
          <t>V.1</t>
        </is>
      </c>
      <c r="F622" t="inlineStr">
        <is>
          <t>Yes</t>
        </is>
      </c>
      <c r="G622" t="inlineStr">
        <is>
          <t>1</t>
        </is>
      </c>
      <c r="H622" t="inlineStr">
        <is>
          <t>No</t>
        </is>
      </c>
      <c r="I622" t="inlineStr">
        <is>
          <t>No</t>
        </is>
      </c>
      <c r="J622" t="inlineStr">
        <is>
          <t>0</t>
        </is>
      </c>
      <c r="K622" t="inlineStr">
        <is>
          <t>Crowe, J. A. (Joseph Archer), 1825-1896.</t>
        </is>
      </c>
      <c r="L622" t="inlineStr">
        <is>
          <t>[New York : AMS Press, 1975]</t>
        </is>
      </c>
      <c r="M622" t="inlineStr">
        <is>
          <t>1975</t>
        </is>
      </c>
      <c r="O622" t="inlineStr">
        <is>
          <t>eng</t>
        </is>
      </c>
      <c r="P622" t="inlineStr">
        <is>
          <t>nyu</t>
        </is>
      </c>
      <c r="R622" t="inlineStr">
        <is>
          <t xml:space="preserve">ND </t>
        </is>
      </c>
      <c r="S622" t="n">
        <v>0</v>
      </c>
      <c r="T622" t="n">
        <v>4</v>
      </c>
      <c r="V622" t="inlineStr">
        <is>
          <t>1999-02-14</t>
        </is>
      </c>
      <c r="W622" t="inlineStr">
        <is>
          <t>1994-04-28</t>
        </is>
      </c>
      <c r="X622" t="inlineStr">
        <is>
          <t>1994-04-28</t>
        </is>
      </c>
      <c r="Y622" t="n">
        <v>63</v>
      </c>
      <c r="Z622" t="n">
        <v>52</v>
      </c>
      <c r="AA622" t="n">
        <v>413</v>
      </c>
      <c r="AB622" t="n">
        <v>1</v>
      </c>
      <c r="AC622" t="n">
        <v>2</v>
      </c>
      <c r="AD622" t="n">
        <v>3</v>
      </c>
      <c r="AE622" t="n">
        <v>15</v>
      </c>
      <c r="AF622" t="n">
        <v>2</v>
      </c>
      <c r="AG622" t="n">
        <v>4</v>
      </c>
      <c r="AH622" t="n">
        <v>1</v>
      </c>
      <c r="AI622" t="n">
        <v>4</v>
      </c>
      <c r="AJ622" t="n">
        <v>1</v>
      </c>
      <c r="AK622" t="n">
        <v>8</v>
      </c>
      <c r="AL622" t="n">
        <v>0</v>
      </c>
      <c r="AM622" t="n">
        <v>1</v>
      </c>
      <c r="AN622" t="n">
        <v>0</v>
      </c>
      <c r="AO622" t="n">
        <v>0</v>
      </c>
      <c r="AP622" t="inlineStr">
        <is>
          <t>No</t>
        </is>
      </c>
      <c r="AQ622" t="inlineStr">
        <is>
          <t>Yes</t>
        </is>
      </c>
      <c r="AR622">
        <f>HYPERLINK("http://catalog.hathitrust.org/Record/100025376","HathiTrust Record")</f>
        <v/>
      </c>
      <c r="AS622">
        <f>HYPERLINK("https://creighton-primo.hosted.exlibrisgroup.com/primo-explore/search?tab=default_tab&amp;search_scope=EVERYTHING&amp;vid=01CRU&amp;lang=en_US&amp;offset=0&amp;query=any,contains,991004345289702656","Catalog Record")</f>
        <v/>
      </c>
      <c r="AT622">
        <f>HYPERLINK("http://www.worldcat.org/oclc/3100776","WorldCat Record")</f>
        <v/>
      </c>
      <c r="AU622" t="inlineStr">
        <is>
          <t>4915442688:eng</t>
        </is>
      </c>
      <c r="AV622" t="inlineStr">
        <is>
          <t>3100776</t>
        </is>
      </c>
      <c r="AW622" t="inlineStr">
        <is>
          <t>991004345289702656</t>
        </is>
      </c>
      <c r="AX622" t="inlineStr">
        <is>
          <t>991004345289702656</t>
        </is>
      </c>
      <c r="AY622" t="inlineStr">
        <is>
          <t>2264873770002656</t>
        </is>
      </c>
      <c r="AZ622" t="inlineStr">
        <is>
          <t>BOOK</t>
        </is>
      </c>
      <c r="BB622" t="inlineStr">
        <is>
          <t>9780404019204</t>
        </is>
      </c>
      <c r="BC622" t="inlineStr">
        <is>
          <t>32285001894434</t>
        </is>
      </c>
      <c r="BD622" t="inlineStr">
        <is>
          <t>893343728</t>
        </is>
      </c>
    </row>
    <row r="623">
      <c r="A623" t="inlineStr">
        <is>
          <t>No</t>
        </is>
      </c>
      <c r="B623" t="inlineStr">
        <is>
          <t>ND611 .C8 1975</t>
        </is>
      </c>
      <c r="C623" t="inlineStr">
        <is>
          <t>0                      ND 0611000C  8           1975</t>
        </is>
      </c>
      <c r="D623" t="inlineStr">
        <is>
          <t>A history of painting in Italy, Umbria, Florence and Siena, from the second to the sixteenth century / by J. A. Crowe &amp; G. B. Cavalcaselle; edited by Langton Douglas, assisted by S. Arthur Strong. London, J. Murray, 1903-14.</t>
        </is>
      </c>
      <c r="E623" t="inlineStr">
        <is>
          <t>V.3</t>
        </is>
      </c>
      <c r="F623" t="inlineStr">
        <is>
          <t>Yes</t>
        </is>
      </c>
      <c r="G623" t="inlineStr">
        <is>
          <t>1</t>
        </is>
      </c>
      <c r="H623" t="inlineStr">
        <is>
          <t>No</t>
        </is>
      </c>
      <c r="I623" t="inlineStr">
        <is>
          <t>No</t>
        </is>
      </c>
      <c r="J623" t="inlineStr">
        <is>
          <t>0</t>
        </is>
      </c>
      <c r="K623" t="inlineStr">
        <is>
          <t>Crowe, J. A. (Joseph Archer), 1825-1896.</t>
        </is>
      </c>
      <c r="L623" t="inlineStr">
        <is>
          <t>[New York : AMS Press, 1975]</t>
        </is>
      </c>
      <c r="M623" t="inlineStr">
        <is>
          <t>1975</t>
        </is>
      </c>
      <c r="O623" t="inlineStr">
        <is>
          <t>eng</t>
        </is>
      </c>
      <c r="P623" t="inlineStr">
        <is>
          <t>nyu</t>
        </is>
      </c>
      <c r="R623" t="inlineStr">
        <is>
          <t xml:space="preserve">ND </t>
        </is>
      </c>
      <c r="S623" t="n">
        <v>2</v>
      </c>
      <c r="T623" t="n">
        <v>4</v>
      </c>
      <c r="U623" t="inlineStr">
        <is>
          <t>1999-02-14</t>
        </is>
      </c>
      <c r="V623" t="inlineStr">
        <is>
          <t>1999-02-14</t>
        </is>
      </c>
      <c r="W623" t="inlineStr">
        <is>
          <t>1994-04-28</t>
        </is>
      </c>
      <c r="X623" t="inlineStr">
        <is>
          <t>1994-04-28</t>
        </is>
      </c>
      <c r="Y623" t="n">
        <v>63</v>
      </c>
      <c r="Z623" t="n">
        <v>52</v>
      </c>
      <c r="AA623" t="n">
        <v>413</v>
      </c>
      <c r="AB623" t="n">
        <v>1</v>
      </c>
      <c r="AC623" t="n">
        <v>2</v>
      </c>
      <c r="AD623" t="n">
        <v>3</v>
      </c>
      <c r="AE623" t="n">
        <v>15</v>
      </c>
      <c r="AF623" t="n">
        <v>2</v>
      </c>
      <c r="AG623" t="n">
        <v>4</v>
      </c>
      <c r="AH623" t="n">
        <v>1</v>
      </c>
      <c r="AI623" t="n">
        <v>4</v>
      </c>
      <c r="AJ623" t="n">
        <v>1</v>
      </c>
      <c r="AK623" t="n">
        <v>8</v>
      </c>
      <c r="AL623" t="n">
        <v>0</v>
      </c>
      <c r="AM623" t="n">
        <v>1</v>
      </c>
      <c r="AN623" t="n">
        <v>0</v>
      </c>
      <c r="AO623" t="n">
        <v>0</v>
      </c>
      <c r="AP623" t="inlineStr">
        <is>
          <t>No</t>
        </is>
      </c>
      <c r="AQ623" t="inlineStr">
        <is>
          <t>Yes</t>
        </is>
      </c>
      <c r="AR623">
        <f>HYPERLINK("http://catalog.hathitrust.org/Record/100025376","HathiTrust Record")</f>
        <v/>
      </c>
      <c r="AS623">
        <f>HYPERLINK("https://creighton-primo.hosted.exlibrisgroup.com/primo-explore/search?tab=default_tab&amp;search_scope=EVERYTHING&amp;vid=01CRU&amp;lang=en_US&amp;offset=0&amp;query=any,contains,991004345289702656","Catalog Record")</f>
        <v/>
      </c>
      <c r="AT623">
        <f>HYPERLINK("http://www.worldcat.org/oclc/3100776","WorldCat Record")</f>
        <v/>
      </c>
      <c r="AU623" t="inlineStr">
        <is>
          <t>4915442688:eng</t>
        </is>
      </c>
      <c r="AV623" t="inlineStr">
        <is>
          <t>3100776</t>
        </is>
      </c>
      <c r="AW623" t="inlineStr">
        <is>
          <t>991004345289702656</t>
        </is>
      </c>
      <c r="AX623" t="inlineStr">
        <is>
          <t>991004345289702656</t>
        </is>
      </c>
      <c r="AY623" t="inlineStr">
        <is>
          <t>2264873770002656</t>
        </is>
      </c>
      <c r="AZ623" t="inlineStr">
        <is>
          <t>BOOK</t>
        </is>
      </c>
      <c r="BB623" t="inlineStr">
        <is>
          <t>9780404019204</t>
        </is>
      </c>
      <c r="BC623" t="inlineStr">
        <is>
          <t>32285001894459</t>
        </is>
      </c>
      <c r="BD623" t="inlineStr">
        <is>
          <t>893331478</t>
        </is>
      </c>
    </row>
    <row r="624">
      <c r="A624" t="inlineStr">
        <is>
          <t>No</t>
        </is>
      </c>
      <c r="B624" t="inlineStr">
        <is>
          <t>ND611 .C8 1975</t>
        </is>
      </c>
      <c r="C624" t="inlineStr">
        <is>
          <t>0                      ND 0611000C  8           1975</t>
        </is>
      </c>
      <c r="D624" t="inlineStr">
        <is>
          <t>A history of painting in Italy, Umbria, Florence and Siena, from the second to the sixteenth century / by J. A. Crowe &amp; G. B. Cavalcaselle; edited by Langton Douglas, assisted by S. Arthur Strong. London, J. Murray, 1903-14.</t>
        </is>
      </c>
      <c r="E624" t="inlineStr">
        <is>
          <t>V.4</t>
        </is>
      </c>
      <c r="F624" t="inlineStr">
        <is>
          <t>Yes</t>
        </is>
      </c>
      <c r="G624" t="inlineStr">
        <is>
          <t>1</t>
        </is>
      </c>
      <c r="H624" t="inlineStr">
        <is>
          <t>No</t>
        </is>
      </c>
      <c r="I624" t="inlineStr">
        <is>
          <t>No</t>
        </is>
      </c>
      <c r="J624" t="inlineStr">
        <is>
          <t>0</t>
        </is>
      </c>
      <c r="K624" t="inlineStr">
        <is>
          <t>Crowe, J. A. (Joseph Archer), 1825-1896.</t>
        </is>
      </c>
      <c r="L624" t="inlineStr">
        <is>
          <t>[New York : AMS Press, 1975]</t>
        </is>
      </c>
      <c r="M624" t="inlineStr">
        <is>
          <t>1975</t>
        </is>
      </c>
      <c r="O624" t="inlineStr">
        <is>
          <t>eng</t>
        </is>
      </c>
      <c r="P624" t="inlineStr">
        <is>
          <t>nyu</t>
        </is>
      </c>
      <c r="R624" t="inlineStr">
        <is>
          <t xml:space="preserve">ND </t>
        </is>
      </c>
      <c r="S624" t="n">
        <v>2</v>
      </c>
      <c r="T624" t="n">
        <v>4</v>
      </c>
      <c r="U624" t="inlineStr">
        <is>
          <t>1999-02-14</t>
        </is>
      </c>
      <c r="V624" t="inlineStr">
        <is>
          <t>1999-02-14</t>
        </is>
      </c>
      <c r="W624" t="inlineStr">
        <is>
          <t>1994-04-28</t>
        </is>
      </c>
      <c r="X624" t="inlineStr">
        <is>
          <t>1994-04-28</t>
        </is>
      </c>
      <c r="Y624" t="n">
        <v>63</v>
      </c>
      <c r="Z624" t="n">
        <v>52</v>
      </c>
      <c r="AA624" t="n">
        <v>413</v>
      </c>
      <c r="AB624" t="n">
        <v>1</v>
      </c>
      <c r="AC624" t="n">
        <v>2</v>
      </c>
      <c r="AD624" t="n">
        <v>3</v>
      </c>
      <c r="AE624" t="n">
        <v>15</v>
      </c>
      <c r="AF624" t="n">
        <v>2</v>
      </c>
      <c r="AG624" t="n">
        <v>4</v>
      </c>
      <c r="AH624" t="n">
        <v>1</v>
      </c>
      <c r="AI624" t="n">
        <v>4</v>
      </c>
      <c r="AJ624" t="n">
        <v>1</v>
      </c>
      <c r="AK624" t="n">
        <v>8</v>
      </c>
      <c r="AL624" t="n">
        <v>0</v>
      </c>
      <c r="AM624" t="n">
        <v>1</v>
      </c>
      <c r="AN624" t="n">
        <v>0</v>
      </c>
      <c r="AO624" t="n">
        <v>0</v>
      </c>
      <c r="AP624" t="inlineStr">
        <is>
          <t>No</t>
        </is>
      </c>
      <c r="AQ624" t="inlineStr">
        <is>
          <t>Yes</t>
        </is>
      </c>
      <c r="AR624">
        <f>HYPERLINK("http://catalog.hathitrust.org/Record/100025376","HathiTrust Record")</f>
        <v/>
      </c>
      <c r="AS624">
        <f>HYPERLINK("https://creighton-primo.hosted.exlibrisgroup.com/primo-explore/search?tab=default_tab&amp;search_scope=EVERYTHING&amp;vid=01CRU&amp;lang=en_US&amp;offset=0&amp;query=any,contains,991004345289702656","Catalog Record")</f>
        <v/>
      </c>
      <c r="AT624">
        <f>HYPERLINK("http://www.worldcat.org/oclc/3100776","WorldCat Record")</f>
        <v/>
      </c>
      <c r="AU624" t="inlineStr">
        <is>
          <t>4915442688:eng</t>
        </is>
      </c>
      <c r="AV624" t="inlineStr">
        <is>
          <t>3100776</t>
        </is>
      </c>
      <c r="AW624" t="inlineStr">
        <is>
          <t>991004345289702656</t>
        </is>
      </c>
      <c r="AX624" t="inlineStr">
        <is>
          <t>991004345289702656</t>
        </is>
      </c>
      <c r="AY624" t="inlineStr">
        <is>
          <t>2264873770002656</t>
        </is>
      </c>
      <c r="AZ624" t="inlineStr">
        <is>
          <t>BOOK</t>
        </is>
      </c>
      <c r="BB624" t="inlineStr">
        <is>
          <t>9780404019204</t>
        </is>
      </c>
      <c r="BC624" t="inlineStr">
        <is>
          <t>32285001894467</t>
        </is>
      </c>
      <c r="BD624" t="inlineStr">
        <is>
          <t>893349908</t>
        </is>
      </c>
    </row>
    <row r="625">
      <c r="A625" t="inlineStr">
        <is>
          <t>No</t>
        </is>
      </c>
      <c r="B625" t="inlineStr">
        <is>
          <t>ND613 .S6</t>
        </is>
      </c>
      <c r="C625" t="inlineStr">
        <is>
          <t>0                      ND 0613000S  6</t>
        </is>
      </c>
      <c r="D625" t="inlineStr">
        <is>
          <t>The dawn of Italian painting, c. 1250-1400 / Alastair Smart.</t>
        </is>
      </c>
      <c r="F625" t="inlineStr">
        <is>
          <t>No</t>
        </is>
      </c>
      <c r="G625" t="inlineStr">
        <is>
          <t>1</t>
        </is>
      </c>
      <c r="H625" t="inlineStr">
        <is>
          <t>No</t>
        </is>
      </c>
      <c r="I625" t="inlineStr">
        <is>
          <t>No</t>
        </is>
      </c>
      <c r="J625" t="inlineStr">
        <is>
          <t>0</t>
        </is>
      </c>
      <c r="K625" t="inlineStr">
        <is>
          <t>Smart, Alastair, 1922-</t>
        </is>
      </c>
      <c r="L625" t="inlineStr">
        <is>
          <t>Ithaca, N.Y. : Cornell University Press, [1978]</t>
        </is>
      </c>
      <c r="M625" t="inlineStr">
        <is>
          <t>1978</t>
        </is>
      </c>
      <c r="O625" t="inlineStr">
        <is>
          <t>eng</t>
        </is>
      </c>
      <c r="P625" t="inlineStr">
        <is>
          <t>nyu</t>
        </is>
      </c>
      <c r="R625" t="inlineStr">
        <is>
          <t xml:space="preserve">ND </t>
        </is>
      </c>
      <c r="S625" t="n">
        <v>1</v>
      </c>
      <c r="T625" t="n">
        <v>1</v>
      </c>
      <c r="U625" t="inlineStr">
        <is>
          <t>1997-11-21</t>
        </is>
      </c>
      <c r="V625" t="inlineStr">
        <is>
          <t>1997-11-21</t>
        </is>
      </c>
      <c r="W625" t="inlineStr">
        <is>
          <t>1993-05-24</t>
        </is>
      </c>
      <c r="X625" t="inlineStr">
        <is>
          <t>1993-05-24</t>
        </is>
      </c>
      <c r="Y625" t="n">
        <v>904</v>
      </c>
      <c r="Z625" t="n">
        <v>833</v>
      </c>
      <c r="AA625" t="n">
        <v>843</v>
      </c>
      <c r="AB625" t="n">
        <v>8</v>
      </c>
      <c r="AC625" t="n">
        <v>8</v>
      </c>
      <c r="AD625" t="n">
        <v>35</v>
      </c>
      <c r="AE625" t="n">
        <v>35</v>
      </c>
      <c r="AF625" t="n">
        <v>14</v>
      </c>
      <c r="AG625" t="n">
        <v>14</v>
      </c>
      <c r="AH625" t="n">
        <v>8</v>
      </c>
      <c r="AI625" t="n">
        <v>8</v>
      </c>
      <c r="AJ625" t="n">
        <v>15</v>
      </c>
      <c r="AK625" t="n">
        <v>15</v>
      </c>
      <c r="AL625" t="n">
        <v>6</v>
      </c>
      <c r="AM625" t="n">
        <v>6</v>
      </c>
      <c r="AN625" t="n">
        <v>0</v>
      </c>
      <c r="AO625" t="n">
        <v>0</v>
      </c>
      <c r="AP625" t="inlineStr">
        <is>
          <t>No</t>
        </is>
      </c>
      <c r="AQ625" t="inlineStr">
        <is>
          <t>Yes</t>
        </is>
      </c>
      <c r="AR625">
        <f>HYPERLINK("http://catalog.hathitrust.org/Record/000293527","HathiTrust Record")</f>
        <v/>
      </c>
      <c r="AS625">
        <f>HYPERLINK("https://creighton-primo.hosted.exlibrisgroup.com/primo-explore/search?tab=default_tab&amp;search_scope=EVERYTHING&amp;vid=01CRU&amp;lang=en_US&amp;offset=0&amp;query=any,contains,991004362539702656","Catalog Record")</f>
        <v/>
      </c>
      <c r="AT625">
        <f>HYPERLINK("http://www.worldcat.org/oclc/3168180","WorldCat Record")</f>
        <v/>
      </c>
      <c r="AU625" t="inlineStr">
        <is>
          <t>8138297:eng</t>
        </is>
      </c>
      <c r="AV625" t="inlineStr">
        <is>
          <t>3168180</t>
        </is>
      </c>
      <c r="AW625" t="inlineStr">
        <is>
          <t>991004362539702656</t>
        </is>
      </c>
      <c r="AX625" t="inlineStr">
        <is>
          <t>991004362539702656</t>
        </is>
      </c>
      <c r="AY625" t="inlineStr">
        <is>
          <t>2262250430002656</t>
        </is>
      </c>
      <c r="AZ625" t="inlineStr">
        <is>
          <t>BOOK</t>
        </is>
      </c>
      <c r="BB625" t="inlineStr">
        <is>
          <t>9780801411243</t>
        </is>
      </c>
      <c r="BC625" t="inlineStr">
        <is>
          <t>32285001692325</t>
        </is>
      </c>
      <c r="BD625" t="inlineStr">
        <is>
          <t>893442532</t>
        </is>
      </c>
    </row>
    <row r="626">
      <c r="A626" t="inlineStr">
        <is>
          <t>No</t>
        </is>
      </c>
      <c r="B626" t="inlineStr">
        <is>
          <t>ND613.T35 C5</t>
        </is>
      </c>
      <c r="C626" t="inlineStr">
        <is>
          <t>0                      ND 0613000T  35                 C  5</t>
        </is>
      </c>
      <c r="D626" t="inlineStr">
        <is>
          <t>Tàpies : witness of silence / [by] Alexandre Cirici.</t>
        </is>
      </c>
      <c r="F626" t="inlineStr">
        <is>
          <t>No</t>
        </is>
      </c>
      <c r="G626" t="inlineStr">
        <is>
          <t>1</t>
        </is>
      </c>
      <c r="H626" t="inlineStr">
        <is>
          <t>No</t>
        </is>
      </c>
      <c r="I626" t="inlineStr">
        <is>
          <t>No</t>
        </is>
      </c>
      <c r="J626" t="inlineStr">
        <is>
          <t>0</t>
        </is>
      </c>
      <c r="K626" t="inlineStr">
        <is>
          <t>Cirici, Alexandre, 1914-1983.</t>
        </is>
      </c>
      <c r="L626" t="inlineStr">
        <is>
          <t>New York : Tudor Pub. Co., [1972]</t>
        </is>
      </c>
      <c r="M626" t="inlineStr">
        <is>
          <t>1972</t>
        </is>
      </c>
      <c r="O626" t="inlineStr">
        <is>
          <t>eng</t>
        </is>
      </c>
      <c r="P626" t="inlineStr">
        <is>
          <t xml:space="preserve">xx </t>
        </is>
      </c>
      <c r="Q626" t="inlineStr">
        <is>
          <t>Spanish art library</t>
        </is>
      </c>
      <c r="R626" t="inlineStr">
        <is>
          <t xml:space="preserve">ND </t>
        </is>
      </c>
      <c r="S626" t="n">
        <v>4</v>
      </c>
      <c r="T626" t="n">
        <v>4</v>
      </c>
      <c r="U626" t="inlineStr">
        <is>
          <t>2000-03-31</t>
        </is>
      </c>
      <c r="V626" t="inlineStr">
        <is>
          <t>2000-03-31</t>
        </is>
      </c>
      <c r="W626" t="inlineStr">
        <is>
          <t>1993-04-14</t>
        </is>
      </c>
      <c r="X626" t="inlineStr">
        <is>
          <t>1993-04-14</t>
        </is>
      </c>
      <c r="Y626" t="n">
        <v>205</v>
      </c>
      <c r="Z626" t="n">
        <v>186</v>
      </c>
      <c r="AA626" t="n">
        <v>260</v>
      </c>
      <c r="AB626" t="n">
        <v>2</v>
      </c>
      <c r="AC626" t="n">
        <v>2</v>
      </c>
      <c r="AD626" t="n">
        <v>4</v>
      </c>
      <c r="AE626" t="n">
        <v>5</v>
      </c>
      <c r="AF626" t="n">
        <v>2</v>
      </c>
      <c r="AG626" t="n">
        <v>3</v>
      </c>
      <c r="AH626" t="n">
        <v>0</v>
      </c>
      <c r="AI626" t="n">
        <v>1</v>
      </c>
      <c r="AJ626" t="n">
        <v>2</v>
      </c>
      <c r="AK626" t="n">
        <v>2</v>
      </c>
      <c r="AL626" t="n">
        <v>1</v>
      </c>
      <c r="AM626" t="n">
        <v>1</v>
      </c>
      <c r="AN626" t="n">
        <v>0</v>
      </c>
      <c r="AO626" t="n">
        <v>0</v>
      </c>
      <c r="AP626" t="inlineStr">
        <is>
          <t>No</t>
        </is>
      </c>
      <c r="AQ626" t="inlineStr">
        <is>
          <t>Yes</t>
        </is>
      </c>
      <c r="AR626">
        <f>HYPERLINK("http://catalog.hathitrust.org/Record/008546208","HathiTrust Record")</f>
        <v/>
      </c>
      <c r="AS626">
        <f>HYPERLINK("https://creighton-primo.hosted.exlibrisgroup.com/primo-explore/search?tab=default_tab&amp;search_scope=EVERYTHING&amp;vid=01CRU&amp;lang=en_US&amp;offset=0&amp;query=any,contains,991003242649702656","Catalog Record")</f>
        <v/>
      </c>
      <c r="AT626">
        <f>HYPERLINK("http://www.worldcat.org/oclc/765747","WorldCat Record")</f>
        <v/>
      </c>
      <c r="AU626" t="inlineStr">
        <is>
          <t>3856426472:eng</t>
        </is>
      </c>
      <c r="AV626" t="inlineStr">
        <is>
          <t>765747</t>
        </is>
      </c>
      <c r="AW626" t="inlineStr">
        <is>
          <t>991003242649702656</t>
        </is>
      </c>
      <c r="AX626" t="inlineStr">
        <is>
          <t>991003242649702656</t>
        </is>
      </c>
      <c r="AY626" t="inlineStr">
        <is>
          <t>2270382460002656</t>
        </is>
      </c>
      <c r="AZ626" t="inlineStr">
        <is>
          <t>BOOK</t>
        </is>
      </c>
      <c r="BC626" t="inlineStr">
        <is>
          <t>32285001618916</t>
        </is>
      </c>
      <c r="BD626" t="inlineStr">
        <is>
          <t>893348470</t>
        </is>
      </c>
    </row>
    <row r="627">
      <c r="A627" t="inlineStr">
        <is>
          <t>No</t>
        </is>
      </c>
      <c r="B627" t="inlineStr">
        <is>
          <t>ND615 .B32 1988</t>
        </is>
      </c>
      <c r="C627" t="inlineStr">
        <is>
          <t>0                      ND 0615000B  32          1988</t>
        </is>
      </c>
      <c r="D627" t="inlineStr">
        <is>
          <t>Painting and experience in fifteenth century Italy : a primer in the social history of pictorial style / Michael Baxandall.</t>
        </is>
      </c>
      <c r="F627" t="inlineStr">
        <is>
          <t>No</t>
        </is>
      </c>
      <c r="G627" t="inlineStr">
        <is>
          <t>1</t>
        </is>
      </c>
      <c r="H627" t="inlineStr">
        <is>
          <t>No</t>
        </is>
      </c>
      <c r="I627" t="inlineStr">
        <is>
          <t>No</t>
        </is>
      </c>
      <c r="J627" t="inlineStr">
        <is>
          <t>0</t>
        </is>
      </c>
      <c r="K627" t="inlineStr">
        <is>
          <t>Baxandall, Michael.</t>
        </is>
      </c>
      <c r="L627" t="inlineStr">
        <is>
          <t>Oxford [Oxfordshire] ; New York : Oxford University Press, 1988, c1972.</t>
        </is>
      </c>
      <c r="M627" t="inlineStr">
        <is>
          <t>1988</t>
        </is>
      </c>
      <c r="N627" t="inlineStr">
        <is>
          <t>2nd ed.</t>
        </is>
      </c>
      <c r="O627" t="inlineStr">
        <is>
          <t>eng</t>
        </is>
      </c>
      <c r="P627" t="inlineStr">
        <is>
          <t>enk</t>
        </is>
      </c>
      <c r="Q627" t="inlineStr">
        <is>
          <t>Oxford paperbacks</t>
        </is>
      </c>
      <c r="R627" t="inlineStr">
        <is>
          <t xml:space="preserve">ND </t>
        </is>
      </c>
      <c r="S627" t="n">
        <v>10</v>
      </c>
      <c r="T627" t="n">
        <v>10</v>
      </c>
      <c r="U627" t="inlineStr">
        <is>
          <t>2004-04-07</t>
        </is>
      </c>
      <c r="V627" t="inlineStr">
        <is>
          <t>2004-04-07</t>
        </is>
      </c>
      <c r="W627" t="inlineStr">
        <is>
          <t>1992-05-21</t>
        </is>
      </c>
      <c r="X627" t="inlineStr">
        <is>
          <t>1992-05-21</t>
        </is>
      </c>
      <c r="Y627" t="n">
        <v>804</v>
      </c>
      <c r="Z627" t="n">
        <v>556</v>
      </c>
      <c r="AA627" t="n">
        <v>1047</v>
      </c>
      <c r="AB627" t="n">
        <v>6</v>
      </c>
      <c r="AC627" t="n">
        <v>8</v>
      </c>
      <c r="AD627" t="n">
        <v>33</v>
      </c>
      <c r="AE627" t="n">
        <v>51</v>
      </c>
      <c r="AF627" t="n">
        <v>17</v>
      </c>
      <c r="AG627" t="n">
        <v>23</v>
      </c>
      <c r="AH627" t="n">
        <v>7</v>
      </c>
      <c r="AI627" t="n">
        <v>11</v>
      </c>
      <c r="AJ627" t="n">
        <v>15</v>
      </c>
      <c r="AK627" t="n">
        <v>25</v>
      </c>
      <c r="AL627" t="n">
        <v>5</v>
      </c>
      <c r="AM627" t="n">
        <v>6</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HYPERLINK("https://creighton-primo.hosted.exlibrisgroup.com/primo-explore/search?tab=default_tab&amp;search_scope=EVERYTHING&amp;vid=01CRU&amp;lang=en_US&amp;offset=0&amp;query=any,contains,991001184379702656","Catalog Record")</f>
        <v/>
      </c>
      <c r="AT627">
        <f>HYPERLINK("http://www.worldcat.org/oclc/17200395","WorldCat Record")</f>
        <v/>
      </c>
      <c r="AU627" t="inlineStr">
        <is>
          <t>1090269621:eng</t>
        </is>
      </c>
      <c r="AV627" t="inlineStr">
        <is>
          <t>17200395</t>
        </is>
      </c>
      <c r="AW627" t="inlineStr">
        <is>
          <t>991001184379702656</t>
        </is>
      </c>
      <c r="AX627" t="inlineStr">
        <is>
          <t>991001184379702656</t>
        </is>
      </c>
      <c r="AY627" t="inlineStr">
        <is>
          <t>2256932500002656</t>
        </is>
      </c>
      <c r="AZ627" t="inlineStr">
        <is>
          <t>BOOK</t>
        </is>
      </c>
      <c r="BB627" t="inlineStr">
        <is>
          <t>9780192821447</t>
        </is>
      </c>
      <c r="BC627" t="inlineStr">
        <is>
          <t>32285001117802</t>
        </is>
      </c>
      <c r="BD627" t="inlineStr">
        <is>
          <t>893696546</t>
        </is>
      </c>
    </row>
    <row r="628">
      <c r="A628" t="inlineStr">
        <is>
          <t>No</t>
        </is>
      </c>
      <c r="B628" t="inlineStr">
        <is>
          <t>ND615 .B35 1981</t>
        </is>
      </c>
      <c r="C628" t="inlineStr">
        <is>
          <t>0                      ND 0615000B  35          1981</t>
        </is>
      </c>
      <c r="D628" t="inlineStr">
        <is>
          <t>Italian Renaissance painting / James Beck.</t>
        </is>
      </c>
      <c r="F628" t="inlineStr">
        <is>
          <t>No</t>
        </is>
      </c>
      <c r="G628" t="inlineStr">
        <is>
          <t>1</t>
        </is>
      </c>
      <c r="H628" t="inlineStr">
        <is>
          <t>No</t>
        </is>
      </c>
      <c r="I628" t="inlineStr">
        <is>
          <t>No</t>
        </is>
      </c>
      <c r="J628" t="inlineStr">
        <is>
          <t>0</t>
        </is>
      </c>
      <c r="K628" t="inlineStr">
        <is>
          <t>Beck, James H.</t>
        </is>
      </c>
      <c r="L628" t="inlineStr">
        <is>
          <t>New York : Harper &amp; Row, c1981.</t>
        </is>
      </c>
      <c r="M628" t="inlineStr">
        <is>
          <t>1981</t>
        </is>
      </c>
      <c r="N628" t="inlineStr">
        <is>
          <t>1st ed.</t>
        </is>
      </c>
      <c r="O628" t="inlineStr">
        <is>
          <t>eng</t>
        </is>
      </c>
      <c r="P628" t="inlineStr">
        <is>
          <t>nyu</t>
        </is>
      </c>
      <c r="Q628" t="inlineStr">
        <is>
          <t>Icon editions</t>
        </is>
      </c>
      <c r="R628" t="inlineStr">
        <is>
          <t xml:space="preserve">ND </t>
        </is>
      </c>
      <c r="S628" t="n">
        <v>16</v>
      </c>
      <c r="T628" t="n">
        <v>16</v>
      </c>
      <c r="U628" t="inlineStr">
        <is>
          <t>2004-11-17</t>
        </is>
      </c>
      <c r="V628" t="inlineStr">
        <is>
          <t>2004-11-17</t>
        </is>
      </c>
      <c r="W628" t="inlineStr">
        <is>
          <t>1990-07-18</t>
        </is>
      </c>
      <c r="X628" t="inlineStr">
        <is>
          <t>1990-07-18</t>
        </is>
      </c>
      <c r="Y628" t="n">
        <v>742</v>
      </c>
      <c r="Z628" t="n">
        <v>610</v>
      </c>
      <c r="AA628" t="n">
        <v>699</v>
      </c>
      <c r="AB628" t="n">
        <v>4</v>
      </c>
      <c r="AC628" t="n">
        <v>4</v>
      </c>
      <c r="AD628" t="n">
        <v>22</v>
      </c>
      <c r="AE628" t="n">
        <v>26</v>
      </c>
      <c r="AF628" t="n">
        <v>9</v>
      </c>
      <c r="AG628" t="n">
        <v>11</v>
      </c>
      <c r="AH628" t="n">
        <v>4</v>
      </c>
      <c r="AI628" t="n">
        <v>5</v>
      </c>
      <c r="AJ628" t="n">
        <v>13</v>
      </c>
      <c r="AK628" t="n">
        <v>17</v>
      </c>
      <c r="AL628" t="n">
        <v>2</v>
      </c>
      <c r="AM628" t="n">
        <v>2</v>
      </c>
      <c r="AN628" t="n">
        <v>0</v>
      </c>
      <c r="AO628" t="n">
        <v>0</v>
      </c>
      <c r="AP628" t="inlineStr">
        <is>
          <t>No</t>
        </is>
      </c>
      <c r="AQ628" t="inlineStr">
        <is>
          <t>Yes</t>
        </is>
      </c>
      <c r="AR628">
        <f>HYPERLINK("http://catalog.hathitrust.org/Record/000100741","HathiTrust Record")</f>
        <v/>
      </c>
      <c r="AS628">
        <f>HYPERLINK("https://creighton-primo.hosted.exlibrisgroup.com/primo-explore/search?tab=default_tab&amp;search_scope=EVERYTHING&amp;vid=01CRU&amp;lang=en_US&amp;offset=0&amp;query=any,contains,991005049249702656","Catalog Record")</f>
        <v/>
      </c>
      <c r="AT628">
        <f>HYPERLINK("http://www.worldcat.org/oclc/6863147","WorldCat Record")</f>
        <v/>
      </c>
      <c r="AU628" t="inlineStr">
        <is>
          <t>404231:eng</t>
        </is>
      </c>
      <c r="AV628" t="inlineStr">
        <is>
          <t>6863147</t>
        </is>
      </c>
      <c r="AW628" t="inlineStr">
        <is>
          <t>991005049249702656</t>
        </is>
      </c>
      <c r="AX628" t="inlineStr">
        <is>
          <t>991005049249702656</t>
        </is>
      </c>
      <c r="AY628" t="inlineStr">
        <is>
          <t>2271948610002656</t>
        </is>
      </c>
      <c r="AZ628" t="inlineStr">
        <is>
          <t>BOOK</t>
        </is>
      </c>
      <c r="BB628" t="inlineStr">
        <is>
          <t>9780064300827</t>
        </is>
      </c>
      <c r="BC628" t="inlineStr">
        <is>
          <t>32285000209071</t>
        </is>
      </c>
      <c r="BD628" t="inlineStr">
        <is>
          <t>893260472</t>
        </is>
      </c>
    </row>
    <row r="629">
      <c r="A629" t="inlineStr">
        <is>
          <t>No</t>
        </is>
      </c>
      <c r="B629" t="inlineStr">
        <is>
          <t>ND615 .B55 1952</t>
        </is>
      </c>
      <c r="C629" t="inlineStr">
        <is>
          <t>0                      ND 0615000B  55          1952</t>
        </is>
      </c>
      <c r="D629" t="inlineStr">
        <is>
          <t>The Italian painters of the Renaissance.</t>
        </is>
      </c>
      <c r="F629" t="inlineStr">
        <is>
          <t>No</t>
        </is>
      </c>
      <c r="G629" t="inlineStr">
        <is>
          <t>1</t>
        </is>
      </c>
      <c r="H629" t="inlineStr">
        <is>
          <t>No</t>
        </is>
      </c>
      <c r="I629" t="inlineStr">
        <is>
          <t>No</t>
        </is>
      </c>
      <c r="J629" t="inlineStr">
        <is>
          <t>0</t>
        </is>
      </c>
      <c r="K629" t="inlineStr">
        <is>
          <t>Berenson, Bernard, 1865-1959.</t>
        </is>
      </c>
      <c r="L629" t="inlineStr">
        <is>
          <t>New York, Phaidon Publishers; distributed by Garden City Books [1952]</t>
        </is>
      </c>
      <c r="M629" t="inlineStr">
        <is>
          <t>1952</t>
        </is>
      </c>
      <c r="O629" t="inlineStr">
        <is>
          <t>eng</t>
        </is>
      </c>
      <c r="P629" t="inlineStr">
        <is>
          <t>nyu</t>
        </is>
      </c>
      <c r="R629" t="inlineStr">
        <is>
          <t xml:space="preserve">ND </t>
        </is>
      </c>
      <c r="S629" t="n">
        <v>4</v>
      </c>
      <c r="T629" t="n">
        <v>4</v>
      </c>
      <c r="U629" t="inlineStr">
        <is>
          <t>2009-05-11</t>
        </is>
      </c>
      <c r="V629" t="inlineStr">
        <is>
          <t>2009-05-11</t>
        </is>
      </c>
      <c r="W629" t="inlineStr">
        <is>
          <t>1997-07-30</t>
        </is>
      </c>
      <c r="X629" t="inlineStr">
        <is>
          <t>1997-07-30</t>
        </is>
      </c>
      <c r="Y629" t="n">
        <v>784</v>
      </c>
      <c r="Z629" t="n">
        <v>693</v>
      </c>
      <c r="AA629" t="n">
        <v>1861</v>
      </c>
      <c r="AB629" t="n">
        <v>9</v>
      </c>
      <c r="AC629" t="n">
        <v>13</v>
      </c>
      <c r="AD629" t="n">
        <v>28</v>
      </c>
      <c r="AE629" t="n">
        <v>56</v>
      </c>
      <c r="AF629" t="n">
        <v>8</v>
      </c>
      <c r="AG629" t="n">
        <v>23</v>
      </c>
      <c r="AH629" t="n">
        <v>4</v>
      </c>
      <c r="AI629" t="n">
        <v>8</v>
      </c>
      <c r="AJ629" t="n">
        <v>13</v>
      </c>
      <c r="AK629" t="n">
        <v>27</v>
      </c>
      <c r="AL629" t="n">
        <v>6</v>
      </c>
      <c r="AM629" t="n">
        <v>10</v>
      </c>
      <c r="AN629" t="n">
        <v>0</v>
      </c>
      <c r="AO629" t="n">
        <v>0</v>
      </c>
      <c r="AP629" t="inlineStr">
        <is>
          <t>No</t>
        </is>
      </c>
      <c r="AQ629" t="inlineStr">
        <is>
          <t>No</t>
        </is>
      </c>
      <c r="AR629">
        <f>HYPERLINK("http://catalog.hathitrust.org/Record/000461047","HathiTrust Record")</f>
        <v/>
      </c>
      <c r="AS629">
        <f>HYPERLINK("https://creighton-primo.hosted.exlibrisgroup.com/primo-explore/search?tab=default_tab&amp;search_scope=EVERYTHING&amp;vid=01CRU&amp;lang=en_US&amp;offset=0&amp;query=any,contains,991003207499702656","Catalog Record")</f>
        <v/>
      </c>
      <c r="AT629">
        <f>HYPERLINK("http://www.worldcat.org/oclc/732747","WorldCat Record")</f>
        <v/>
      </c>
      <c r="AU629" t="inlineStr">
        <is>
          <t>450937:eng</t>
        </is>
      </c>
      <c r="AV629" t="inlineStr">
        <is>
          <t>732747</t>
        </is>
      </c>
      <c r="AW629" t="inlineStr">
        <is>
          <t>991003207499702656</t>
        </is>
      </c>
      <c r="AX629" t="inlineStr">
        <is>
          <t>991003207499702656</t>
        </is>
      </c>
      <c r="AY629" t="inlineStr">
        <is>
          <t>2256278960002656</t>
        </is>
      </c>
      <c r="AZ629" t="inlineStr">
        <is>
          <t>BOOK</t>
        </is>
      </c>
      <c r="BC629" t="inlineStr">
        <is>
          <t>32285002968575</t>
        </is>
      </c>
      <c r="BD629" t="inlineStr">
        <is>
          <t>893887239</t>
        </is>
      </c>
    </row>
    <row r="630">
      <c r="A630" t="inlineStr">
        <is>
          <t>No</t>
        </is>
      </c>
      <c r="B630" t="inlineStr">
        <is>
          <t>ND615 .D44 1978</t>
        </is>
      </c>
      <c r="C630" t="inlineStr">
        <is>
          <t>0                      ND 0615000D  44          1978</t>
        </is>
      </c>
      <c r="D630" t="inlineStr">
        <is>
          <t>Italian painting, 1200-1600 / Ernest T. DeWald.</t>
        </is>
      </c>
      <c r="F630" t="inlineStr">
        <is>
          <t>No</t>
        </is>
      </c>
      <c r="G630" t="inlineStr">
        <is>
          <t>1</t>
        </is>
      </c>
      <c r="H630" t="inlineStr">
        <is>
          <t>No</t>
        </is>
      </c>
      <c r="I630" t="inlineStr">
        <is>
          <t>No</t>
        </is>
      </c>
      <c r="J630" t="inlineStr">
        <is>
          <t>0</t>
        </is>
      </c>
      <c r="K630" t="inlineStr">
        <is>
          <t>DeWald, Ernest T. (Ernest Theodore), 1891-1968.</t>
        </is>
      </c>
      <c r="L630" t="inlineStr">
        <is>
          <t>New York : Hacker Art Books, 1978, c1961.</t>
        </is>
      </c>
      <c r="M630" t="inlineStr">
        <is>
          <t>1978</t>
        </is>
      </c>
      <c r="O630" t="inlineStr">
        <is>
          <t>eng</t>
        </is>
      </c>
      <c r="P630" t="inlineStr">
        <is>
          <t>nyu</t>
        </is>
      </c>
      <c r="R630" t="inlineStr">
        <is>
          <t xml:space="preserve">ND </t>
        </is>
      </c>
      <c r="S630" t="n">
        <v>1</v>
      </c>
      <c r="T630" t="n">
        <v>1</v>
      </c>
      <c r="U630" t="inlineStr">
        <is>
          <t>2009-05-19</t>
        </is>
      </c>
      <c r="V630" t="inlineStr">
        <is>
          <t>2009-05-19</t>
        </is>
      </c>
      <c r="W630" t="inlineStr">
        <is>
          <t>2009-05-19</t>
        </is>
      </c>
      <c r="X630" t="inlineStr">
        <is>
          <t>2009-05-19</t>
        </is>
      </c>
      <c r="Y630" t="n">
        <v>135</v>
      </c>
      <c r="Z630" t="n">
        <v>105</v>
      </c>
      <c r="AA630" t="n">
        <v>912</v>
      </c>
      <c r="AB630" t="n">
        <v>1</v>
      </c>
      <c r="AC630" t="n">
        <v>10</v>
      </c>
      <c r="AD630" t="n">
        <v>5</v>
      </c>
      <c r="AE630" t="n">
        <v>34</v>
      </c>
      <c r="AF630" t="n">
        <v>2</v>
      </c>
      <c r="AG630" t="n">
        <v>10</v>
      </c>
      <c r="AH630" t="n">
        <v>0</v>
      </c>
      <c r="AI630" t="n">
        <v>9</v>
      </c>
      <c r="AJ630" t="n">
        <v>4</v>
      </c>
      <c r="AK630" t="n">
        <v>12</v>
      </c>
      <c r="AL630" t="n">
        <v>0</v>
      </c>
      <c r="AM630" t="n">
        <v>8</v>
      </c>
      <c r="AN630" t="n">
        <v>0</v>
      </c>
      <c r="AO630" t="n">
        <v>0</v>
      </c>
      <c r="AP630" t="inlineStr">
        <is>
          <t>No</t>
        </is>
      </c>
      <c r="AQ630" t="inlineStr">
        <is>
          <t>Yes</t>
        </is>
      </c>
      <c r="AR630">
        <f>HYPERLINK("http://catalog.hathitrust.org/Record/002603787","HathiTrust Record")</f>
        <v/>
      </c>
      <c r="AS630">
        <f>HYPERLINK("https://creighton-primo.hosted.exlibrisgroup.com/primo-explore/search?tab=default_tab&amp;search_scope=EVERYTHING&amp;vid=01CRU&amp;lang=en_US&amp;offset=0&amp;query=any,contains,991005316439702656","Catalog Record")</f>
        <v/>
      </c>
      <c r="AT630">
        <f>HYPERLINK("http://www.worldcat.org/oclc/4289394","WorldCat Record")</f>
        <v/>
      </c>
      <c r="AU630" t="inlineStr">
        <is>
          <t>13657524:eng</t>
        </is>
      </c>
      <c r="AV630" t="inlineStr">
        <is>
          <t>4289394</t>
        </is>
      </c>
      <c r="AW630" t="inlineStr">
        <is>
          <t>991005316439702656</t>
        </is>
      </c>
      <c r="AX630" t="inlineStr">
        <is>
          <t>991005316439702656</t>
        </is>
      </c>
      <c r="AY630" t="inlineStr">
        <is>
          <t>2259782430002656</t>
        </is>
      </c>
      <c r="AZ630" t="inlineStr">
        <is>
          <t>BOOK</t>
        </is>
      </c>
      <c r="BB630" t="inlineStr">
        <is>
          <t>9780878172191</t>
        </is>
      </c>
      <c r="BC630" t="inlineStr">
        <is>
          <t>32285005532253</t>
        </is>
      </c>
      <c r="BD630" t="inlineStr">
        <is>
          <t>893520825</t>
        </is>
      </c>
    </row>
    <row r="631">
      <c r="A631" t="inlineStr">
        <is>
          <t>No</t>
        </is>
      </c>
      <c r="B631" t="inlineStr">
        <is>
          <t>ND615 .E4 1963</t>
        </is>
      </c>
      <c r="C631" t="inlineStr">
        <is>
          <t>0                      ND 0615000E  4           1963</t>
        </is>
      </c>
      <c r="D631" t="inlineStr">
        <is>
          <t>Italian painting : Perugino to Caravaggio / Andrea Emiliani.</t>
        </is>
      </c>
      <c r="F631" t="inlineStr">
        <is>
          <t>No</t>
        </is>
      </c>
      <c r="G631" t="inlineStr">
        <is>
          <t>1</t>
        </is>
      </c>
      <c r="H631" t="inlineStr">
        <is>
          <t>No</t>
        </is>
      </c>
      <c r="I631" t="inlineStr">
        <is>
          <t>No</t>
        </is>
      </c>
      <c r="J631" t="inlineStr">
        <is>
          <t>0</t>
        </is>
      </c>
      <c r="K631" t="inlineStr">
        <is>
          <t>Emiliani, Andrea.</t>
        </is>
      </c>
      <c r="L631" t="inlineStr">
        <is>
          <t>New York : Golden Press, [1963]</t>
        </is>
      </c>
      <c r="M631" t="inlineStr">
        <is>
          <t>1963</t>
        </is>
      </c>
      <c r="O631" t="inlineStr">
        <is>
          <t>eng</t>
        </is>
      </c>
      <c r="P631" t="inlineStr">
        <is>
          <t>nyu</t>
        </is>
      </c>
      <c r="Q631" t="inlineStr">
        <is>
          <t>Art of the Western world</t>
        </is>
      </c>
      <c r="R631" t="inlineStr">
        <is>
          <t xml:space="preserve">ND </t>
        </is>
      </c>
      <c r="S631" t="n">
        <v>1</v>
      </c>
      <c r="T631" t="n">
        <v>1</v>
      </c>
      <c r="U631" t="inlineStr">
        <is>
          <t>1994-06-13</t>
        </is>
      </c>
      <c r="V631" t="inlineStr">
        <is>
          <t>1994-06-13</t>
        </is>
      </c>
      <c r="W631" t="inlineStr">
        <is>
          <t>1994-06-07</t>
        </is>
      </c>
      <c r="X631" t="inlineStr">
        <is>
          <t>1994-06-07</t>
        </is>
      </c>
      <c r="Y631" t="n">
        <v>206</v>
      </c>
      <c r="Z631" t="n">
        <v>199</v>
      </c>
      <c r="AA631" t="n">
        <v>281</v>
      </c>
      <c r="AB631" t="n">
        <v>2</v>
      </c>
      <c r="AC631" t="n">
        <v>4</v>
      </c>
      <c r="AD631" t="n">
        <v>9</v>
      </c>
      <c r="AE631" t="n">
        <v>15</v>
      </c>
      <c r="AF631" t="n">
        <v>2</v>
      </c>
      <c r="AG631" t="n">
        <v>4</v>
      </c>
      <c r="AH631" t="n">
        <v>2</v>
      </c>
      <c r="AI631" t="n">
        <v>3</v>
      </c>
      <c r="AJ631" t="n">
        <v>5</v>
      </c>
      <c r="AK631" t="n">
        <v>6</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HYPERLINK("https://creighton-primo.hosted.exlibrisgroup.com/primo-explore/search?tab=default_tab&amp;search_scope=EVERYTHING&amp;vid=01CRU&amp;lang=en_US&amp;offset=0&amp;query=any,contains,991004738519702656","Catalog Record")</f>
        <v/>
      </c>
      <c r="AT631">
        <f>HYPERLINK("http://www.worldcat.org/oclc/33339953","WorldCat Record")</f>
        <v/>
      </c>
      <c r="AU631" t="inlineStr">
        <is>
          <t>1689843:eng</t>
        </is>
      </c>
      <c r="AV631" t="inlineStr">
        <is>
          <t>33339953</t>
        </is>
      </c>
      <c r="AW631" t="inlineStr">
        <is>
          <t>991004738519702656</t>
        </is>
      </c>
      <c r="AX631" t="inlineStr">
        <is>
          <t>991004738519702656</t>
        </is>
      </c>
      <c r="AY631" t="inlineStr">
        <is>
          <t>2265430460002656</t>
        </is>
      </c>
      <c r="AZ631" t="inlineStr">
        <is>
          <t>BOOK</t>
        </is>
      </c>
      <c r="BC631" t="inlineStr">
        <is>
          <t>32285001915973</t>
        </is>
      </c>
      <c r="BD631" t="inlineStr">
        <is>
          <t>893789037</t>
        </is>
      </c>
    </row>
    <row r="632">
      <c r="A632" t="inlineStr">
        <is>
          <t>No</t>
        </is>
      </c>
      <c r="B632" t="inlineStr">
        <is>
          <t>ND615 .F66 1983</t>
        </is>
      </c>
      <c r="C632" t="inlineStr">
        <is>
          <t>0                      ND 0615000F  66          1983</t>
        </is>
      </c>
      <c r="D632" t="inlineStr">
        <is>
          <t>Painting in Italy, 1500-1600 / S.J. Freedberg.</t>
        </is>
      </c>
      <c r="F632" t="inlineStr">
        <is>
          <t>No</t>
        </is>
      </c>
      <c r="G632" t="inlineStr">
        <is>
          <t>1</t>
        </is>
      </c>
      <c r="H632" t="inlineStr">
        <is>
          <t>No</t>
        </is>
      </c>
      <c r="I632" t="inlineStr">
        <is>
          <t>No</t>
        </is>
      </c>
      <c r="J632" t="inlineStr">
        <is>
          <t>0</t>
        </is>
      </c>
      <c r="K632" t="inlineStr">
        <is>
          <t>Freedberg, S. J. (Sydney Joseph), 1914-1997.</t>
        </is>
      </c>
      <c r="L632" t="inlineStr">
        <is>
          <t>Harmondsworth : Penguin Books, 1983.</t>
        </is>
      </c>
      <c r="M632" t="inlineStr">
        <is>
          <t>1983</t>
        </is>
      </c>
      <c r="N632" t="inlineStr">
        <is>
          <t>2nd ed.</t>
        </is>
      </c>
      <c r="O632" t="inlineStr">
        <is>
          <t>eng</t>
        </is>
      </c>
      <c r="P632" t="inlineStr">
        <is>
          <t>enk</t>
        </is>
      </c>
      <c r="Q632" t="inlineStr">
        <is>
          <t>The Pelican history of art</t>
        </is>
      </c>
      <c r="R632" t="inlineStr">
        <is>
          <t xml:space="preserve">ND </t>
        </is>
      </c>
      <c r="S632" t="n">
        <v>7</v>
      </c>
      <c r="T632" t="n">
        <v>7</v>
      </c>
      <c r="U632" t="inlineStr">
        <is>
          <t>2004-11-17</t>
        </is>
      </c>
      <c r="V632" t="inlineStr">
        <is>
          <t>2004-11-17</t>
        </is>
      </c>
      <c r="W632" t="inlineStr">
        <is>
          <t>1993-05-24</t>
        </is>
      </c>
      <c r="X632" t="inlineStr">
        <is>
          <t>1993-05-24</t>
        </is>
      </c>
      <c r="Y632" t="n">
        <v>99</v>
      </c>
      <c r="Z632" t="n">
        <v>77</v>
      </c>
      <c r="AA632" t="n">
        <v>978</v>
      </c>
      <c r="AB632" t="n">
        <v>1</v>
      </c>
      <c r="AC632" t="n">
        <v>5</v>
      </c>
      <c r="AD632" t="n">
        <v>7</v>
      </c>
      <c r="AE632" t="n">
        <v>44</v>
      </c>
      <c r="AF632" t="n">
        <v>3</v>
      </c>
      <c r="AG632" t="n">
        <v>21</v>
      </c>
      <c r="AH632" t="n">
        <v>3</v>
      </c>
      <c r="AI632" t="n">
        <v>10</v>
      </c>
      <c r="AJ632" t="n">
        <v>4</v>
      </c>
      <c r="AK632" t="n">
        <v>23</v>
      </c>
      <c r="AL632" t="n">
        <v>0</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HYPERLINK("https://creighton-primo.hosted.exlibrisgroup.com/primo-explore/search?tab=default_tab&amp;search_scope=EVERYTHING&amp;vid=01CRU&amp;lang=en_US&amp;offset=0&amp;query=any,contains,991000520369702656","Catalog Record")</f>
        <v/>
      </c>
      <c r="AT632">
        <f>HYPERLINK("http://www.worldcat.org/oclc/11320267","WorldCat Record")</f>
        <v/>
      </c>
      <c r="AU632" t="inlineStr">
        <is>
          <t>118015683:eng</t>
        </is>
      </c>
      <c r="AV632" t="inlineStr">
        <is>
          <t>11320267</t>
        </is>
      </c>
      <c r="AW632" t="inlineStr">
        <is>
          <t>991000520369702656</t>
        </is>
      </c>
      <c r="AX632" t="inlineStr">
        <is>
          <t>991000520369702656</t>
        </is>
      </c>
      <c r="AY632" t="inlineStr">
        <is>
          <t>2271403810002656</t>
        </is>
      </c>
      <c r="AZ632" t="inlineStr">
        <is>
          <t>BOOK</t>
        </is>
      </c>
      <c r="BB632" t="inlineStr">
        <is>
          <t>9780140561357</t>
        </is>
      </c>
      <c r="BC632" t="inlineStr">
        <is>
          <t>32285001692333</t>
        </is>
      </c>
      <c r="BD632" t="inlineStr">
        <is>
          <t>893419534</t>
        </is>
      </c>
    </row>
    <row r="633">
      <c r="A633" t="inlineStr">
        <is>
          <t>No</t>
        </is>
      </c>
      <c r="B633" t="inlineStr">
        <is>
          <t>ND615 .F67 1972</t>
        </is>
      </c>
      <c r="C633" t="inlineStr">
        <is>
          <t>0                      ND 0615000F  67          1972</t>
        </is>
      </c>
      <c r="D633" t="inlineStr">
        <is>
          <t>Painting of the high Renaissance in Rome and Florence [by] S. J. Freedberg.</t>
        </is>
      </c>
      <c r="E633" t="inlineStr">
        <is>
          <t>V.1</t>
        </is>
      </c>
      <c r="F633" t="inlineStr">
        <is>
          <t>Yes</t>
        </is>
      </c>
      <c r="G633" t="inlineStr">
        <is>
          <t>1</t>
        </is>
      </c>
      <c r="H633" t="inlineStr">
        <is>
          <t>No</t>
        </is>
      </c>
      <c r="I633" t="inlineStr">
        <is>
          <t>No</t>
        </is>
      </c>
      <c r="J633" t="inlineStr">
        <is>
          <t>0</t>
        </is>
      </c>
      <c r="K633" t="inlineStr">
        <is>
          <t>Freedberg, S. J. (Sydney Joseph), 1914-1997.</t>
        </is>
      </c>
      <c r="L633" t="inlineStr">
        <is>
          <t>New York, Harper &amp; Row [1972]</t>
        </is>
      </c>
      <c r="M633" t="inlineStr">
        <is>
          <t>1972</t>
        </is>
      </c>
      <c r="O633" t="inlineStr">
        <is>
          <t>eng</t>
        </is>
      </c>
      <c r="P633" t="inlineStr">
        <is>
          <t>nyu</t>
        </is>
      </c>
      <c r="Q633" t="inlineStr">
        <is>
          <t>Icon editions ; IN-13-14</t>
        </is>
      </c>
      <c r="R633" t="inlineStr">
        <is>
          <t xml:space="preserve">ND </t>
        </is>
      </c>
      <c r="S633" t="n">
        <v>2</v>
      </c>
      <c r="T633" t="n">
        <v>2</v>
      </c>
      <c r="U633" t="inlineStr">
        <is>
          <t>2005-04-20</t>
        </is>
      </c>
      <c r="V633" t="inlineStr">
        <is>
          <t>2005-04-20</t>
        </is>
      </c>
      <c r="W633" t="inlineStr">
        <is>
          <t>1997-07-30</t>
        </is>
      </c>
      <c r="X633" t="inlineStr">
        <is>
          <t>1997-07-30</t>
        </is>
      </c>
      <c r="Y633" t="n">
        <v>251</v>
      </c>
      <c r="Z633" t="n">
        <v>203</v>
      </c>
      <c r="AA633" t="n">
        <v>1036</v>
      </c>
      <c r="AB633" t="n">
        <v>3</v>
      </c>
      <c r="AC633" t="n">
        <v>9</v>
      </c>
      <c r="AD633" t="n">
        <v>4</v>
      </c>
      <c r="AE633" t="n">
        <v>43</v>
      </c>
      <c r="AF633" t="n">
        <v>2</v>
      </c>
      <c r="AG633" t="n">
        <v>19</v>
      </c>
      <c r="AH633" t="n">
        <v>0</v>
      </c>
      <c r="AI633" t="n">
        <v>8</v>
      </c>
      <c r="AJ633" t="n">
        <v>2</v>
      </c>
      <c r="AK633" t="n">
        <v>18</v>
      </c>
      <c r="AL633" t="n">
        <v>1</v>
      </c>
      <c r="AM633" t="n">
        <v>7</v>
      </c>
      <c r="AN633" t="n">
        <v>0</v>
      </c>
      <c r="AO633" t="n">
        <v>0</v>
      </c>
      <c r="AP633" t="inlineStr">
        <is>
          <t>No</t>
        </is>
      </c>
      <c r="AQ633" t="inlineStr">
        <is>
          <t>Yes</t>
        </is>
      </c>
      <c r="AR633">
        <f>HYPERLINK("http://catalog.hathitrust.org/Record/004504592","HathiTrust Record")</f>
        <v/>
      </c>
      <c r="AS633">
        <f>HYPERLINK("https://creighton-primo.hosted.exlibrisgroup.com/primo-explore/search?tab=default_tab&amp;search_scope=EVERYTHING&amp;vid=01CRU&amp;lang=en_US&amp;offset=0&amp;query=any,contains,991002552089702656","Catalog Record")</f>
        <v/>
      </c>
      <c r="AT633">
        <f>HYPERLINK("http://www.worldcat.org/oclc/370107","WorldCat Record")</f>
        <v/>
      </c>
      <c r="AU633" t="inlineStr">
        <is>
          <t>3373371784:eng</t>
        </is>
      </c>
      <c r="AV633" t="inlineStr">
        <is>
          <t>370107</t>
        </is>
      </c>
      <c r="AW633" t="inlineStr">
        <is>
          <t>991002552089702656</t>
        </is>
      </c>
      <c r="AX633" t="inlineStr">
        <is>
          <t>991002552089702656</t>
        </is>
      </c>
      <c r="AY633" t="inlineStr">
        <is>
          <t>2260573190002656</t>
        </is>
      </c>
      <c r="AZ633" t="inlineStr">
        <is>
          <t>BOOK</t>
        </is>
      </c>
      <c r="BB633" t="inlineStr">
        <is>
          <t>9780064300131</t>
        </is>
      </c>
      <c r="BC633" t="inlineStr">
        <is>
          <t>32285002968583</t>
        </is>
      </c>
      <c r="BD633" t="inlineStr">
        <is>
          <t>893773755</t>
        </is>
      </c>
    </row>
    <row r="634">
      <c r="A634" t="inlineStr">
        <is>
          <t>No</t>
        </is>
      </c>
      <c r="B634" t="inlineStr">
        <is>
          <t>ND615 .F67 1972</t>
        </is>
      </c>
      <c r="C634" t="inlineStr">
        <is>
          <t>0                      ND 0615000F  67          1972</t>
        </is>
      </c>
      <c r="D634" t="inlineStr">
        <is>
          <t>Painting of the high Renaissance in Rome and Florence [by] S. J. Freedberg.</t>
        </is>
      </c>
      <c r="E634" t="inlineStr">
        <is>
          <t>V.2</t>
        </is>
      </c>
      <c r="F634" t="inlineStr">
        <is>
          <t>Yes</t>
        </is>
      </c>
      <c r="G634" t="inlineStr">
        <is>
          <t>1</t>
        </is>
      </c>
      <c r="H634" t="inlineStr">
        <is>
          <t>No</t>
        </is>
      </c>
      <c r="I634" t="inlineStr">
        <is>
          <t>No</t>
        </is>
      </c>
      <c r="J634" t="inlineStr">
        <is>
          <t>0</t>
        </is>
      </c>
      <c r="K634" t="inlineStr">
        <is>
          <t>Freedberg, S. J. (Sydney Joseph), 1914-1997.</t>
        </is>
      </c>
      <c r="L634" t="inlineStr">
        <is>
          <t>New York, Harper &amp; Row [1972]</t>
        </is>
      </c>
      <c r="M634" t="inlineStr">
        <is>
          <t>1972</t>
        </is>
      </c>
      <c r="O634" t="inlineStr">
        <is>
          <t>eng</t>
        </is>
      </c>
      <c r="P634" t="inlineStr">
        <is>
          <t>nyu</t>
        </is>
      </c>
      <c r="Q634" t="inlineStr">
        <is>
          <t>Icon editions ; IN-13-14</t>
        </is>
      </c>
      <c r="R634" t="inlineStr">
        <is>
          <t xml:space="preserve">ND </t>
        </is>
      </c>
      <c r="S634" t="n">
        <v>0</v>
      </c>
      <c r="T634" t="n">
        <v>2</v>
      </c>
      <c r="V634" t="inlineStr">
        <is>
          <t>2005-04-20</t>
        </is>
      </c>
      <c r="W634" t="inlineStr">
        <is>
          <t>1997-07-30</t>
        </is>
      </c>
      <c r="X634" t="inlineStr">
        <is>
          <t>1997-07-30</t>
        </is>
      </c>
      <c r="Y634" t="n">
        <v>251</v>
      </c>
      <c r="Z634" t="n">
        <v>203</v>
      </c>
      <c r="AA634" t="n">
        <v>1036</v>
      </c>
      <c r="AB634" t="n">
        <v>3</v>
      </c>
      <c r="AC634" t="n">
        <v>9</v>
      </c>
      <c r="AD634" t="n">
        <v>4</v>
      </c>
      <c r="AE634" t="n">
        <v>43</v>
      </c>
      <c r="AF634" t="n">
        <v>2</v>
      </c>
      <c r="AG634" t="n">
        <v>19</v>
      </c>
      <c r="AH634" t="n">
        <v>0</v>
      </c>
      <c r="AI634" t="n">
        <v>8</v>
      </c>
      <c r="AJ634" t="n">
        <v>2</v>
      </c>
      <c r="AK634" t="n">
        <v>18</v>
      </c>
      <c r="AL634" t="n">
        <v>1</v>
      </c>
      <c r="AM634" t="n">
        <v>7</v>
      </c>
      <c r="AN634" t="n">
        <v>0</v>
      </c>
      <c r="AO634" t="n">
        <v>0</v>
      </c>
      <c r="AP634" t="inlineStr">
        <is>
          <t>No</t>
        </is>
      </c>
      <c r="AQ634" t="inlineStr">
        <is>
          <t>Yes</t>
        </is>
      </c>
      <c r="AR634">
        <f>HYPERLINK("http://catalog.hathitrust.org/Record/004504592","HathiTrust Record")</f>
        <v/>
      </c>
      <c r="AS634">
        <f>HYPERLINK("https://creighton-primo.hosted.exlibrisgroup.com/primo-explore/search?tab=default_tab&amp;search_scope=EVERYTHING&amp;vid=01CRU&amp;lang=en_US&amp;offset=0&amp;query=any,contains,991002552089702656","Catalog Record")</f>
        <v/>
      </c>
      <c r="AT634">
        <f>HYPERLINK("http://www.worldcat.org/oclc/370107","WorldCat Record")</f>
        <v/>
      </c>
      <c r="AU634" t="inlineStr">
        <is>
          <t>3373371784:eng</t>
        </is>
      </c>
      <c r="AV634" t="inlineStr">
        <is>
          <t>370107</t>
        </is>
      </c>
      <c r="AW634" t="inlineStr">
        <is>
          <t>991002552089702656</t>
        </is>
      </c>
      <c r="AX634" t="inlineStr">
        <is>
          <t>991002552089702656</t>
        </is>
      </c>
      <c r="AY634" t="inlineStr">
        <is>
          <t>2260573190002656</t>
        </is>
      </c>
      <c r="AZ634" t="inlineStr">
        <is>
          <t>BOOK</t>
        </is>
      </c>
      <c r="BB634" t="inlineStr">
        <is>
          <t>9780064300131</t>
        </is>
      </c>
      <c r="BC634" t="inlineStr">
        <is>
          <t>32285002968591</t>
        </is>
      </c>
      <c r="BD634" t="inlineStr">
        <is>
          <t>893786284</t>
        </is>
      </c>
    </row>
    <row r="635">
      <c r="A635" t="inlineStr">
        <is>
          <t>No</t>
        </is>
      </c>
      <c r="B635" t="inlineStr">
        <is>
          <t>ND615 .G54</t>
        </is>
      </c>
      <c r="C635" t="inlineStr">
        <is>
          <t>0                      ND 0615000G  54</t>
        </is>
      </c>
      <c r="D635" t="inlineStr">
        <is>
          <t>History of Italian painting, 1250-1800 [by] F. M. Godfrey.</t>
        </is>
      </c>
      <c r="F635" t="inlineStr">
        <is>
          <t>No</t>
        </is>
      </c>
      <c r="G635" t="inlineStr">
        <is>
          <t>1</t>
        </is>
      </c>
      <c r="H635" t="inlineStr">
        <is>
          <t>No</t>
        </is>
      </c>
      <c r="I635" t="inlineStr">
        <is>
          <t>No</t>
        </is>
      </c>
      <c r="J635" t="inlineStr">
        <is>
          <t>0</t>
        </is>
      </c>
      <c r="K635" t="inlineStr">
        <is>
          <t>Godfrey, Frederick M.</t>
        </is>
      </c>
      <c r="L635" t="inlineStr">
        <is>
          <t>New York, Taplinger Pub. Co. [1965]</t>
        </is>
      </c>
      <c r="M635" t="inlineStr">
        <is>
          <t>1965</t>
        </is>
      </c>
      <c r="O635" t="inlineStr">
        <is>
          <t>eng</t>
        </is>
      </c>
      <c r="P635" t="inlineStr">
        <is>
          <t>nyu</t>
        </is>
      </c>
      <c r="R635" t="inlineStr">
        <is>
          <t xml:space="preserve">ND </t>
        </is>
      </c>
      <c r="S635" t="n">
        <v>6</v>
      </c>
      <c r="T635" t="n">
        <v>6</v>
      </c>
      <c r="U635" t="inlineStr">
        <is>
          <t>2002-04-16</t>
        </is>
      </c>
      <c r="V635" t="inlineStr">
        <is>
          <t>2002-04-16</t>
        </is>
      </c>
      <c r="W635" t="inlineStr">
        <is>
          <t>1997-07-30</t>
        </is>
      </c>
      <c r="X635" t="inlineStr">
        <is>
          <t>1997-07-30</t>
        </is>
      </c>
      <c r="Y635" t="n">
        <v>373</v>
      </c>
      <c r="Z635" t="n">
        <v>363</v>
      </c>
      <c r="AA635" t="n">
        <v>422</v>
      </c>
      <c r="AB635" t="n">
        <v>4</v>
      </c>
      <c r="AC635" t="n">
        <v>4</v>
      </c>
      <c r="AD635" t="n">
        <v>12</v>
      </c>
      <c r="AE635" t="n">
        <v>12</v>
      </c>
      <c r="AF635" t="n">
        <v>4</v>
      </c>
      <c r="AG635" t="n">
        <v>4</v>
      </c>
      <c r="AH635" t="n">
        <v>4</v>
      </c>
      <c r="AI635" t="n">
        <v>4</v>
      </c>
      <c r="AJ635" t="n">
        <v>4</v>
      </c>
      <c r="AK635" t="n">
        <v>4</v>
      </c>
      <c r="AL635" t="n">
        <v>3</v>
      </c>
      <c r="AM635" t="n">
        <v>3</v>
      </c>
      <c r="AN635" t="n">
        <v>0</v>
      </c>
      <c r="AO635" t="n">
        <v>0</v>
      </c>
      <c r="AP635" t="inlineStr">
        <is>
          <t>No</t>
        </is>
      </c>
      <c r="AQ635" t="inlineStr">
        <is>
          <t>Yes</t>
        </is>
      </c>
      <c r="AR635">
        <f>HYPERLINK("http://catalog.hathitrust.org/Record/008232088","HathiTrust Record")</f>
        <v/>
      </c>
      <c r="AS635">
        <f>HYPERLINK("https://creighton-primo.hosted.exlibrisgroup.com/primo-explore/search?tab=default_tab&amp;search_scope=EVERYTHING&amp;vid=01CRU&amp;lang=en_US&amp;offset=0&amp;query=any,contains,991002902619702656","Catalog Record")</f>
        <v/>
      </c>
      <c r="AT635">
        <f>HYPERLINK("http://www.worldcat.org/oclc/517943","WorldCat Record")</f>
        <v/>
      </c>
      <c r="AU635" t="inlineStr">
        <is>
          <t>1506740:eng</t>
        </is>
      </c>
      <c r="AV635" t="inlineStr">
        <is>
          <t>517943</t>
        </is>
      </c>
      <c r="AW635" t="inlineStr">
        <is>
          <t>991002902619702656</t>
        </is>
      </c>
      <c r="AX635" t="inlineStr">
        <is>
          <t>991002902619702656</t>
        </is>
      </c>
      <c r="AY635" t="inlineStr">
        <is>
          <t>2254997980002656</t>
        </is>
      </c>
      <c r="AZ635" t="inlineStr">
        <is>
          <t>BOOK</t>
        </is>
      </c>
      <c r="BC635" t="inlineStr">
        <is>
          <t>32285002968609</t>
        </is>
      </c>
      <c r="BD635" t="inlineStr">
        <is>
          <t>893710825</t>
        </is>
      </c>
    </row>
    <row r="636">
      <c r="A636" t="inlineStr">
        <is>
          <t>No</t>
        </is>
      </c>
      <c r="B636" t="inlineStr">
        <is>
          <t>ND616.5.B3 S65</t>
        </is>
      </c>
      <c r="C636" t="inlineStr">
        <is>
          <t>0                      ND 0616500B  3                  S  65</t>
        </is>
      </c>
      <c r="D636" t="inlineStr">
        <is>
          <t>Italian Baroque paintings from New York private collections / John T. Spike.</t>
        </is>
      </c>
      <c r="F636" t="inlineStr">
        <is>
          <t>No</t>
        </is>
      </c>
      <c r="G636" t="inlineStr">
        <is>
          <t>1</t>
        </is>
      </c>
      <c r="H636" t="inlineStr">
        <is>
          <t>No</t>
        </is>
      </c>
      <c r="I636" t="inlineStr">
        <is>
          <t>No</t>
        </is>
      </c>
      <c r="J636" t="inlineStr">
        <is>
          <t>0</t>
        </is>
      </c>
      <c r="K636" t="inlineStr">
        <is>
          <t>Spike, John T.</t>
        </is>
      </c>
      <c r="L636" t="inlineStr">
        <is>
          <t>[Princeton, N.J.] : Art Museum, Princeton University : Princeton University Press, c1980.</t>
        </is>
      </c>
      <c r="M636" t="inlineStr">
        <is>
          <t>1980</t>
        </is>
      </c>
      <c r="O636" t="inlineStr">
        <is>
          <t>eng</t>
        </is>
      </c>
      <c r="P636" t="inlineStr">
        <is>
          <t>nju</t>
        </is>
      </c>
      <c r="R636" t="inlineStr">
        <is>
          <t xml:space="preserve">ND </t>
        </is>
      </c>
      <c r="S636" t="n">
        <v>2</v>
      </c>
      <c r="T636" t="n">
        <v>2</v>
      </c>
      <c r="U636" t="inlineStr">
        <is>
          <t>1994-11-07</t>
        </is>
      </c>
      <c r="V636" t="inlineStr">
        <is>
          <t>1994-11-07</t>
        </is>
      </c>
      <c r="W636" t="inlineStr">
        <is>
          <t>1993-05-24</t>
        </is>
      </c>
      <c r="X636" t="inlineStr">
        <is>
          <t>1993-05-24</t>
        </is>
      </c>
      <c r="Y636" t="n">
        <v>365</v>
      </c>
      <c r="Z636" t="n">
        <v>290</v>
      </c>
      <c r="AA636" t="n">
        <v>290</v>
      </c>
      <c r="AB636" t="n">
        <v>4</v>
      </c>
      <c r="AC636" t="n">
        <v>4</v>
      </c>
      <c r="AD636" t="n">
        <v>13</v>
      </c>
      <c r="AE636" t="n">
        <v>13</v>
      </c>
      <c r="AF636" t="n">
        <v>3</v>
      </c>
      <c r="AG636" t="n">
        <v>3</v>
      </c>
      <c r="AH636" t="n">
        <v>4</v>
      </c>
      <c r="AI636" t="n">
        <v>4</v>
      </c>
      <c r="AJ636" t="n">
        <v>6</v>
      </c>
      <c r="AK636" t="n">
        <v>6</v>
      </c>
      <c r="AL636" t="n">
        <v>2</v>
      </c>
      <c r="AM636" t="n">
        <v>2</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HYPERLINK("https://creighton-primo.hosted.exlibrisgroup.com/primo-explore/search?tab=default_tab&amp;search_scope=EVERYTHING&amp;vid=01CRU&amp;lang=en_US&amp;offset=0&amp;query=any,contains,991005005079702656","Catalog Record")</f>
        <v/>
      </c>
      <c r="AT636">
        <f>HYPERLINK("http://www.worldcat.org/oclc/6558337","WorldCat Record")</f>
        <v/>
      </c>
      <c r="AU636" t="inlineStr">
        <is>
          <t>22784176:eng</t>
        </is>
      </c>
      <c r="AV636" t="inlineStr">
        <is>
          <t>6558337</t>
        </is>
      </c>
      <c r="AW636" t="inlineStr">
        <is>
          <t>991005005079702656</t>
        </is>
      </c>
      <c r="AX636" t="inlineStr">
        <is>
          <t>991005005079702656</t>
        </is>
      </c>
      <c r="AY636" t="inlineStr">
        <is>
          <t>2257423600002656</t>
        </is>
      </c>
      <c r="AZ636" t="inlineStr">
        <is>
          <t>BOOK</t>
        </is>
      </c>
      <c r="BB636" t="inlineStr">
        <is>
          <t>9780691003252</t>
        </is>
      </c>
      <c r="BC636" t="inlineStr">
        <is>
          <t>32285001692341</t>
        </is>
      </c>
      <c r="BD636" t="inlineStr">
        <is>
          <t>893876810</t>
        </is>
      </c>
    </row>
    <row r="637">
      <c r="A637" t="inlineStr">
        <is>
          <t>No</t>
        </is>
      </c>
      <c r="B637" t="inlineStr">
        <is>
          <t>ND621.F7 E33 1985</t>
        </is>
      </c>
      <c r="C637" t="inlineStr">
        <is>
          <t>0                      ND 0621000F  7                  E  33          1985</t>
        </is>
      </c>
      <c r="D637" t="inlineStr">
        <is>
          <t>Pictures and punishment : art and criminal prosecution during the Florentine Renaissance / Samuel Y. Edgerton, Jr.</t>
        </is>
      </c>
      <c r="F637" t="inlineStr">
        <is>
          <t>No</t>
        </is>
      </c>
      <c r="G637" t="inlineStr">
        <is>
          <t>1</t>
        </is>
      </c>
      <c r="H637" t="inlineStr">
        <is>
          <t>No</t>
        </is>
      </c>
      <c r="I637" t="inlineStr">
        <is>
          <t>No</t>
        </is>
      </c>
      <c r="J637" t="inlineStr">
        <is>
          <t>0</t>
        </is>
      </c>
      <c r="K637" t="inlineStr">
        <is>
          <t>Edgerton, Samuel Y.</t>
        </is>
      </c>
      <c r="L637" t="inlineStr">
        <is>
          <t>Ithaca : Cornell University Press, c1985.</t>
        </is>
      </c>
      <c r="M637" t="inlineStr">
        <is>
          <t>1985</t>
        </is>
      </c>
      <c r="O637" t="inlineStr">
        <is>
          <t>eng</t>
        </is>
      </c>
      <c r="P637" t="inlineStr">
        <is>
          <t>nyu</t>
        </is>
      </c>
      <c r="R637" t="inlineStr">
        <is>
          <t xml:space="preserve">ND </t>
        </is>
      </c>
      <c r="S637" t="n">
        <v>9</v>
      </c>
      <c r="T637" t="n">
        <v>9</v>
      </c>
      <c r="U637" t="inlineStr">
        <is>
          <t>2002-04-16</t>
        </is>
      </c>
      <c r="V637" t="inlineStr">
        <is>
          <t>2002-04-16</t>
        </is>
      </c>
      <c r="W637" t="inlineStr">
        <is>
          <t>1993-05-24</t>
        </is>
      </c>
      <c r="X637" t="inlineStr">
        <is>
          <t>1993-05-24</t>
        </is>
      </c>
      <c r="Y637" t="n">
        <v>586</v>
      </c>
      <c r="Z637" t="n">
        <v>478</v>
      </c>
      <c r="AA637" t="n">
        <v>631</v>
      </c>
      <c r="AB637" t="n">
        <v>3</v>
      </c>
      <c r="AC637" t="n">
        <v>5</v>
      </c>
      <c r="AD637" t="n">
        <v>31</v>
      </c>
      <c r="AE637" t="n">
        <v>40</v>
      </c>
      <c r="AF637" t="n">
        <v>10</v>
      </c>
      <c r="AG637" t="n">
        <v>14</v>
      </c>
      <c r="AH637" t="n">
        <v>8</v>
      </c>
      <c r="AI637" t="n">
        <v>9</v>
      </c>
      <c r="AJ637" t="n">
        <v>14</v>
      </c>
      <c r="AK637" t="n">
        <v>18</v>
      </c>
      <c r="AL637" t="n">
        <v>2</v>
      </c>
      <c r="AM637" t="n">
        <v>4</v>
      </c>
      <c r="AN637" t="n">
        <v>5</v>
      </c>
      <c r="AO637" t="n">
        <v>5</v>
      </c>
      <c r="AP637" t="inlineStr">
        <is>
          <t>No</t>
        </is>
      </c>
      <c r="AQ637" t="inlineStr">
        <is>
          <t>Yes</t>
        </is>
      </c>
      <c r="AR637">
        <f>HYPERLINK("http://catalog.hathitrust.org/Record/000365196","HathiTrust Record")</f>
        <v/>
      </c>
      <c r="AS637">
        <f>HYPERLINK("https://creighton-primo.hosted.exlibrisgroup.com/primo-explore/search?tab=default_tab&amp;search_scope=EVERYTHING&amp;vid=01CRU&amp;lang=en_US&amp;offset=0&amp;query=any,contains,991000450859702656","Catalog Record")</f>
        <v/>
      </c>
      <c r="AT637">
        <f>HYPERLINK("http://www.worldcat.org/oclc/10878754","WorldCat Record")</f>
        <v/>
      </c>
      <c r="AU637" t="inlineStr">
        <is>
          <t>3452250:eng</t>
        </is>
      </c>
      <c r="AV637" t="inlineStr">
        <is>
          <t>10878754</t>
        </is>
      </c>
      <c r="AW637" t="inlineStr">
        <is>
          <t>991000450859702656</t>
        </is>
      </c>
      <c r="AX637" t="inlineStr">
        <is>
          <t>991000450859702656</t>
        </is>
      </c>
      <c r="AY637" t="inlineStr">
        <is>
          <t>2272661920002656</t>
        </is>
      </c>
      <c r="AZ637" t="inlineStr">
        <is>
          <t>BOOK</t>
        </is>
      </c>
      <c r="BB637" t="inlineStr">
        <is>
          <t>9780801417054</t>
        </is>
      </c>
      <c r="BC637" t="inlineStr">
        <is>
          <t>32285001692358</t>
        </is>
      </c>
      <c r="BD637" t="inlineStr">
        <is>
          <t>893255429</t>
        </is>
      </c>
    </row>
    <row r="638">
      <c r="A638" t="inlineStr">
        <is>
          <t>No</t>
        </is>
      </c>
      <c r="B638" t="inlineStr">
        <is>
          <t>ND621.F7 O4 1972</t>
        </is>
      </c>
      <c r="C638" t="inlineStr">
        <is>
          <t>0                      ND 0621000F  7                  O  4           1972</t>
        </is>
      </c>
      <c r="D638" t="inlineStr">
        <is>
          <t>Studies in Florentine painting, the fourteenth century, by Richard Offner, with an introductory essay by Bruce Cole.</t>
        </is>
      </c>
      <c r="F638" t="inlineStr">
        <is>
          <t>No</t>
        </is>
      </c>
      <c r="G638" t="inlineStr">
        <is>
          <t>1</t>
        </is>
      </c>
      <c r="H638" t="inlineStr">
        <is>
          <t>No</t>
        </is>
      </c>
      <c r="I638" t="inlineStr">
        <is>
          <t>No</t>
        </is>
      </c>
      <c r="J638" t="inlineStr">
        <is>
          <t>0</t>
        </is>
      </c>
      <c r="K638" t="inlineStr">
        <is>
          <t>Offner, Richard, 1889-1965.</t>
        </is>
      </c>
      <c r="L638" t="inlineStr">
        <is>
          <t>New York, Junius Press [1972]</t>
        </is>
      </c>
      <c r="M638" t="inlineStr">
        <is>
          <t>1972</t>
        </is>
      </c>
      <c r="O638" t="inlineStr">
        <is>
          <t>eng</t>
        </is>
      </c>
      <c r="P638" t="inlineStr">
        <is>
          <t>nyu</t>
        </is>
      </c>
      <c r="R638" t="inlineStr">
        <is>
          <t xml:space="preserve">ND </t>
        </is>
      </c>
      <c r="S638" t="n">
        <v>2</v>
      </c>
      <c r="T638" t="n">
        <v>2</v>
      </c>
      <c r="U638" t="inlineStr">
        <is>
          <t>1999-02-14</t>
        </is>
      </c>
      <c r="V638" t="inlineStr">
        <is>
          <t>1999-02-14</t>
        </is>
      </c>
      <c r="W638" t="inlineStr">
        <is>
          <t>1997-07-30</t>
        </is>
      </c>
      <c r="X638" t="inlineStr">
        <is>
          <t>1997-07-30</t>
        </is>
      </c>
      <c r="Y638" t="n">
        <v>236</v>
      </c>
      <c r="Z638" t="n">
        <v>177</v>
      </c>
      <c r="AA638" t="n">
        <v>274</v>
      </c>
      <c r="AB638" t="n">
        <v>3</v>
      </c>
      <c r="AC638" t="n">
        <v>3</v>
      </c>
      <c r="AD638" t="n">
        <v>7</v>
      </c>
      <c r="AE638" t="n">
        <v>8</v>
      </c>
      <c r="AF638" t="n">
        <v>1</v>
      </c>
      <c r="AG638" t="n">
        <v>1</v>
      </c>
      <c r="AH638" t="n">
        <v>0</v>
      </c>
      <c r="AI638" t="n">
        <v>1</v>
      </c>
      <c r="AJ638" t="n">
        <v>4</v>
      </c>
      <c r="AK638" t="n">
        <v>4</v>
      </c>
      <c r="AL638" t="n">
        <v>2</v>
      </c>
      <c r="AM638" t="n">
        <v>2</v>
      </c>
      <c r="AN638" t="n">
        <v>0</v>
      </c>
      <c r="AO638" t="n">
        <v>0</v>
      </c>
      <c r="AP638" t="inlineStr">
        <is>
          <t>No</t>
        </is>
      </c>
      <c r="AQ638" t="inlineStr">
        <is>
          <t>Yes</t>
        </is>
      </c>
      <c r="AR638">
        <f>HYPERLINK("http://catalog.hathitrust.org/Record/000462172","HathiTrust Record")</f>
        <v/>
      </c>
      <c r="AS638">
        <f>HYPERLINK("https://creighton-primo.hosted.exlibrisgroup.com/primo-explore/search?tab=default_tab&amp;search_scope=EVERYTHING&amp;vid=01CRU&amp;lang=en_US&amp;offset=0&amp;query=any,contains,991003046969702656","Catalog Record")</f>
        <v/>
      </c>
      <c r="AT638">
        <f>HYPERLINK("http://www.worldcat.org/oclc/607132","WorldCat Record")</f>
        <v/>
      </c>
      <c r="AU638" t="inlineStr">
        <is>
          <t>1627946:eng</t>
        </is>
      </c>
      <c r="AV638" t="inlineStr">
        <is>
          <t>607132</t>
        </is>
      </c>
      <c r="AW638" t="inlineStr">
        <is>
          <t>991003046969702656</t>
        </is>
      </c>
      <c r="AX638" t="inlineStr">
        <is>
          <t>991003046969702656</t>
        </is>
      </c>
      <c r="AY638" t="inlineStr">
        <is>
          <t>2261898360002656</t>
        </is>
      </c>
      <c r="AZ638" t="inlineStr">
        <is>
          <t>BOOK</t>
        </is>
      </c>
      <c r="BC638" t="inlineStr">
        <is>
          <t>32285002968625</t>
        </is>
      </c>
      <c r="BD638" t="inlineStr">
        <is>
          <t>893616940</t>
        </is>
      </c>
    </row>
    <row r="639">
      <c r="A639" t="inlineStr">
        <is>
          <t>No</t>
        </is>
      </c>
      <c r="B639" t="inlineStr">
        <is>
          <t>ND621.S6 N67 2003</t>
        </is>
      </c>
      <c r="C639" t="inlineStr">
        <is>
          <t>0                      ND 0621000S  6                  N  67          2003</t>
        </is>
      </c>
      <c r="D639" t="inlineStr">
        <is>
          <t>Painting in late medieval and renaissance Siena, 1260-1555 / Diana Norman.</t>
        </is>
      </c>
      <c r="F639" t="inlineStr">
        <is>
          <t>No</t>
        </is>
      </c>
      <c r="G639" t="inlineStr">
        <is>
          <t>1</t>
        </is>
      </c>
      <c r="H639" t="inlineStr">
        <is>
          <t>No</t>
        </is>
      </c>
      <c r="I639" t="inlineStr">
        <is>
          <t>No</t>
        </is>
      </c>
      <c r="J639" t="inlineStr">
        <is>
          <t>0</t>
        </is>
      </c>
      <c r="K639" t="inlineStr">
        <is>
          <t>Norman, Diana, 1948-</t>
        </is>
      </c>
      <c r="L639" t="inlineStr">
        <is>
          <t>New Haven : Yale University Press, c2003.</t>
        </is>
      </c>
      <c r="M639" t="inlineStr">
        <is>
          <t>2003</t>
        </is>
      </c>
      <c r="O639" t="inlineStr">
        <is>
          <t>eng</t>
        </is>
      </c>
      <c r="P639" t="inlineStr">
        <is>
          <t>ctu</t>
        </is>
      </c>
      <c r="R639" t="inlineStr">
        <is>
          <t xml:space="preserve">ND </t>
        </is>
      </c>
      <c r="S639" t="n">
        <v>3</v>
      </c>
      <c r="T639" t="n">
        <v>3</v>
      </c>
      <c r="U639" t="inlineStr">
        <is>
          <t>2010-03-29</t>
        </is>
      </c>
      <c r="V639" t="inlineStr">
        <is>
          <t>2010-03-29</t>
        </is>
      </c>
      <c r="W639" t="inlineStr">
        <is>
          <t>2004-05-11</t>
        </is>
      </c>
      <c r="X639" t="inlineStr">
        <is>
          <t>2004-05-11</t>
        </is>
      </c>
      <c r="Y639" t="n">
        <v>640</v>
      </c>
      <c r="Z639" t="n">
        <v>516</v>
      </c>
      <c r="AA639" t="n">
        <v>516</v>
      </c>
      <c r="AB639" t="n">
        <v>3</v>
      </c>
      <c r="AC639" t="n">
        <v>3</v>
      </c>
      <c r="AD639" t="n">
        <v>31</v>
      </c>
      <c r="AE639" t="n">
        <v>31</v>
      </c>
      <c r="AF639" t="n">
        <v>16</v>
      </c>
      <c r="AG639" t="n">
        <v>16</v>
      </c>
      <c r="AH639" t="n">
        <v>6</v>
      </c>
      <c r="AI639" t="n">
        <v>6</v>
      </c>
      <c r="AJ639" t="n">
        <v>15</v>
      </c>
      <c r="AK639" t="n">
        <v>15</v>
      </c>
      <c r="AL639" t="n">
        <v>2</v>
      </c>
      <c r="AM639" t="n">
        <v>2</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HYPERLINK("https://creighton-primo.hosted.exlibrisgroup.com/primo-explore/search?tab=default_tab&amp;search_scope=EVERYTHING&amp;vid=01CRU&amp;lang=en_US&amp;offset=0&amp;query=any,contains,991004284679702656","Catalog Record")</f>
        <v/>
      </c>
      <c r="AT639">
        <f>HYPERLINK("http://www.worldcat.org/oclc/51223690","WorldCat Record")</f>
        <v/>
      </c>
      <c r="AU639" t="inlineStr">
        <is>
          <t>671944:eng</t>
        </is>
      </c>
      <c r="AV639" t="inlineStr">
        <is>
          <t>51223690</t>
        </is>
      </c>
      <c r="AW639" t="inlineStr">
        <is>
          <t>991004284679702656</t>
        </is>
      </c>
      <c r="AX639" t="inlineStr">
        <is>
          <t>991004284679702656</t>
        </is>
      </c>
      <c r="AY639" t="inlineStr">
        <is>
          <t>2269326140002656</t>
        </is>
      </c>
      <c r="AZ639" t="inlineStr">
        <is>
          <t>BOOK</t>
        </is>
      </c>
      <c r="BB639" t="inlineStr">
        <is>
          <t>9780300099331</t>
        </is>
      </c>
      <c r="BC639" t="inlineStr">
        <is>
          <t>32285004904602</t>
        </is>
      </c>
      <c r="BD639" t="inlineStr">
        <is>
          <t>893325177</t>
        </is>
      </c>
    </row>
    <row r="640">
      <c r="A640" t="inlineStr">
        <is>
          <t>No</t>
        </is>
      </c>
      <c r="B640" t="inlineStr">
        <is>
          <t>ND621.V5 H77 1995</t>
        </is>
      </c>
      <c r="C640" t="inlineStr">
        <is>
          <t>0                      ND 0621000V  5                  H  77          1995</t>
        </is>
      </c>
      <c r="D640" t="inlineStr">
        <is>
          <t>Painting in Renaissance Venice / Peter Humfrey.</t>
        </is>
      </c>
      <c r="F640" t="inlineStr">
        <is>
          <t>No</t>
        </is>
      </c>
      <c r="G640" t="inlineStr">
        <is>
          <t>1</t>
        </is>
      </c>
      <c r="H640" t="inlineStr">
        <is>
          <t>No</t>
        </is>
      </c>
      <c r="I640" t="inlineStr">
        <is>
          <t>No</t>
        </is>
      </c>
      <c r="J640" t="inlineStr">
        <is>
          <t>0</t>
        </is>
      </c>
      <c r="K640" t="inlineStr">
        <is>
          <t>Humfrey, Peter, 1947-</t>
        </is>
      </c>
      <c r="L640" t="inlineStr">
        <is>
          <t>New Haven : Yale University Press, c1995.</t>
        </is>
      </c>
      <c r="M640" t="inlineStr">
        <is>
          <t>1995</t>
        </is>
      </c>
      <c r="O640" t="inlineStr">
        <is>
          <t>eng</t>
        </is>
      </c>
      <c r="P640" t="inlineStr">
        <is>
          <t>ctu</t>
        </is>
      </c>
      <c r="R640" t="inlineStr">
        <is>
          <t xml:space="preserve">ND </t>
        </is>
      </c>
      <c r="S640" t="n">
        <v>5</v>
      </c>
      <c r="T640" t="n">
        <v>5</v>
      </c>
      <c r="U640" t="inlineStr">
        <is>
          <t>2010-03-29</t>
        </is>
      </c>
      <c r="V640" t="inlineStr">
        <is>
          <t>2010-03-29</t>
        </is>
      </c>
      <c r="W640" t="inlineStr">
        <is>
          <t>1996-12-10</t>
        </is>
      </c>
      <c r="X640" t="inlineStr">
        <is>
          <t>1996-12-10</t>
        </is>
      </c>
      <c r="Y640" t="n">
        <v>1152</v>
      </c>
      <c r="Z640" t="n">
        <v>962</v>
      </c>
      <c r="AA640" t="n">
        <v>975</v>
      </c>
      <c r="AB640" t="n">
        <v>9</v>
      </c>
      <c r="AC640" t="n">
        <v>9</v>
      </c>
      <c r="AD640" t="n">
        <v>36</v>
      </c>
      <c r="AE640" t="n">
        <v>36</v>
      </c>
      <c r="AF640" t="n">
        <v>16</v>
      </c>
      <c r="AG640" t="n">
        <v>16</v>
      </c>
      <c r="AH640" t="n">
        <v>6</v>
      </c>
      <c r="AI640" t="n">
        <v>6</v>
      </c>
      <c r="AJ640" t="n">
        <v>18</v>
      </c>
      <c r="AK640" t="n">
        <v>18</v>
      </c>
      <c r="AL640" t="n">
        <v>5</v>
      </c>
      <c r="AM640" t="n">
        <v>5</v>
      </c>
      <c r="AN640" t="n">
        <v>0</v>
      </c>
      <c r="AO640" t="n">
        <v>0</v>
      </c>
      <c r="AP640" t="inlineStr">
        <is>
          <t>No</t>
        </is>
      </c>
      <c r="AQ640" t="inlineStr">
        <is>
          <t>Yes</t>
        </is>
      </c>
      <c r="AR640">
        <f>HYPERLINK("http://catalog.hathitrust.org/Record/002978841","HathiTrust Record")</f>
        <v/>
      </c>
      <c r="AS640">
        <f>HYPERLINK("https://creighton-primo.hosted.exlibrisgroup.com/primo-explore/search?tab=default_tab&amp;search_scope=EVERYTHING&amp;vid=01CRU&amp;lang=en_US&amp;offset=0&amp;query=any,contains,991002395889702656","Catalog Record")</f>
        <v/>
      </c>
      <c r="AT640">
        <f>HYPERLINK("http://www.worldcat.org/oclc/31132099","WorldCat Record")</f>
        <v/>
      </c>
      <c r="AU640" t="inlineStr">
        <is>
          <t>33210156:eng</t>
        </is>
      </c>
      <c r="AV640" t="inlineStr">
        <is>
          <t>31132099</t>
        </is>
      </c>
      <c r="AW640" t="inlineStr">
        <is>
          <t>991002395889702656</t>
        </is>
      </c>
      <c r="AX640" t="inlineStr">
        <is>
          <t>991002395889702656</t>
        </is>
      </c>
      <c r="AY640" t="inlineStr">
        <is>
          <t>2271378410002656</t>
        </is>
      </c>
      <c r="AZ640" t="inlineStr">
        <is>
          <t>BOOK</t>
        </is>
      </c>
      <c r="BB640" t="inlineStr">
        <is>
          <t>9780300062472</t>
        </is>
      </c>
      <c r="BC640" t="inlineStr">
        <is>
          <t>32285002389723</t>
        </is>
      </c>
      <c r="BD640" t="inlineStr">
        <is>
          <t>893879864</t>
        </is>
      </c>
    </row>
    <row r="641">
      <c r="A641" t="inlineStr">
        <is>
          <t>No</t>
        </is>
      </c>
      <c r="B641" t="inlineStr">
        <is>
          <t>ND621.V5 L4 1980</t>
        </is>
      </c>
      <c r="C641" t="inlineStr">
        <is>
          <t>0                      ND 0621000V  5                  L  4           1980</t>
        </is>
      </c>
      <c r="D641" t="inlineStr">
        <is>
          <t>Painting in eighteenth-century Venice / Michael Levey.</t>
        </is>
      </c>
      <c r="F641" t="inlineStr">
        <is>
          <t>No</t>
        </is>
      </c>
      <c r="G641" t="inlineStr">
        <is>
          <t>1</t>
        </is>
      </c>
      <c r="H641" t="inlineStr">
        <is>
          <t>No</t>
        </is>
      </c>
      <c r="I641" t="inlineStr">
        <is>
          <t>Yes</t>
        </is>
      </c>
      <c r="J641" t="inlineStr">
        <is>
          <t>0</t>
        </is>
      </c>
      <c r="K641" t="inlineStr">
        <is>
          <t>Levey, Michael.</t>
        </is>
      </c>
      <c r="L641" t="inlineStr">
        <is>
          <t>Ithaca, N.Y. : Cornell University Press, 1980.</t>
        </is>
      </c>
      <c r="M641" t="inlineStr">
        <is>
          <t>1980</t>
        </is>
      </c>
      <c r="N641" t="inlineStr">
        <is>
          <t>Rev. ed., 2d ed.</t>
        </is>
      </c>
      <c r="O641" t="inlineStr">
        <is>
          <t>eng</t>
        </is>
      </c>
      <c r="P641" t="inlineStr">
        <is>
          <t>nyu</t>
        </is>
      </c>
      <c r="R641" t="inlineStr">
        <is>
          <t xml:space="preserve">ND </t>
        </is>
      </c>
      <c r="S641" t="n">
        <v>6</v>
      </c>
      <c r="T641" t="n">
        <v>6</v>
      </c>
      <c r="U641" t="inlineStr">
        <is>
          <t>1999-04-08</t>
        </is>
      </c>
      <c r="V641" t="inlineStr">
        <is>
          <t>1999-04-08</t>
        </is>
      </c>
      <c r="W641" t="inlineStr">
        <is>
          <t>1990-03-29</t>
        </is>
      </c>
      <c r="X641" t="inlineStr">
        <is>
          <t>1990-03-29</t>
        </is>
      </c>
      <c r="Y641" t="n">
        <v>444</v>
      </c>
      <c r="Z641" t="n">
        <v>408</v>
      </c>
      <c r="AA641" t="n">
        <v>870</v>
      </c>
      <c r="AB641" t="n">
        <v>4</v>
      </c>
      <c r="AC641" t="n">
        <v>6</v>
      </c>
      <c r="AD641" t="n">
        <v>24</v>
      </c>
      <c r="AE641" t="n">
        <v>41</v>
      </c>
      <c r="AF641" t="n">
        <v>10</v>
      </c>
      <c r="AG641" t="n">
        <v>21</v>
      </c>
      <c r="AH641" t="n">
        <v>6</v>
      </c>
      <c r="AI641" t="n">
        <v>8</v>
      </c>
      <c r="AJ641" t="n">
        <v>13</v>
      </c>
      <c r="AK641" t="n">
        <v>18</v>
      </c>
      <c r="AL641" t="n">
        <v>2</v>
      </c>
      <c r="AM641" t="n">
        <v>4</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HYPERLINK("https://creighton-primo.hosted.exlibrisgroup.com/primo-explore/search?tab=default_tab&amp;search_scope=EVERYTHING&amp;vid=01CRU&amp;lang=en_US&amp;offset=0&amp;query=any,contains,991005057539702656","Catalog Record")</f>
        <v/>
      </c>
      <c r="AT641">
        <f>HYPERLINK("http://www.worldcat.org/oclc/6911754","WorldCat Record")</f>
        <v/>
      </c>
      <c r="AU641" t="inlineStr">
        <is>
          <t>24670266:eng</t>
        </is>
      </c>
      <c r="AV641" t="inlineStr">
        <is>
          <t>6911754</t>
        </is>
      </c>
      <c r="AW641" t="inlineStr">
        <is>
          <t>991005057539702656</t>
        </is>
      </c>
      <c r="AX641" t="inlineStr">
        <is>
          <t>991005057539702656</t>
        </is>
      </c>
      <c r="AY641" t="inlineStr">
        <is>
          <t>2271958880002656</t>
        </is>
      </c>
      <c r="AZ641" t="inlineStr">
        <is>
          <t>BOOK</t>
        </is>
      </c>
      <c r="BB641" t="inlineStr">
        <is>
          <t>9780801413315</t>
        </is>
      </c>
      <c r="BC641" t="inlineStr">
        <is>
          <t>32285000107325</t>
        </is>
      </c>
      <c r="BD641" t="inlineStr">
        <is>
          <t>893902036</t>
        </is>
      </c>
    </row>
    <row r="642">
      <c r="A642" t="inlineStr">
        <is>
          <t>No</t>
        </is>
      </c>
      <c r="B642" t="inlineStr">
        <is>
          <t>ND621.V5 R67 1982</t>
        </is>
      </c>
      <c r="C642" t="inlineStr">
        <is>
          <t>0                      ND 0621000V  5                  R  67          1982</t>
        </is>
      </c>
      <c r="D642" t="inlineStr">
        <is>
          <t>Painting in cinquecento Venice : Titian, Veronese, Tintoretto / David Rosand.</t>
        </is>
      </c>
      <c r="F642" t="inlineStr">
        <is>
          <t>No</t>
        </is>
      </c>
      <c r="G642" t="inlineStr">
        <is>
          <t>1</t>
        </is>
      </c>
      <c r="H642" t="inlineStr">
        <is>
          <t>No</t>
        </is>
      </c>
      <c r="I642" t="inlineStr">
        <is>
          <t>No</t>
        </is>
      </c>
      <c r="J642" t="inlineStr">
        <is>
          <t>0</t>
        </is>
      </c>
      <c r="K642" t="inlineStr">
        <is>
          <t>Rosand, David.</t>
        </is>
      </c>
      <c r="L642" t="inlineStr">
        <is>
          <t>New Haven : Yale University Press, c1982.</t>
        </is>
      </c>
      <c r="M642" t="inlineStr">
        <is>
          <t>1982</t>
        </is>
      </c>
      <c r="O642" t="inlineStr">
        <is>
          <t>eng</t>
        </is>
      </c>
      <c r="P642" t="inlineStr">
        <is>
          <t>ctu</t>
        </is>
      </c>
      <c r="R642" t="inlineStr">
        <is>
          <t xml:space="preserve">ND </t>
        </is>
      </c>
      <c r="S642" t="n">
        <v>12</v>
      </c>
      <c r="T642" t="n">
        <v>12</v>
      </c>
      <c r="U642" t="inlineStr">
        <is>
          <t>1996-02-23</t>
        </is>
      </c>
      <c r="V642" t="inlineStr">
        <is>
          <t>1996-02-23</t>
        </is>
      </c>
      <c r="W642" t="inlineStr">
        <is>
          <t>1992-10-16</t>
        </is>
      </c>
      <c r="X642" t="inlineStr">
        <is>
          <t>1992-10-16</t>
        </is>
      </c>
      <c r="Y642" t="n">
        <v>818</v>
      </c>
      <c r="Z642" t="n">
        <v>633</v>
      </c>
      <c r="AA642" t="n">
        <v>640</v>
      </c>
      <c r="AB642" t="n">
        <v>6</v>
      </c>
      <c r="AC642" t="n">
        <v>6</v>
      </c>
      <c r="AD642" t="n">
        <v>34</v>
      </c>
      <c r="AE642" t="n">
        <v>34</v>
      </c>
      <c r="AF642" t="n">
        <v>14</v>
      </c>
      <c r="AG642" t="n">
        <v>14</v>
      </c>
      <c r="AH642" t="n">
        <v>8</v>
      </c>
      <c r="AI642" t="n">
        <v>8</v>
      </c>
      <c r="AJ642" t="n">
        <v>16</v>
      </c>
      <c r="AK642" t="n">
        <v>16</v>
      </c>
      <c r="AL642" t="n">
        <v>4</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HYPERLINK("https://creighton-primo.hosted.exlibrisgroup.com/primo-explore/search?tab=default_tab&amp;search_scope=EVERYTHING&amp;vid=01CRU&amp;lang=en_US&amp;offset=0&amp;query=any,contains,991005098989702656","Catalog Record")</f>
        <v/>
      </c>
      <c r="AT642">
        <f>HYPERLINK("http://www.worldcat.org/oclc/7278430","WorldCat Record")</f>
        <v/>
      </c>
      <c r="AU642" t="inlineStr">
        <is>
          <t>138442575:eng</t>
        </is>
      </c>
      <c r="AV642" t="inlineStr">
        <is>
          <t>7278430</t>
        </is>
      </c>
      <c r="AW642" t="inlineStr">
        <is>
          <t>991005098989702656</t>
        </is>
      </c>
      <c r="AX642" t="inlineStr">
        <is>
          <t>991005098989702656</t>
        </is>
      </c>
      <c r="AY642" t="inlineStr">
        <is>
          <t>2263320310002656</t>
        </is>
      </c>
      <c r="AZ642" t="inlineStr">
        <is>
          <t>BOOK</t>
        </is>
      </c>
      <c r="BB642" t="inlineStr">
        <is>
          <t>9780300026269</t>
        </is>
      </c>
      <c r="BC642" t="inlineStr">
        <is>
          <t>32285001350551</t>
        </is>
      </c>
      <c r="BD642" t="inlineStr">
        <is>
          <t>893719758</t>
        </is>
      </c>
    </row>
    <row r="643">
      <c r="A643" t="inlineStr">
        <is>
          <t>No</t>
        </is>
      </c>
      <c r="B643" t="inlineStr">
        <is>
          <t>ND621.V5 S83 1970</t>
        </is>
      </c>
      <c r="C643" t="inlineStr">
        <is>
          <t>0                      ND 0621000V  5                  S  83          1970</t>
        </is>
      </c>
      <c r="D643" t="inlineStr">
        <is>
          <t>A concise history of Venetian painting.</t>
        </is>
      </c>
      <c r="F643" t="inlineStr">
        <is>
          <t>No</t>
        </is>
      </c>
      <c r="G643" t="inlineStr">
        <is>
          <t>1</t>
        </is>
      </c>
      <c r="H643" t="inlineStr">
        <is>
          <t>No</t>
        </is>
      </c>
      <c r="I643" t="inlineStr">
        <is>
          <t>No</t>
        </is>
      </c>
      <c r="J643" t="inlineStr">
        <is>
          <t>0</t>
        </is>
      </c>
      <c r="K643" t="inlineStr">
        <is>
          <t>Steer, John, 1928-</t>
        </is>
      </c>
      <c r="L643" t="inlineStr">
        <is>
          <t>New York : Praeger, [1970]</t>
        </is>
      </c>
      <c r="M643" t="inlineStr">
        <is>
          <t>1970</t>
        </is>
      </c>
      <c r="O643" t="inlineStr">
        <is>
          <t>eng</t>
        </is>
      </c>
      <c r="P643" t="inlineStr">
        <is>
          <t>nyu</t>
        </is>
      </c>
      <c r="Q643" t="inlineStr">
        <is>
          <t>Praeger world of art paperbacks ; P-283</t>
        </is>
      </c>
      <c r="R643" t="inlineStr">
        <is>
          <t xml:space="preserve">ND </t>
        </is>
      </c>
      <c r="S643" t="n">
        <v>3</v>
      </c>
      <c r="T643" t="n">
        <v>3</v>
      </c>
      <c r="U643" t="inlineStr">
        <is>
          <t>2002-04-16</t>
        </is>
      </c>
      <c r="V643" t="inlineStr">
        <is>
          <t>2002-04-16</t>
        </is>
      </c>
      <c r="W643" t="inlineStr">
        <is>
          <t>1992-10-16</t>
        </is>
      </c>
      <c r="X643" t="inlineStr">
        <is>
          <t>1992-10-16</t>
        </is>
      </c>
      <c r="Y643" t="n">
        <v>471</v>
      </c>
      <c r="Z643" t="n">
        <v>442</v>
      </c>
      <c r="AA643" t="n">
        <v>610</v>
      </c>
      <c r="AB643" t="n">
        <v>4</v>
      </c>
      <c r="AC643" t="n">
        <v>4</v>
      </c>
      <c r="AD643" t="n">
        <v>18</v>
      </c>
      <c r="AE643" t="n">
        <v>28</v>
      </c>
      <c r="AF643" t="n">
        <v>7</v>
      </c>
      <c r="AG643" t="n">
        <v>10</v>
      </c>
      <c r="AH643" t="n">
        <v>4</v>
      </c>
      <c r="AI643" t="n">
        <v>7</v>
      </c>
      <c r="AJ643" t="n">
        <v>7</v>
      </c>
      <c r="AK643" t="n">
        <v>15</v>
      </c>
      <c r="AL643" t="n">
        <v>3</v>
      </c>
      <c r="AM643" t="n">
        <v>3</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HYPERLINK("https://creighton-primo.hosted.exlibrisgroup.com/primo-explore/search?tab=default_tab&amp;search_scope=EVERYTHING&amp;vid=01CRU&amp;lang=en_US&amp;offset=0&amp;query=any,contains,991000565269702656","Catalog Record")</f>
        <v/>
      </c>
      <c r="AT643">
        <f>HYPERLINK("http://www.worldcat.org/oclc/94017","WorldCat Record")</f>
        <v/>
      </c>
      <c r="AU643" t="inlineStr">
        <is>
          <t>3880611146:eng</t>
        </is>
      </c>
      <c r="AV643" t="inlineStr">
        <is>
          <t>94017</t>
        </is>
      </c>
      <c r="AW643" t="inlineStr">
        <is>
          <t>991000565269702656</t>
        </is>
      </c>
      <c r="AX643" t="inlineStr">
        <is>
          <t>991000565269702656</t>
        </is>
      </c>
      <c r="AY643" t="inlineStr">
        <is>
          <t>2265891760002656</t>
        </is>
      </c>
      <c r="AZ643" t="inlineStr">
        <is>
          <t>BOOK</t>
        </is>
      </c>
      <c r="BC643" t="inlineStr">
        <is>
          <t>32285001350544</t>
        </is>
      </c>
      <c r="BD643" t="inlineStr">
        <is>
          <t>893249470</t>
        </is>
      </c>
    </row>
    <row r="644">
      <c r="A644" t="inlineStr">
        <is>
          <t>No</t>
        </is>
      </c>
      <c r="B644" t="inlineStr">
        <is>
          <t>ND621.V5 V373 1962</t>
        </is>
      </c>
      <c r="C644" t="inlineStr">
        <is>
          <t>0                      ND 0621000V  5                  V  373         1962</t>
        </is>
      </c>
      <c r="D644" t="inlineStr">
        <is>
          <t>Venetian painting / [translated from the Italian by Pearl Sanders]</t>
        </is>
      </c>
      <c r="F644" t="inlineStr">
        <is>
          <t>No</t>
        </is>
      </c>
      <c r="G644" t="inlineStr">
        <is>
          <t>1</t>
        </is>
      </c>
      <c r="H644" t="inlineStr">
        <is>
          <t>No</t>
        </is>
      </c>
      <c r="I644" t="inlineStr">
        <is>
          <t>No</t>
        </is>
      </c>
      <c r="J644" t="inlineStr">
        <is>
          <t>0</t>
        </is>
      </c>
      <c r="K644" t="inlineStr">
        <is>
          <t>Valsecchi, Marco.</t>
        </is>
      </c>
      <c r="L644" t="inlineStr">
        <is>
          <t>London : Paul Hamlyn, [1962]</t>
        </is>
      </c>
      <c r="M644" t="inlineStr">
        <is>
          <t>1962</t>
        </is>
      </c>
      <c r="O644" t="inlineStr">
        <is>
          <t>eng</t>
        </is>
      </c>
      <c r="P644" t="inlineStr">
        <is>
          <t xml:space="preserve">xx </t>
        </is>
      </c>
      <c r="Q644" t="inlineStr">
        <is>
          <t>Art of the Western World</t>
        </is>
      </c>
      <c r="R644" t="inlineStr">
        <is>
          <t xml:space="preserve">ND </t>
        </is>
      </c>
      <c r="S644" t="n">
        <v>5</v>
      </c>
      <c r="T644" t="n">
        <v>5</v>
      </c>
      <c r="U644" t="inlineStr">
        <is>
          <t>2002-03-27</t>
        </is>
      </c>
      <c r="V644" t="inlineStr">
        <is>
          <t>2002-03-27</t>
        </is>
      </c>
      <c r="W644" t="inlineStr">
        <is>
          <t>1994-06-06</t>
        </is>
      </c>
      <c r="X644" t="inlineStr">
        <is>
          <t>1994-06-06</t>
        </is>
      </c>
      <c r="Y644" t="n">
        <v>109</v>
      </c>
      <c r="Z644" t="n">
        <v>67</v>
      </c>
      <c r="AA644" t="n">
        <v>329</v>
      </c>
      <c r="AB644" t="n">
        <v>1</v>
      </c>
      <c r="AC644" t="n">
        <v>3</v>
      </c>
      <c r="AD644" t="n">
        <v>4</v>
      </c>
      <c r="AE644" t="n">
        <v>13</v>
      </c>
      <c r="AF644" t="n">
        <v>2</v>
      </c>
      <c r="AG644" t="n">
        <v>6</v>
      </c>
      <c r="AH644" t="n">
        <v>1</v>
      </c>
      <c r="AI644" t="n">
        <v>1</v>
      </c>
      <c r="AJ644" t="n">
        <v>1</v>
      </c>
      <c r="AK644" t="n">
        <v>5</v>
      </c>
      <c r="AL644" t="n">
        <v>0</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HYPERLINK("https://creighton-primo.hosted.exlibrisgroup.com/primo-explore/search?tab=default_tab&amp;search_scope=EVERYTHING&amp;vid=01CRU&amp;lang=en_US&amp;offset=0&amp;query=any,contains,991004949579702656","Catalog Record")</f>
        <v/>
      </c>
      <c r="AT644">
        <f>HYPERLINK("http://www.worldcat.org/oclc/6227370","WorldCat Record")</f>
        <v/>
      </c>
      <c r="AU644" t="inlineStr">
        <is>
          <t>2264972:eng</t>
        </is>
      </c>
      <c r="AV644" t="inlineStr">
        <is>
          <t>6227370</t>
        </is>
      </c>
      <c r="AW644" t="inlineStr">
        <is>
          <t>991004949579702656</t>
        </is>
      </c>
      <c r="AX644" t="inlineStr">
        <is>
          <t>991004949579702656</t>
        </is>
      </c>
      <c r="AY644" t="inlineStr">
        <is>
          <t>2263865850002656</t>
        </is>
      </c>
      <c r="AZ644" t="inlineStr">
        <is>
          <t>BOOK</t>
        </is>
      </c>
      <c r="BC644" t="inlineStr">
        <is>
          <t>32285001915940</t>
        </is>
      </c>
      <c r="BD644" t="inlineStr">
        <is>
          <t>893260356</t>
        </is>
      </c>
    </row>
    <row r="645">
      <c r="A645" t="inlineStr">
        <is>
          <t>No</t>
        </is>
      </c>
      <c r="B645" t="inlineStr">
        <is>
          <t>ND623.A5393 D5313 1995</t>
        </is>
      </c>
      <c r="C645" t="inlineStr">
        <is>
          <t>0                      ND 0623000A  5393               D  5313        1995</t>
        </is>
      </c>
      <c r="D645" t="inlineStr">
        <is>
          <t>Fra Angelico : dissemblance &amp; figuration / Georges Didi-Huberman ; translated by Jane Marie Todd.</t>
        </is>
      </c>
      <c r="F645" t="inlineStr">
        <is>
          <t>No</t>
        </is>
      </c>
      <c r="G645" t="inlineStr">
        <is>
          <t>1</t>
        </is>
      </c>
      <c r="H645" t="inlineStr">
        <is>
          <t>No</t>
        </is>
      </c>
      <c r="I645" t="inlineStr">
        <is>
          <t>No</t>
        </is>
      </c>
      <c r="J645" t="inlineStr">
        <is>
          <t>0</t>
        </is>
      </c>
      <c r="K645" t="inlineStr">
        <is>
          <t>Didi-Huberman, Georges.</t>
        </is>
      </c>
      <c r="L645" t="inlineStr">
        <is>
          <t>Chicago : University of Chicago Press, 1995.</t>
        </is>
      </c>
      <c r="M645" t="inlineStr">
        <is>
          <t>1995</t>
        </is>
      </c>
      <c r="O645" t="inlineStr">
        <is>
          <t>eng</t>
        </is>
      </c>
      <c r="P645" t="inlineStr">
        <is>
          <t>ilu</t>
        </is>
      </c>
      <c r="R645" t="inlineStr">
        <is>
          <t xml:space="preserve">ND </t>
        </is>
      </c>
      <c r="S645" t="n">
        <v>5</v>
      </c>
      <c r="T645" t="n">
        <v>5</v>
      </c>
      <c r="U645" t="inlineStr">
        <is>
          <t>2007-11-15</t>
        </is>
      </c>
      <c r="V645" t="inlineStr">
        <is>
          <t>2007-11-15</t>
        </is>
      </c>
      <c r="W645" t="inlineStr">
        <is>
          <t>1997-11-14</t>
        </is>
      </c>
      <c r="X645" t="inlineStr">
        <is>
          <t>1997-11-14</t>
        </is>
      </c>
      <c r="Y645" t="n">
        <v>519</v>
      </c>
      <c r="Z645" t="n">
        <v>426</v>
      </c>
      <c r="AA645" t="n">
        <v>426</v>
      </c>
      <c r="AB645" t="n">
        <v>3</v>
      </c>
      <c r="AC645" t="n">
        <v>3</v>
      </c>
      <c r="AD645" t="n">
        <v>29</v>
      </c>
      <c r="AE645" t="n">
        <v>29</v>
      </c>
      <c r="AF645" t="n">
        <v>11</v>
      </c>
      <c r="AG645" t="n">
        <v>11</v>
      </c>
      <c r="AH645" t="n">
        <v>8</v>
      </c>
      <c r="AI645" t="n">
        <v>8</v>
      </c>
      <c r="AJ645" t="n">
        <v>15</v>
      </c>
      <c r="AK645" t="n">
        <v>15</v>
      </c>
      <c r="AL645" t="n">
        <v>2</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HYPERLINK("https://creighton-primo.hosted.exlibrisgroup.com/primo-explore/search?tab=default_tab&amp;search_scope=EVERYTHING&amp;vid=01CRU&amp;lang=en_US&amp;offset=0&amp;query=any,contains,991002387339702656","Catalog Record")</f>
        <v/>
      </c>
      <c r="AT645">
        <f>HYPERLINK("http://www.worldcat.org/oclc/31012633","WorldCat Record")</f>
        <v/>
      </c>
      <c r="AU645" t="inlineStr">
        <is>
          <t>291144239:eng</t>
        </is>
      </c>
      <c r="AV645" t="inlineStr">
        <is>
          <t>31012633</t>
        </is>
      </c>
      <c r="AW645" t="inlineStr">
        <is>
          <t>991002387339702656</t>
        </is>
      </c>
      <c r="AX645" t="inlineStr">
        <is>
          <t>991002387339702656</t>
        </is>
      </c>
      <c r="AY645" t="inlineStr">
        <is>
          <t>2272662630002656</t>
        </is>
      </c>
      <c r="AZ645" t="inlineStr">
        <is>
          <t>BOOK</t>
        </is>
      </c>
      <c r="BB645" t="inlineStr">
        <is>
          <t>9780226148137</t>
        </is>
      </c>
      <c r="BC645" t="inlineStr">
        <is>
          <t>32285003279667</t>
        </is>
      </c>
      <c r="BD645" t="inlineStr">
        <is>
          <t>893322866</t>
        </is>
      </c>
    </row>
    <row r="646">
      <c r="A646" t="inlineStr">
        <is>
          <t>No</t>
        </is>
      </c>
      <c r="B646" t="inlineStr">
        <is>
          <t>ND623.A7 A68 2001</t>
        </is>
      </c>
      <c r="C646" t="inlineStr">
        <is>
          <t>0                      ND 0623000A  7                  A  68          2001</t>
        </is>
      </c>
      <c r="D646" t="inlineStr">
        <is>
          <t>Spring / [work edited by Federico Zeri ; text based on the interviews between Federico Zeri and Marco Dolcetta ; chief editor of 2000 English language edition, Elena Mazour ; English translation, Diana Sears].</t>
        </is>
      </c>
      <c r="F646" t="inlineStr">
        <is>
          <t>No</t>
        </is>
      </c>
      <c r="G646" t="inlineStr">
        <is>
          <t>1</t>
        </is>
      </c>
      <c r="H646" t="inlineStr">
        <is>
          <t>No</t>
        </is>
      </c>
      <c r="I646" t="inlineStr">
        <is>
          <t>No</t>
        </is>
      </c>
      <c r="J646" t="inlineStr">
        <is>
          <t>0</t>
        </is>
      </c>
      <c r="K646" t="inlineStr">
        <is>
          <t>Arcimboldi, Giuseppe, 1527-1593.</t>
        </is>
      </c>
      <c r="L646" t="inlineStr">
        <is>
          <t>Richmond Hill, Ont. : NDE Pub., c2001.</t>
        </is>
      </c>
      <c r="M646" t="inlineStr">
        <is>
          <t>2001</t>
        </is>
      </c>
      <c r="N646" t="inlineStr">
        <is>
          <t>English language ed.</t>
        </is>
      </c>
      <c r="O646" t="inlineStr">
        <is>
          <t>eng</t>
        </is>
      </c>
      <c r="P646" t="inlineStr">
        <is>
          <t>onc</t>
        </is>
      </c>
      <c r="Q646" t="inlineStr">
        <is>
          <t>One hundred paintings</t>
        </is>
      </c>
      <c r="R646" t="inlineStr">
        <is>
          <t xml:space="preserve">ND </t>
        </is>
      </c>
      <c r="S646" t="n">
        <v>5</v>
      </c>
      <c r="T646" t="n">
        <v>5</v>
      </c>
      <c r="U646" t="inlineStr">
        <is>
          <t>2006-04-10</t>
        </is>
      </c>
      <c r="V646" t="inlineStr">
        <is>
          <t>2006-04-10</t>
        </is>
      </c>
      <c r="W646" t="inlineStr">
        <is>
          <t>2002-06-05</t>
        </is>
      </c>
      <c r="X646" t="inlineStr">
        <is>
          <t>2002-06-05</t>
        </is>
      </c>
      <c r="Y646" t="n">
        <v>47</v>
      </c>
      <c r="Z646" t="n">
        <v>42</v>
      </c>
      <c r="AA646" t="n">
        <v>43</v>
      </c>
      <c r="AB646" t="n">
        <v>2</v>
      </c>
      <c r="AC646" t="n">
        <v>2</v>
      </c>
      <c r="AD646" t="n">
        <v>0</v>
      </c>
      <c r="AE646" t="n">
        <v>0</v>
      </c>
      <c r="AF646" t="n">
        <v>0</v>
      </c>
      <c r="AG646" t="n">
        <v>0</v>
      </c>
      <c r="AH646" t="n">
        <v>0</v>
      </c>
      <c r="AI646" t="n">
        <v>0</v>
      </c>
      <c r="AJ646" t="n">
        <v>0</v>
      </c>
      <c r="AK646" t="n">
        <v>0</v>
      </c>
      <c r="AL646" t="n">
        <v>0</v>
      </c>
      <c r="AM646" t="n">
        <v>0</v>
      </c>
      <c r="AN646" t="n">
        <v>0</v>
      </c>
      <c r="AO646" t="n">
        <v>0</v>
      </c>
      <c r="AP646" t="inlineStr">
        <is>
          <t>No</t>
        </is>
      </c>
      <c r="AQ646" t="inlineStr">
        <is>
          <t>Yes</t>
        </is>
      </c>
      <c r="AR646">
        <f>HYPERLINK("http://catalog.hathitrust.org/Record/004290138","HathiTrust Record")</f>
        <v/>
      </c>
      <c r="AS646">
        <f>HYPERLINK("https://creighton-primo.hosted.exlibrisgroup.com/primo-explore/search?tab=default_tab&amp;search_scope=EVERYTHING&amp;vid=01CRU&amp;lang=en_US&amp;offset=0&amp;query=any,contains,991003784959702656","Catalog Record")</f>
        <v/>
      </c>
      <c r="AT646">
        <f>HYPERLINK("http://www.worldcat.org/oclc/49254457","WorldCat Record")</f>
        <v/>
      </c>
      <c r="AU646" t="inlineStr">
        <is>
          <t>476145007:eng</t>
        </is>
      </c>
      <c r="AV646" t="inlineStr">
        <is>
          <t>49254457</t>
        </is>
      </c>
      <c r="AW646" t="inlineStr">
        <is>
          <t>991003784959702656</t>
        </is>
      </c>
      <c r="AX646" t="inlineStr">
        <is>
          <t>991003784959702656</t>
        </is>
      </c>
      <c r="AY646" t="inlineStr">
        <is>
          <t>2267620240002656</t>
        </is>
      </c>
      <c r="AZ646" t="inlineStr">
        <is>
          <t>BOOK</t>
        </is>
      </c>
      <c r="BB646" t="inlineStr">
        <is>
          <t>9781553210283</t>
        </is>
      </c>
      <c r="BC646" t="inlineStr">
        <is>
          <t>32285004483508</t>
        </is>
      </c>
      <c r="BD646" t="inlineStr">
        <is>
          <t>893686970</t>
        </is>
      </c>
    </row>
    <row r="647">
      <c r="A647" t="inlineStr">
        <is>
          <t>No</t>
        </is>
      </c>
      <c r="B647" t="inlineStr">
        <is>
          <t>ND623.A7 P5313</t>
        </is>
      </c>
      <c r="C647" t="inlineStr">
        <is>
          <t>0                      ND 0623000A  7                  P  5313</t>
        </is>
      </c>
      <c r="D647" t="inlineStr">
        <is>
          <t>Arcimboldo the Marvelous / by André Pieyre de Mandiargues ; conception by Yasha David ; [editor, Patricia Egan ; translator, I. Mark Paris]. --</t>
        </is>
      </c>
      <c r="F647" t="inlineStr">
        <is>
          <t>No</t>
        </is>
      </c>
      <c r="G647" t="inlineStr">
        <is>
          <t>1</t>
        </is>
      </c>
      <c r="H647" t="inlineStr">
        <is>
          <t>No</t>
        </is>
      </c>
      <c r="I647" t="inlineStr">
        <is>
          <t>No</t>
        </is>
      </c>
      <c r="J647" t="inlineStr">
        <is>
          <t>0</t>
        </is>
      </c>
      <c r="K647" t="inlineStr">
        <is>
          <t>Pieyre de Mandiargues, André, 1909-1991.</t>
        </is>
      </c>
      <c r="L647" t="inlineStr">
        <is>
          <t>New York : Abrams, 1978, c1977.</t>
        </is>
      </c>
      <c r="M647" t="inlineStr">
        <is>
          <t>1978</t>
        </is>
      </c>
      <c r="O647" t="inlineStr">
        <is>
          <t>eng</t>
        </is>
      </c>
      <c r="P647" t="inlineStr">
        <is>
          <t>nyu</t>
        </is>
      </c>
      <c r="R647" t="inlineStr">
        <is>
          <t xml:space="preserve">ND </t>
        </is>
      </c>
      <c r="S647" t="n">
        <v>5</v>
      </c>
      <c r="T647" t="n">
        <v>5</v>
      </c>
      <c r="U647" t="inlineStr">
        <is>
          <t>2006-04-10</t>
        </is>
      </c>
      <c r="V647" t="inlineStr">
        <is>
          <t>2006-04-10</t>
        </is>
      </c>
      <c r="W647" t="inlineStr">
        <is>
          <t>1993-04-28</t>
        </is>
      </c>
      <c r="X647" t="inlineStr">
        <is>
          <t>1993-04-28</t>
        </is>
      </c>
      <c r="Y647" t="n">
        <v>608</v>
      </c>
      <c r="Z647" t="n">
        <v>526</v>
      </c>
      <c r="AA647" t="n">
        <v>535</v>
      </c>
      <c r="AB647" t="n">
        <v>6</v>
      </c>
      <c r="AC647" t="n">
        <v>6</v>
      </c>
      <c r="AD647" t="n">
        <v>19</v>
      </c>
      <c r="AE647" t="n">
        <v>19</v>
      </c>
      <c r="AF647" t="n">
        <v>6</v>
      </c>
      <c r="AG647" t="n">
        <v>6</v>
      </c>
      <c r="AH647" t="n">
        <v>3</v>
      </c>
      <c r="AI647" t="n">
        <v>3</v>
      </c>
      <c r="AJ647" t="n">
        <v>10</v>
      </c>
      <c r="AK647" t="n">
        <v>10</v>
      </c>
      <c r="AL647" t="n">
        <v>3</v>
      </c>
      <c r="AM647" t="n">
        <v>3</v>
      </c>
      <c r="AN647" t="n">
        <v>0</v>
      </c>
      <c r="AO647" t="n">
        <v>0</v>
      </c>
      <c r="AP647" t="inlineStr">
        <is>
          <t>No</t>
        </is>
      </c>
      <c r="AQ647" t="inlineStr">
        <is>
          <t>Yes</t>
        </is>
      </c>
      <c r="AR647">
        <f>HYPERLINK("http://catalog.hathitrust.org/Record/000087374","HathiTrust Record")</f>
        <v/>
      </c>
      <c r="AS647">
        <f>HYPERLINK("https://creighton-primo.hosted.exlibrisgroup.com/primo-explore/search?tab=default_tab&amp;search_scope=EVERYTHING&amp;vid=01CRU&amp;lang=en_US&amp;offset=0&amp;query=any,contains,991004445009702656","Catalog Record")</f>
        <v/>
      </c>
      <c r="AT647">
        <f>HYPERLINK("http://www.worldcat.org/oclc/3481085","WorldCat Record")</f>
        <v/>
      </c>
      <c r="AU647" t="inlineStr">
        <is>
          <t>4495119138:eng</t>
        </is>
      </c>
      <c r="AV647" t="inlineStr">
        <is>
          <t>3481085</t>
        </is>
      </c>
      <c r="AW647" t="inlineStr">
        <is>
          <t>991004445009702656</t>
        </is>
      </c>
      <c r="AX647" t="inlineStr">
        <is>
          <t>991004445009702656</t>
        </is>
      </c>
      <c r="AY647" t="inlineStr">
        <is>
          <t>2264771880002656</t>
        </is>
      </c>
      <c r="AZ647" t="inlineStr">
        <is>
          <t>BOOK</t>
        </is>
      </c>
      <c r="BB647" t="inlineStr">
        <is>
          <t>9780810906891</t>
        </is>
      </c>
      <c r="BC647" t="inlineStr">
        <is>
          <t>32285001629152</t>
        </is>
      </c>
      <c r="BD647" t="inlineStr">
        <is>
          <t>893241440</t>
        </is>
      </c>
    </row>
    <row r="648">
      <c r="A648" t="inlineStr">
        <is>
          <t>No</t>
        </is>
      </c>
      <c r="B648" t="inlineStr">
        <is>
          <t>ND623.B39 C36 2004</t>
        </is>
      </c>
      <c r="C648" t="inlineStr">
        <is>
          <t>0                      ND 0623000B  39                 C  36          2004</t>
        </is>
      </c>
      <c r="D648" t="inlineStr">
        <is>
          <t>The Cambridge companion to Giovanni Bellini / edited by Peter Humfrey.</t>
        </is>
      </c>
      <c r="F648" t="inlineStr">
        <is>
          <t>No</t>
        </is>
      </c>
      <c r="G648" t="inlineStr">
        <is>
          <t>1</t>
        </is>
      </c>
      <c r="H648" t="inlineStr">
        <is>
          <t>No</t>
        </is>
      </c>
      <c r="I648" t="inlineStr">
        <is>
          <t>No</t>
        </is>
      </c>
      <c r="J648" t="inlineStr">
        <is>
          <t>0</t>
        </is>
      </c>
      <c r="L648" t="inlineStr">
        <is>
          <t>Cambridge ; New York : Cambridge University Press, 2004.</t>
        </is>
      </c>
      <c r="M648" t="inlineStr">
        <is>
          <t>2004</t>
        </is>
      </c>
      <c r="O648" t="inlineStr">
        <is>
          <t>eng</t>
        </is>
      </c>
      <c r="P648" t="inlineStr">
        <is>
          <t>enk</t>
        </is>
      </c>
      <c r="R648" t="inlineStr">
        <is>
          <t xml:space="preserve">ND </t>
        </is>
      </c>
      <c r="S648" t="n">
        <v>1</v>
      </c>
      <c r="T648" t="n">
        <v>1</v>
      </c>
      <c r="U648" t="inlineStr">
        <is>
          <t>2006-02-21</t>
        </is>
      </c>
      <c r="V648" t="inlineStr">
        <is>
          <t>2006-02-21</t>
        </is>
      </c>
      <c r="W648" t="inlineStr">
        <is>
          <t>2006-02-21</t>
        </is>
      </c>
      <c r="X648" t="inlineStr">
        <is>
          <t>2006-02-21</t>
        </is>
      </c>
      <c r="Y648" t="n">
        <v>445</v>
      </c>
      <c r="Z648" t="n">
        <v>344</v>
      </c>
      <c r="AA648" t="n">
        <v>369</v>
      </c>
      <c r="AB648" t="n">
        <v>3</v>
      </c>
      <c r="AC648" t="n">
        <v>4</v>
      </c>
      <c r="AD648" t="n">
        <v>20</v>
      </c>
      <c r="AE648" t="n">
        <v>21</v>
      </c>
      <c r="AF648" t="n">
        <v>10</v>
      </c>
      <c r="AG648" t="n">
        <v>10</v>
      </c>
      <c r="AH648" t="n">
        <v>5</v>
      </c>
      <c r="AI648" t="n">
        <v>5</v>
      </c>
      <c r="AJ648" t="n">
        <v>8</v>
      </c>
      <c r="AK648" t="n">
        <v>8</v>
      </c>
      <c r="AL648" t="n">
        <v>2</v>
      </c>
      <c r="AM648" t="n">
        <v>3</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HYPERLINK("https://creighton-primo.hosted.exlibrisgroup.com/primo-explore/search?tab=default_tab&amp;search_scope=EVERYTHING&amp;vid=01CRU&amp;lang=en_US&amp;offset=0&amp;query=any,contains,991004718889702656","Catalog Record")</f>
        <v/>
      </c>
      <c r="AT648">
        <f>HYPERLINK("http://www.worldcat.org/oclc/51251597","WorldCat Record")</f>
        <v/>
      </c>
      <c r="AU648" t="inlineStr">
        <is>
          <t>709476:eng</t>
        </is>
      </c>
      <c r="AV648" t="inlineStr">
        <is>
          <t>51251597</t>
        </is>
      </c>
      <c r="AW648" t="inlineStr">
        <is>
          <t>991004718889702656</t>
        </is>
      </c>
      <c r="AX648" t="inlineStr">
        <is>
          <t>991004718889702656</t>
        </is>
      </c>
      <c r="AY648" t="inlineStr">
        <is>
          <t>2262647580002656</t>
        </is>
      </c>
      <c r="AZ648" t="inlineStr">
        <is>
          <t>BOOK</t>
        </is>
      </c>
      <c r="BB648" t="inlineStr">
        <is>
          <t>9780521662963</t>
        </is>
      </c>
      <c r="BC648" t="inlineStr">
        <is>
          <t>32285005159313</t>
        </is>
      </c>
      <c r="BD648" t="inlineStr">
        <is>
          <t>893536174</t>
        </is>
      </c>
    </row>
    <row r="649">
      <c r="A649" t="inlineStr">
        <is>
          <t>No</t>
        </is>
      </c>
      <c r="B649" t="inlineStr">
        <is>
          <t>ND623.B39 G64 1989</t>
        </is>
      </c>
      <c r="C649" t="inlineStr">
        <is>
          <t>0                      ND 0623000B  39                 G  64          1989</t>
        </is>
      </c>
      <c r="D649" t="inlineStr">
        <is>
          <t>Giovanni Bellini / Rona Goffen.</t>
        </is>
      </c>
      <c r="F649" t="inlineStr">
        <is>
          <t>No</t>
        </is>
      </c>
      <c r="G649" t="inlineStr">
        <is>
          <t>1</t>
        </is>
      </c>
      <c r="H649" t="inlineStr">
        <is>
          <t>No</t>
        </is>
      </c>
      <c r="I649" t="inlineStr">
        <is>
          <t>No</t>
        </is>
      </c>
      <c r="J649" t="inlineStr">
        <is>
          <t>0</t>
        </is>
      </c>
      <c r="K649" t="inlineStr">
        <is>
          <t>Goffen, Rona, 1944-2004.</t>
        </is>
      </c>
      <c r="L649" t="inlineStr">
        <is>
          <t>New Haven : Yale University Press, c1989.</t>
        </is>
      </c>
      <c r="M649" t="inlineStr">
        <is>
          <t>1989</t>
        </is>
      </c>
      <c r="O649" t="inlineStr">
        <is>
          <t>eng</t>
        </is>
      </c>
      <c r="P649" t="inlineStr">
        <is>
          <t>ctu</t>
        </is>
      </c>
      <c r="R649" t="inlineStr">
        <is>
          <t xml:space="preserve">ND </t>
        </is>
      </c>
      <c r="S649" t="n">
        <v>5</v>
      </c>
      <c r="T649" t="n">
        <v>5</v>
      </c>
      <c r="U649" t="inlineStr">
        <is>
          <t>2002-11-01</t>
        </is>
      </c>
      <c r="V649" t="inlineStr">
        <is>
          <t>2002-11-01</t>
        </is>
      </c>
      <c r="W649" t="inlineStr">
        <is>
          <t>1990-07-17</t>
        </is>
      </c>
      <c r="X649" t="inlineStr">
        <is>
          <t>1990-07-17</t>
        </is>
      </c>
      <c r="Y649" t="n">
        <v>1016</v>
      </c>
      <c r="Z649" t="n">
        <v>820</v>
      </c>
      <c r="AA649" t="n">
        <v>821</v>
      </c>
      <c r="AB649" t="n">
        <v>3</v>
      </c>
      <c r="AC649" t="n">
        <v>3</v>
      </c>
      <c r="AD649" t="n">
        <v>33</v>
      </c>
      <c r="AE649" t="n">
        <v>33</v>
      </c>
      <c r="AF649" t="n">
        <v>15</v>
      </c>
      <c r="AG649" t="n">
        <v>15</v>
      </c>
      <c r="AH649" t="n">
        <v>9</v>
      </c>
      <c r="AI649" t="n">
        <v>9</v>
      </c>
      <c r="AJ649" t="n">
        <v>16</v>
      </c>
      <c r="AK649" t="n">
        <v>16</v>
      </c>
      <c r="AL649" t="n">
        <v>2</v>
      </c>
      <c r="AM649" t="n">
        <v>2</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HYPERLINK("https://creighton-primo.hosted.exlibrisgroup.com/primo-explore/search?tab=default_tab&amp;search_scope=EVERYTHING&amp;vid=01CRU&amp;lang=en_US&amp;offset=0&amp;query=any,contains,991001483689702656","Catalog Record")</f>
        <v/>
      </c>
      <c r="AT649">
        <f>HYPERLINK("http://www.worldcat.org/oclc/19629704","WorldCat Record")</f>
        <v/>
      </c>
      <c r="AU649" t="inlineStr">
        <is>
          <t>10252429569:eng</t>
        </is>
      </c>
      <c r="AV649" t="inlineStr">
        <is>
          <t>19629704</t>
        </is>
      </c>
      <c r="AW649" t="inlineStr">
        <is>
          <t>991001483689702656</t>
        </is>
      </c>
      <c r="AX649" t="inlineStr">
        <is>
          <t>991001483689702656</t>
        </is>
      </c>
      <c r="AY649" t="inlineStr">
        <is>
          <t>2262625950002656</t>
        </is>
      </c>
      <c r="AZ649" t="inlineStr">
        <is>
          <t>BOOK</t>
        </is>
      </c>
      <c r="BB649" t="inlineStr">
        <is>
          <t>9780300043341</t>
        </is>
      </c>
      <c r="BC649" t="inlineStr">
        <is>
          <t>32285000208701</t>
        </is>
      </c>
      <c r="BD649" t="inlineStr">
        <is>
          <t>893803639</t>
        </is>
      </c>
    </row>
    <row r="650">
      <c r="A650" t="inlineStr">
        <is>
          <t>No</t>
        </is>
      </c>
      <c r="B650" t="inlineStr">
        <is>
          <t>ND623.B7 A4 2003</t>
        </is>
      </c>
      <c r="C650" t="inlineStr">
        <is>
          <t>0                      ND 0623000B  7                  A  4           2003</t>
        </is>
      </c>
      <c r="D650" t="inlineStr">
        <is>
          <t>Botticelli : from Lorenzo the Magnificent to Savonarola / [editing, Doriana Comerlati ; catalogue edited by Daniel Arasse, Pierluigi De Vecchi, Patrizia Nitti].</t>
        </is>
      </c>
      <c r="F650" t="inlineStr">
        <is>
          <t>No</t>
        </is>
      </c>
      <c r="G650" t="inlineStr">
        <is>
          <t>1</t>
        </is>
      </c>
      <c r="H650" t="inlineStr">
        <is>
          <t>No</t>
        </is>
      </c>
      <c r="I650" t="inlineStr">
        <is>
          <t>No</t>
        </is>
      </c>
      <c r="J650" t="inlineStr">
        <is>
          <t>0</t>
        </is>
      </c>
      <c r="L650" t="inlineStr">
        <is>
          <t>Milan : Skira ; New York : Distributed in North America and Latin America by Rizzoli International Publications, c2003.</t>
        </is>
      </c>
      <c r="M650" t="inlineStr">
        <is>
          <t>2003</t>
        </is>
      </c>
      <c r="N650" t="inlineStr">
        <is>
          <t>1st ed.</t>
        </is>
      </c>
      <c r="O650" t="inlineStr">
        <is>
          <t>eng</t>
        </is>
      </c>
      <c r="P650" t="inlineStr">
        <is>
          <t xml:space="preserve">it </t>
        </is>
      </c>
      <c r="R650" t="inlineStr">
        <is>
          <t xml:space="preserve">ND </t>
        </is>
      </c>
      <c r="S650" t="n">
        <v>1</v>
      </c>
      <c r="T650" t="n">
        <v>1</v>
      </c>
      <c r="U650" t="inlineStr">
        <is>
          <t>2005-05-11</t>
        </is>
      </c>
      <c r="V650" t="inlineStr">
        <is>
          <t>2005-05-11</t>
        </is>
      </c>
      <c r="W650" t="inlineStr">
        <is>
          <t>2005-05-11</t>
        </is>
      </c>
      <c r="X650" t="inlineStr">
        <is>
          <t>2005-05-11</t>
        </is>
      </c>
      <c r="Y650" t="n">
        <v>766</v>
      </c>
      <c r="Z650" t="n">
        <v>678</v>
      </c>
      <c r="AA650" t="n">
        <v>694</v>
      </c>
      <c r="AB650" t="n">
        <v>2</v>
      </c>
      <c r="AC650" t="n">
        <v>2</v>
      </c>
      <c r="AD650" t="n">
        <v>26</v>
      </c>
      <c r="AE650" t="n">
        <v>27</v>
      </c>
      <c r="AF650" t="n">
        <v>14</v>
      </c>
      <c r="AG650" t="n">
        <v>15</v>
      </c>
      <c r="AH650" t="n">
        <v>6</v>
      </c>
      <c r="AI650" t="n">
        <v>6</v>
      </c>
      <c r="AJ650" t="n">
        <v>12</v>
      </c>
      <c r="AK650" t="n">
        <v>13</v>
      </c>
      <c r="AL650" t="n">
        <v>1</v>
      </c>
      <c r="AM650" t="n">
        <v>1</v>
      </c>
      <c r="AN650" t="n">
        <v>0</v>
      </c>
      <c r="AO650" t="n">
        <v>0</v>
      </c>
      <c r="AP650" t="inlineStr">
        <is>
          <t>No</t>
        </is>
      </c>
      <c r="AQ650" t="inlineStr">
        <is>
          <t>Yes</t>
        </is>
      </c>
      <c r="AR650">
        <f>HYPERLINK("http://catalog.hathitrust.org/Record/004378888","HathiTrust Record")</f>
        <v/>
      </c>
      <c r="AS650">
        <f>HYPERLINK("https://creighton-primo.hosted.exlibrisgroup.com/primo-explore/search?tab=default_tab&amp;search_scope=EVERYTHING&amp;vid=01CRU&amp;lang=en_US&amp;offset=0&amp;query=any,contains,991004539699702656","Catalog Record")</f>
        <v/>
      </c>
      <c r="AT650">
        <f>HYPERLINK("http://www.worldcat.org/oclc/54020434","WorldCat Record")</f>
        <v/>
      </c>
      <c r="AU650" t="inlineStr">
        <is>
          <t>3943646502:eng</t>
        </is>
      </c>
      <c r="AV650" t="inlineStr">
        <is>
          <t>54020434</t>
        </is>
      </c>
      <c r="AW650" t="inlineStr">
        <is>
          <t>991004539699702656</t>
        </is>
      </c>
      <c r="AX650" t="inlineStr">
        <is>
          <t>991004539699702656</t>
        </is>
      </c>
      <c r="AY650" t="inlineStr">
        <is>
          <t>2256387890002656</t>
        </is>
      </c>
      <c r="AZ650" t="inlineStr">
        <is>
          <t>BOOK</t>
        </is>
      </c>
      <c r="BC650" t="inlineStr">
        <is>
          <t>32285005036974</t>
        </is>
      </c>
      <c r="BD650" t="inlineStr">
        <is>
          <t>893694057</t>
        </is>
      </c>
    </row>
    <row r="651">
      <c r="A651" t="inlineStr">
        <is>
          <t>No</t>
        </is>
      </c>
      <c r="B651" t="inlineStr">
        <is>
          <t>ND623.B7 A7</t>
        </is>
      </c>
      <c r="C651" t="inlineStr">
        <is>
          <t>0                      ND 0623000B  7                  A  7</t>
        </is>
      </c>
      <c r="D651" t="inlineStr">
        <is>
          <t>Botticelli : biographical and critical study / translated from the Italian by James Emmons.</t>
        </is>
      </c>
      <c r="F651" t="inlineStr">
        <is>
          <t>No</t>
        </is>
      </c>
      <c r="G651" t="inlineStr">
        <is>
          <t>1</t>
        </is>
      </c>
      <c r="H651" t="inlineStr">
        <is>
          <t>No</t>
        </is>
      </c>
      <c r="I651" t="inlineStr">
        <is>
          <t>No</t>
        </is>
      </c>
      <c r="J651" t="inlineStr">
        <is>
          <t>0</t>
        </is>
      </c>
      <c r="K651" t="inlineStr">
        <is>
          <t>Argan, Giulio Carlo.</t>
        </is>
      </c>
      <c r="L651" t="inlineStr">
        <is>
          <t>[Geneva, Switzerland] ; [New York] : Skira, [1957]</t>
        </is>
      </c>
      <c r="M651" t="inlineStr">
        <is>
          <t>1957</t>
        </is>
      </c>
      <c r="O651" t="inlineStr">
        <is>
          <t>eng</t>
        </is>
      </c>
      <c r="P651" t="inlineStr">
        <is>
          <t>nyu</t>
        </is>
      </c>
      <c r="Q651" t="inlineStr">
        <is>
          <t>The Taste of our time, 19</t>
        </is>
      </c>
      <c r="R651" t="inlineStr">
        <is>
          <t xml:space="preserve">ND </t>
        </is>
      </c>
      <c r="S651" t="n">
        <v>5</v>
      </c>
      <c r="T651" t="n">
        <v>5</v>
      </c>
      <c r="U651" t="inlineStr">
        <is>
          <t>2002-10-21</t>
        </is>
      </c>
      <c r="V651" t="inlineStr">
        <is>
          <t>2002-10-21</t>
        </is>
      </c>
      <c r="W651" t="inlineStr">
        <is>
          <t>1992-04-23</t>
        </is>
      </c>
      <c r="X651" t="inlineStr">
        <is>
          <t>1992-04-23</t>
        </is>
      </c>
      <c r="Y651" t="n">
        <v>840</v>
      </c>
      <c r="Z651" t="n">
        <v>755</v>
      </c>
      <c r="AA651" t="n">
        <v>763</v>
      </c>
      <c r="AB651" t="n">
        <v>8</v>
      </c>
      <c r="AC651" t="n">
        <v>8</v>
      </c>
      <c r="AD651" t="n">
        <v>30</v>
      </c>
      <c r="AE651" t="n">
        <v>30</v>
      </c>
      <c r="AF651" t="n">
        <v>9</v>
      </c>
      <c r="AG651" t="n">
        <v>9</v>
      </c>
      <c r="AH651" t="n">
        <v>5</v>
      </c>
      <c r="AI651" t="n">
        <v>5</v>
      </c>
      <c r="AJ651" t="n">
        <v>14</v>
      </c>
      <c r="AK651" t="n">
        <v>14</v>
      </c>
      <c r="AL651" t="n">
        <v>6</v>
      </c>
      <c r="AM651" t="n">
        <v>6</v>
      </c>
      <c r="AN651" t="n">
        <v>0</v>
      </c>
      <c r="AO651" t="n">
        <v>0</v>
      </c>
      <c r="AP651" t="inlineStr">
        <is>
          <t>No</t>
        </is>
      </c>
      <c r="AQ651" t="inlineStr">
        <is>
          <t>No</t>
        </is>
      </c>
      <c r="AR651">
        <f>HYPERLINK("http://catalog.hathitrust.org/Record/000462690","HathiTrust Record")</f>
        <v/>
      </c>
      <c r="AS651">
        <f>HYPERLINK("https://creighton-primo.hosted.exlibrisgroup.com/primo-explore/search?tab=default_tab&amp;search_scope=EVERYTHING&amp;vid=01CRU&amp;lang=en_US&amp;offset=0&amp;query=any,contains,991002902589702656","Catalog Record")</f>
        <v/>
      </c>
      <c r="AT651">
        <f>HYPERLINK("http://www.worldcat.org/oclc/517937","WorldCat Record")</f>
        <v/>
      </c>
      <c r="AU651" t="inlineStr">
        <is>
          <t>4188055063:eng</t>
        </is>
      </c>
      <c r="AV651" t="inlineStr">
        <is>
          <t>517937</t>
        </is>
      </c>
      <c r="AW651" t="inlineStr">
        <is>
          <t>991002902589702656</t>
        </is>
      </c>
      <c r="AX651" t="inlineStr">
        <is>
          <t>991002902589702656</t>
        </is>
      </c>
      <c r="AY651" t="inlineStr">
        <is>
          <t>2254995770002656</t>
        </is>
      </c>
      <c r="AZ651" t="inlineStr">
        <is>
          <t>BOOK</t>
        </is>
      </c>
      <c r="BC651" t="inlineStr">
        <is>
          <t>32285001085371</t>
        </is>
      </c>
      <c r="BD651" t="inlineStr">
        <is>
          <t>893352587</t>
        </is>
      </c>
    </row>
    <row r="652">
      <c r="A652" t="inlineStr">
        <is>
          <t>No</t>
        </is>
      </c>
      <c r="B652" t="inlineStr">
        <is>
          <t>ND623.B7 C46 1993</t>
        </is>
      </c>
      <c r="C652" t="inlineStr">
        <is>
          <t>0                      ND 0623000B  7                  C  46          1993</t>
        </is>
      </c>
      <c r="D652" t="inlineStr">
        <is>
          <t>Botticelli's Neoplatonic images / Liana De Girolami Cheney.</t>
        </is>
      </c>
      <c r="F652" t="inlineStr">
        <is>
          <t>No</t>
        </is>
      </c>
      <c r="G652" t="inlineStr">
        <is>
          <t>1</t>
        </is>
      </c>
      <c r="H652" t="inlineStr">
        <is>
          <t>No</t>
        </is>
      </c>
      <c r="I652" t="inlineStr">
        <is>
          <t>No</t>
        </is>
      </c>
      <c r="J652" t="inlineStr">
        <is>
          <t>0</t>
        </is>
      </c>
      <c r="K652" t="inlineStr">
        <is>
          <t>Cheney, Liana.</t>
        </is>
      </c>
      <c r="L652" t="inlineStr">
        <is>
          <t>Potomac, Md. : Scripta Humanistica, 1993.</t>
        </is>
      </c>
      <c r="M652" t="inlineStr">
        <is>
          <t>1993</t>
        </is>
      </c>
      <c r="O652" t="inlineStr">
        <is>
          <t>eng</t>
        </is>
      </c>
      <c r="P652" t="inlineStr">
        <is>
          <t>mdu</t>
        </is>
      </c>
      <c r="Q652" t="inlineStr">
        <is>
          <t>Scripta Humanistica</t>
        </is>
      </c>
      <c r="R652" t="inlineStr">
        <is>
          <t xml:space="preserve">ND </t>
        </is>
      </c>
      <c r="S652" t="n">
        <v>6</v>
      </c>
      <c r="T652" t="n">
        <v>6</v>
      </c>
      <c r="U652" t="inlineStr">
        <is>
          <t>2005-09-15</t>
        </is>
      </c>
      <c r="V652" t="inlineStr">
        <is>
          <t>2005-09-15</t>
        </is>
      </c>
      <c r="W652" t="inlineStr">
        <is>
          <t>1994-04-07</t>
        </is>
      </c>
      <c r="X652" t="inlineStr">
        <is>
          <t>1994-04-07</t>
        </is>
      </c>
      <c r="Y652" t="n">
        <v>127</v>
      </c>
      <c r="Z652" t="n">
        <v>109</v>
      </c>
      <c r="AA652" t="n">
        <v>238</v>
      </c>
      <c r="AB652" t="n">
        <v>2</v>
      </c>
      <c r="AC652" t="n">
        <v>2</v>
      </c>
      <c r="AD652" t="n">
        <v>5</v>
      </c>
      <c r="AE652" t="n">
        <v>9</v>
      </c>
      <c r="AF652" t="n">
        <v>1</v>
      </c>
      <c r="AG652" t="n">
        <v>4</v>
      </c>
      <c r="AH652" t="n">
        <v>2</v>
      </c>
      <c r="AI652" t="n">
        <v>2</v>
      </c>
      <c r="AJ652" t="n">
        <v>2</v>
      </c>
      <c r="AK652" t="n">
        <v>4</v>
      </c>
      <c r="AL652" t="n">
        <v>1</v>
      </c>
      <c r="AM652" t="n">
        <v>1</v>
      </c>
      <c r="AN652" t="n">
        <v>0</v>
      </c>
      <c r="AO652" t="n">
        <v>0</v>
      </c>
      <c r="AP652" t="inlineStr">
        <is>
          <t>No</t>
        </is>
      </c>
      <c r="AQ652" t="inlineStr">
        <is>
          <t>Yes</t>
        </is>
      </c>
      <c r="AR652">
        <f>HYPERLINK("http://catalog.hathitrust.org/Record/002734549","HathiTrust Record")</f>
        <v/>
      </c>
      <c r="AS652">
        <f>HYPERLINK("https://creighton-primo.hosted.exlibrisgroup.com/primo-explore/search?tab=default_tab&amp;search_scope=EVERYTHING&amp;vid=01CRU&amp;lang=en_US&amp;offset=0&amp;query=any,contains,991002202609702656","Catalog Record")</f>
        <v/>
      </c>
      <c r="AT652">
        <f>HYPERLINK("http://www.worldcat.org/oclc/28336500","WorldCat Record")</f>
        <v/>
      </c>
      <c r="AU652" t="inlineStr">
        <is>
          <t>1807981494:eng</t>
        </is>
      </c>
      <c r="AV652" t="inlineStr">
        <is>
          <t>28336500</t>
        </is>
      </c>
      <c r="AW652" t="inlineStr">
        <is>
          <t>991002202609702656</t>
        </is>
      </c>
      <c r="AX652" t="inlineStr">
        <is>
          <t>991002202609702656</t>
        </is>
      </c>
      <c r="AY652" t="inlineStr">
        <is>
          <t>2261022800002656</t>
        </is>
      </c>
      <c r="AZ652" t="inlineStr">
        <is>
          <t>BOOK</t>
        </is>
      </c>
      <c r="BB652" t="inlineStr">
        <is>
          <t>9781882528035</t>
        </is>
      </c>
      <c r="BC652" t="inlineStr">
        <is>
          <t>32285001859478</t>
        </is>
      </c>
      <c r="BD652" t="inlineStr">
        <is>
          <t>893250936</t>
        </is>
      </c>
    </row>
    <row r="653">
      <c r="A653" t="inlineStr">
        <is>
          <t>No</t>
        </is>
      </c>
      <c r="B653" t="inlineStr">
        <is>
          <t>ND623.B7 L53 1978b</t>
        </is>
      </c>
      <c r="C653" t="inlineStr">
        <is>
          <t>0                      ND 0623000B  7                  L  53          1978b</t>
        </is>
      </c>
      <c r="D653" t="inlineStr">
        <is>
          <t>Sandro Botticelli / Ronald Lightbown.</t>
        </is>
      </c>
      <c r="E653" t="inlineStr">
        <is>
          <t>V.2</t>
        </is>
      </c>
      <c r="F653" t="inlineStr">
        <is>
          <t>Yes</t>
        </is>
      </c>
      <c r="G653" t="inlineStr">
        <is>
          <t>1</t>
        </is>
      </c>
      <c r="H653" t="inlineStr">
        <is>
          <t>No</t>
        </is>
      </c>
      <c r="I653" t="inlineStr">
        <is>
          <t>No</t>
        </is>
      </c>
      <c r="J653" t="inlineStr">
        <is>
          <t>0</t>
        </is>
      </c>
      <c r="K653" t="inlineStr">
        <is>
          <t>Lightbown, R. W.</t>
        </is>
      </c>
      <c r="L653" t="inlineStr">
        <is>
          <t>Berkeley : University of California Press, c1978.</t>
        </is>
      </c>
      <c r="M653" t="inlineStr">
        <is>
          <t>1978</t>
        </is>
      </c>
      <c r="O653" t="inlineStr">
        <is>
          <t>eng</t>
        </is>
      </c>
      <c r="P653" t="inlineStr">
        <is>
          <t>cau</t>
        </is>
      </c>
      <c r="R653" t="inlineStr">
        <is>
          <t xml:space="preserve">ND </t>
        </is>
      </c>
      <c r="S653" t="n">
        <v>5</v>
      </c>
      <c r="T653" t="n">
        <v>9</v>
      </c>
      <c r="U653" t="inlineStr">
        <is>
          <t>2000-04-24</t>
        </is>
      </c>
      <c r="V653" t="inlineStr">
        <is>
          <t>2000-04-24</t>
        </is>
      </c>
      <c r="W653" t="inlineStr">
        <is>
          <t>1992-04-22</t>
        </is>
      </c>
      <c r="X653" t="inlineStr">
        <is>
          <t>1992-04-22</t>
        </is>
      </c>
      <c r="Y653" t="n">
        <v>511</v>
      </c>
      <c r="Z653" t="n">
        <v>458</v>
      </c>
      <c r="AA653" t="n">
        <v>494</v>
      </c>
      <c r="AB653" t="n">
        <v>4</v>
      </c>
      <c r="AC653" t="n">
        <v>4</v>
      </c>
      <c r="AD653" t="n">
        <v>22</v>
      </c>
      <c r="AE653" t="n">
        <v>23</v>
      </c>
      <c r="AF653" t="n">
        <v>8</v>
      </c>
      <c r="AG653" t="n">
        <v>9</v>
      </c>
      <c r="AH653" t="n">
        <v>6</v>
      </c>
      <c r="AI653" t="n">
        <v>6</v>
      </c>
      <c r="AJ653" t="n">
        <v>12</v>
      </c>
      <c r="AK653" t="n">
        <v>13</v>
      </c>
      <c r="AL653" t="n">
        <v>3</v>
      </c>
      <c r="AM653" t="n">
        <v>3</v>
      </c>
      <c r="AN653" t="n">
        <v>0</v>
      </c>
      <c r="AO653" t="n">
        <v>0</v>
      </c>
      <c r="AP653" t="inlineStr">
        <is>
          <t>No</t>
        </is>
      </c>
      <c r="AQ653" t="inlineStr">
        <is>
          <t>Yes</t>
        </is>
      </c>
      <c r="AR653">
        <f>HYPERLINK("http://catalog.hathitrust.org/Record/008512875","HathiTrust Record")</f>
        <v/>
      </c>
      <c r="AS653">
        <f>HYPERLINK("https://creighton-primo.hosted.exlibrisgroup.com/primo-explore/search?tab=default_tab&amp;search_scope=EVERYTHING&amp;vid=01CRU&amp;lang=en_US&amp;offset=0&amp;query=any,contains,991004625249702656","Catalog Record")</f>
        <v/>
      </c>
      <c r="AT653">
        <f>HYPERLINK("http://www.worldcat.org/oclc/4334395","WorldCat Record")</f>
        <v/>
      </c>
      <c r="AU653" t="inlineStr">
        <is>
          <t>4918116830:eng</t>
        </is>
      </c>
      <c r="AV653" t="inlineStr">
        <is>
          <t>4334395</t>
        </is>
      </c>
      <c r="AW653" t="inlineStr">
        <is>
          <t>991004625249702656</t>
        </is>
      </c>
      <c r="AX653" t="inlineStr">
        <is>
          <t>991004625249702656</t>
        </is>
      </c>
      <c r="AY653" t="inlineStr">
        <is>
          <t>2266514970002656</t>
        </is>
      </c>
      <c r="AZ653" t="inlineStr">
        <is>
          <t>BOOK</t>
        </is>
      </c>
      <c r="BB653" t="inlineStr">
        <is>
          <t>9780520033726</t>
        </is>
      </c>
      <c r="BC653" t="inlineStr">
        <is>
          <t>32285001085363</t>
        </is>
      </c>
      <c r="BD653" t="inlineStr">
        <is>
          <t>893776220</t>
        </is>
      </c>
    </row>
    <row r="654">
      <c r="A654" t="inlineStr">
        <is>
          <t>No</t>
        </is>
      </c>
      <c r="B654" t="inlineStr">
        <is>
          <t>ND623.B7 L53 1978b</t>
        </is>
      </c>
      <c r="C654" t="inlineStr">
        <is>
          <t>0                      ND 0623000B  7                  L  53          1978b</t>
        </is>
      </c>
      <c r="D654" t="inlineStr">
        <is>
          <t>Sandro Botticelli / Ronald Lightbown.</t>
        </is>
      </c>
      <c r="E654" t="inlineStr">
        <is>
          <t>V.1</t>
        </is>
      </c>
      <c r="F654" t="inlineStr">
        <is>
          <t>Yes</t>
        </is>
      </c>
      <c r="G654" t="inlineStr">
        <is>
          <t>1</t>
        </is>
      </c>
      <c r="H654" t="inlineStr">
        <is>
          <t>No</t>
        </is>
      </c>
      <c r="I654" t="inlineStr">
        <is>
          <t>No</t>
        </is>
      </c>
      <c r="J654" t="inlineStr">
        <is>
          <t>0</t>
        </is>
      </c>
      <c r="K654" t="inlineStr">
        <is>
          <t>Lightbown, R. W.</t>
        </is>
      </c>
      <c r="L654" t="inlineStr">
        <is>
          <t>Berkeley : University of California Press, c1978.</t>
        </is>
      </c>
      <c r="M654" t="inlineStr">
        <is>
          <t>1978</t>
        </is>
      </c>
      <c r="O654" t="inlineStr">
        <is>
          <t>eng</t>
        </is>
      </c>
      <c r="P654" t="inlineStr">
        <is>
          <t>cau</t>
        </is>
      </c>
      <c r="R654" t="inlineStr">
        <is>
          <t xml:space="preserve">ND </t>
        </is>
      </c>
      <c r="S654" t="n">
        <v>4</v>
      </c>
      <c r="T654" t="n">
        <v>9</v>
      </c>
      <c r="V654" t="inlineStr">
        <is>
          <t>2000-04-24</t>
        </is>
      </c>
      <c r="W654" t="inlineStr">
        <is>
          <t>1992-04-22</t>
        </is>
      </c>
      <c r="X654" t="inlineStr">
        <is>
          <t>1992-04-22</t>
        </is>
      </c>
      <c r="Y654" t="n">
        <v>511</v>
      </c>
      <c r="Z654" t="n">
        <v>458</v>
      </c>
      <c r="AA654" t="n">
        <v>494</v>
      </c>
      <c r="AB654" t="n">
        <v>4</v>
      </c>
      <c r="AC654" t="n">
        <v>4</v>
      </c>
      <c r="AD654" t="n">
        <v>22</v>
      </c>
      <c r="AE654" t="n">
        <v>23</v>
      </c>
      <c r="AF654" t="n">
        <v>8</v>
      </c>
      <c r="AG654" t="n">
        <v>9</v>
      </c>
      <c r="AH654" t="n">
        <v>6</v>
      </c>
      <c r="AI654" t="n">
        <v>6</v>
      </c>
      <c r="AJ654" t="n">
        <v>12</v>
      </c>
      <c r="AK654" t="n">
        <v>13</v>
      </c>
      <c r="AL654" t="n">
        <v>3</v>
      </c>
      <c r="AM654" t="n">
        <v>3</v>
      </c>
      <c r="AN654" t="n">
        <v>0</v>
      </c>
      <c r="AO654" t="n">
        <v>0</v>
      </c>
      <c r="AP654" t="inlineStr">
        <is>
          <t>No</t>
        </is>
      </c>
      <c r="AQ654" t="inlineStr">
        <is>
          <t>Yes</t>
        </is>
      </c>
      <c r="AR654">
        <f>HYPERLINK("http://catalog.hathitrust.org/Record/008512875","HathiTrust Record")</f>
        <v/>
      </c>
      <c r="AS654">
        <f>HYPERLINK("https://creighton-primo.hosted.exlibrisgroup.com/primo-explore/search?tab=default_tab&amp;search_scope=EVERYTHING&amp;vid=01CRU&amp;lang=en_US&amp;offset=0&amp;query=any,contains,991004625249702656","Catalog Record")</f>
        <v/>
      </c>
      <c r="AT654">
        <f>HYPERLINK("http://www.worldcat.org/oclc/4334395","WorldCat Record")</f>
        <v/>
      </c>
      <c r="AU654" t="inlineStr">
        <is>
          <t>4918116830:eng</t>
        </is>
      </c>
      <c r="AV654" t="inlineStr">
        <is>
          <t>4334395</t>
        </is>
      </c>
      <c r="AW654" t="inlineStr">
        <is>
          <t>991004625249702656</t>
        </is>
      </c>
      <c r="AX654" t="inlineStr">
        <is>
          <t>991004625249702656</t>
        </is>
      </c>
      <c r="AY654" t="inlineStr">
        <is>
          <t>2266514970002656</t>
        </is>
      </c>
      <c r="AZ654" t="inlineStr">
        <is>
          <t>BOOK</t>
        </is>
      </c>
      <c r="BB654" t="inlineStr">
        <is>
          <t>9780520033726</t>
        </is>
      </c>
      <c r="BC654" t="inlineStr">
        <is>
          <t>32285001085355</t>
        </is>
      </c>
      <c r="BD654" t="inlineStr">
        <is>
          <t>893776221</t>
        </is>
      </c>
    </row>
    <row r="655">
      <c r="A655" t="inlineStr">
        <is>
          <t>No</t>
        </is>
      </c>
      <c r="B655" t="inlineStr">
        <is>
          <t>ND623.B7 L53 1989</t>
        </is>
      </c>
      <c r="C655" t="inlineStr">
        <is>
          <t>0                      ND 0623000B  7                  L  53          1989</t>
        </is>
      </c>
      <c r="D655" t="inlineStr">
        <is>
          <t>Sandro Botticelli : life and work / Ronald Lightbown.</t>
        </is>
      </c>
      <c r="F655" t="inlineStr">
        <is>
          <t>No</t>
        </is>
      </c>
      <c r="G655" t="inlineStr">
        <is>
          <t>1</t>
        </is>
      </c>
      <c r="H655" t="inlineStr">
        <is>
          <t>No</t>
        </is>
      </c>
      <c r="I655" t="inlineStr">
        <is>
          <t>No</t>
        </is>
      </c>
      <c r="J655" t="inlineStr">
        <is>
          <t>0</t>
        </is>
      </c>
      <c r="K655" t="inlineStr">
        <is>
          <t>Lightbown, R. W.</t>
        </is>
      </c>
      <c r="L655" t="inlineStr">
        <is>
          <t>New York : Abbeville Press, c1989.</t>
        </is>
      </c>
      <c r="M655" t="inlineStr">
        <is>
          <t>1989</t>
        </is>
      </c>
      <c r="N655" t="inlineStr">
        <is>
          <t>2nd ed.</t>
        </is>
      </c>
      <c r="O655" t="inlineStr">
        <is>
          <t>eng</t>
        </is>
      </c>
      <c r="P655" t="inlineStr">
        <is>
          <t>nyu</t>
        </is>
      </c>
      <c r="R655" t="inlineStr">
        <is>
          <t xml:space="preserve">ND </t>
        </is>
      </c>
      <c r="S655" t="n">
        <v>7</v>
      </c>
      <c r="T655" t="n">
        <v>7</v>
      </c>
      <c r="U655" t="inlineStr">
        <is>
          <t>2002-12-14</t>
        </is>
      </c>
      <c r="V655" t="inlineStr">
        <is>
          <t>2002-12-14</t>
        </is>
      </c>
      <c r="W655" t="inlineStr">
        <is>
          <t>1999-03-17</t>
        </is>
      </c>
      <c r="X655" t="inlineStr">
        <is>
          <t>1999-03-17</t>
        </is>
      </c>
      <c r="Y655" t="n">
        <v>792</v>
      </c>
      <c r="Z655" t="n">
        <v>710</v>
      </c>
      <c r="AA655" t="n">
        <v>745</v>
      </c>
      <c r="AB655" t="n">
        <v>5</v>
      </c>
      <c r="AC655" t="n">
        <v>5</v>
      </c>
      <c r="AD655" t="n">
        <v>27</v>
      </c>
      <c r="AE655" t="n">
        <v>28</v>
      </c>
      <c r="AF655" t="n">
        <v>14</v>
      </c>
      <c r="AG655" t="n">
        <v>14</v>
      </c>
      <c r="AH655" t="n">
        <v>5</v>
      </c>
      <c r="AI655" t="n">
        <v>6</v>
      </c>
      <c r="AJ655" t="n">
        <v>14</v>
      </c>
      <c r="AK655" t="n">
        <v>15</v>
      </c>
      <c r="AL655" t="n">
        <v>2</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HYPERLINK("https://creighton-primo.hosted.exlibrisgroup.com/primo-explore/search?tab=default_tab&amp;search_scope=EVERYTHING&amp;vid=01CRU&amp;lang=en_US&amp;offset=0&amp;query=any,contains,991001494449702656","Catalog Record")</f>
        <v/>
      </c>
      <c r="AT655">
        <f>HYPERLINK("http://www.worldcat.org/oclc/19741899","WorldCat Record")</f>
        <v/>
      </c>
      <c r="AU655" t="inlineStr">
        <is>
          <t>4451941964:eng</t>
        </is>
      </c>
      <c r="AV655" t="inlineStr">
        <is>
          <t>19741899</t>
        </is>
      </c>
      <c r="AW655" t="inlineStr">
        <is>
          <t>991001494449702656</t>
        </is>
      </c>
      <c r="AX655" t="inlineStr">
        <is>
          <t>991001494449702656</t>
        </is>
      </c>
      <c r="AY655" t="inlineStr">
        <is>
          <t>2266027290002656</t>
        </is>
      </c>
      <c r="AZ655" t="inlineStr">
        <is>
          <t>BOOK</t>
        </is>
      </c>
      <c r="BB655" t="inlineStr">
        <is>
          <t>9780896599314</t>
        </is>
      </c>
      <c r="BC655" t="inlineStr">
        <is>
          <t>32285003533832</t>
        </is>
      </c>
      <c r="BD655" t="inlineStr">
        <is>
          <t>893709323</t>
        </is>
      </c>
    </row>
    <row r="656">
      <c r="A656" t="inlineStr">
        <is>
          <t>No</t>
        </is>
      </c>
      <c r="B656" t="inlineStr">
        <is>
          <t>ND623.B7 V37 1993</t>
        </is>
      </c>
      <c r="C656" t="inlineStr">
        <is>
          <t>0                      ND 0623000B  7                  V  37          1993</t>
        </is>
      </c>
      <c r="D656" t="inlineStr">
        <is>
          <t>Botticelli / written and illustrated by Mike Venezia.</t>
        </is>
      </c>
      <c r="F656" t="inlineStr">
        <is>
          <t>No</t>
        </is>
      </c>
      <c r="G656" t="inlineStr">
        <is>
          <t>1</t>
        </is>
      </c>
      <c r="H656" t="inlineStr">
        <is>
          <t>No</t>
        </is>
      </c>
      <c r="I656" t="inlineStr">
        <is>
          <t>No</t>
        </is>
      </c>
      <c r="J656" t="inlineStr">
        <is>
          <t>0</t>
        </is>
      </c>
      <c r="K656" t="inlineStr">
        <is>
          <t>Venezia, Mike.</t>
        </is>
      </c>
      <c r="L656" t="inlineStr">
        <is>
          <t>Chicago : Childrens Press, c1993.</t>
        </is>
      </c>
      <c r="M656" t="inlineStr">
        <is>
          <t>1993</t>
        </is>
      </c>
      <c r="O656" t="inlineStr">
        <is>
          <t>eng</t>
        </is>
      </c>
      <c r="P656" t="inlineStr">
        <is>
          <t>ilu</t>
        </is>
      </c>
      <c r="Q656" t="inlineStr">
        <is>
          <t>Getting to know the world's greatest artists</t>
        </is>
      </c>
      <c r="R656" t="inlineStr">
        <is>
          <t xml:space="preserve">ND </t>
        </is>
      </c>
      <c r="S656" t="n">
        <v>4</v>
      </c>
      <c r="T656" t="n">
        <v>4</v>
      </c>
      <c r="U656" t="inlineStr">
        <is>
          <t>2000-11-10</t>
        </is>
      </c>
      <c r="V656" t="inlineStr">
        <is>
          <t>2000-11-10</t>
        </is>
      </c>
      <c r="W656" t="inlineStr">
        <is>
          <t>1995-10-19</t>
        </is>
      </c>
      <c r="X656" t="inlineStr">
        <is>
          <t>1995-10-19</t>
        </is>
      </c>
      <c r="Y656" t="n">
        <v>206</v>
      </c>
      <c r="Z656" t="n">
        <v>190</v>
      </c>
      <c r="AA656" t="n">
        <v>895</v>
      </c>
      <c r="AB656" t="n">
        <v>1</v>
      </c>
      <c r="AC656" t="n">
        <v>10</v>
      </c>
      <c r="AD656" t="n">
        <v>1</v>
      </c>
      <c r="AE656" t="n">
        <v>2</v>
      </c>
      <c r="AF656" t="n">
        <v>1</v>
      </c>
      <c r="AG656" t="n">
        <v>1</v>
      </c>
      <c r="AH656" t="n">
        <v>0</v>
      </c>
      <c r="AI656" t="n">
        <v>0</v>
      </c>
      <c r="AJ656" t="n">
        <v>1</v>
      </c>
      <c r="AK656" t="n">
        <v>1</v>
      </c>
      <c r="AL656" t="n">
        <v>0</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HYPERLINK("https://creighton-primo.hosted.exlibrisgroup.com/primo-explore/search?tab=default_tab&amp;search_scope=EVERYTHING&amp;vid=01CRU&amp;lang=en_US&amp;offset=0&amp;query=any,contains,991004576049702656","Catalog Record")</f>
        <v/>
      </c>
      <c r="AT656">
        <f>HYPERLINK("http://www.worldcat.org/oclc/30351829","WorldCat Record")</f>
        <v/>
      </c>
      <c r="AU656" t="inlineStr">
        <is>
          <t>3885458642:eng</t>
        </is>
      </c>
      <c r="AV656" t="inlineStr">
        <is>
          <t>30351829</t>
        </is>
      </c>
      <c r="AW656" t="inlineStr">
        <is>
          <t>991004576049702656</t>
        </is>
      </c>
      <c r="AX656" t="inlineStr">
        <is>
          <t>991004576049702656</t>
        </is>
      </c>
      <c r="AY656" t="inlineStr">
        <is>
          <t>2259003520002656</t>
        </is>
      </c>
      <c r="AZ656" t="inlineStr">
        <is>
          <t>BOOK</t>
        </is>
      </c>
      <c r="BB656" t="inlineStr">
        <is>
          <t>9780516022918</t>
        </is>
      </c>
      <c r="BC656" t="inlineStr">
        <is>
          <t>32285002096518</t>
        </is>
      </c>
      <c r="BD656" t="inlineStr">
        <is>
          <t>893770799</t>
        </is>
      </c>
    </row>
    <row r="657">
      <c r="A657" t="inlineStr">
        <is>
          <t>No</t>
        </is>
      </c>
      <c r="B657" t="inlineStr">
        <is>
          <t>ND623.B9 A4</t>
        </is>
      </c>
      <c r="C657" t="inlineStr">
        <is>
          <t>0                      ND 0623000B  9                  A  4</t>
        </is>
      </c>
      <c r="D657" t="inlineStr">
        <is>
          <t>The complete work of Michelangelo.</t>
        </is>
      </c>
      <c r="F657" t="inlineStr">
        <is>
          <t>No</t>
        </is>
      </c>
      <c r="G657" t="inlineStr">
        <is>
          <t>1</t>
        </is>
      </c>
      <c r="H657" t="inlineStr">
        <is>
          <t>No</t>
        </is>
      </c>
      <c r="I657" t="inlineStr">
        <is>
          <t>No</t>
        </is>
      </c>
      <c r="J657" t="inlineStr">
        <is>
          <t>0</t>
        </is>
      </c>
      <c r="K657" t="inlineStr">
        <is>
          <t>Michelangelo Buonarroti, 1475-1564.</t>
        </is>
      </c>
      <c r="L657" t="inlineStr">
        <is>
          <t>New York : Reynal, [1965]</t>
        </is>
      </c>
      <c r="M657" t="inlineStr">
        <is>
          <t>1965</t>
        </is>
      </c>
      <c r="O657" t="inlineStr">
        <is>
          <t>eng</t>
        </is>
      </c>
      <c r="P657" t="inlineStr">
        <is>
          <t>nyu</t>
        </is>
      </c>
      <c r="R657" t="inlineStr">
        <is>
          <t xml:space="preserve">ND </t>
        </is>
      </c>
      <c r="S657" t="n">
        <v>16</v>
      </c>
      <c r="T657" t="n">
        <v>16</v>
      </c>
      <c r="U657" t="inlineStr">
        <is>
          <t>1999-06-08</t>
        </is>
      </c>
      <c r="V657" t="inlineStr">
        <is>
          <t>1999-06-08</t>
        </is>
      </c>
      <c r="W657" t="inlineStr">
        <is>
          <t>1993-12-06</t>
        </is>
      </c>
      <c r="X657" t="inlineStr">
        <is>
          <t>1993-12-06</t>
        </is>
      </c>
      <c r="Y657" t="n">
        <v>1270</v>
      </c>
      <c r="Z657" t="n">
        <v>1181</v>
      </c>
      <c r="AA657" t="n">
        <v>1193</v>
      </c>
      <c r="AB657" t="n">
        <v>8</v>
      </c>
      <c r="AC657" t="n">
        <v>8</v>
      </c>
      <c r="AD657" t="n">
        <v>34</v>
      </c>
      <c r="AE657" t="n">
        <v>34</v>
      </c>
      <c r="AF657" t="n">
        <v>15</v>
      </c>
      <c r="AG657" t="n">
        <v>15</v>
      </c>
      <c r="AH657" t="n">
        <v>6</v>
      </c>
      <c r="AI657" t="n">
        <v>6</v>
      </c>
      <c r="AJ657" t="n">
        <v>15</v>
      </c>
      <c r="AK657" t="n">
        <v>15</v>
      </c>
      <c r="AL657" t="n">
        <v>5</v>
      </c>
      <c r="AM657" t="n">
        <v>5</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HYPERLINK("https://creighton-primo.hosted.exlibrisgroup.com/primo-explore/search?tab=default_tab&amp;search_scope=EVERYTHING&amp;vid=01CRU&amp;lang=en_US&amp;offset=0&amp;query=any,contains,991002902929702656","Catalog Record")</f>
        <v/>
      </c>
      <c r="AT657">
        <f>HYPERLINK("http://www.worldcat.org/oclc/518110","WorldCat Record")</f>
        <v/>
      </c>
      <c r="AU657" t="inlineStr">
        <is>
          <t>5579158761:eng</t>
        </is>
      </c>
      <c r="AV657" t="inlineStr">
        <is>
          <t>518110</t>
        </is>
      </c>
      <c r="AW657" t="inlineStr">
        <is>
          <t>991002902929702656</t>
        </is>
      </c>
      <c r="AX657" t="inlineStr">
        <is>
          <t>991002902929702656</t>
        </is>
      </c>
      <c r="AY657" t="inlineStr">
        <is>
          <t>2255777000002656</t>
        </is>
      </c>
      <c r="AZ657" t="inlineStr">
        <is>
          <t>BOOK</t>
        </is>
      </c>
      <c r="BC657" t="inlineStr">
        <is>
          <t>32285001815827</t>
        </is>
      </c>
      <c r="BD657" t="inlineStr">
        <is>
          <t>893511335</t>
        </is>
      </c>
    </row>
    <row r="658">
      <c r="A658" t="inlineStr">
        <is>
          <t>No</t>
        </is>
      </c>
      <c r="B658" t="inlineStr">
        <is>
          <t>ND623.B9 A4 1999</t>
        </is>
      </c>
      <c r="C658" t="inlineStr">
        <is>
          <t>0                      ND 0623000B  9                  A  4           1999</t>
        </is>
      </c>
      <c r="D658" t="inlineStr">
        <is>
          <t>Michelangelo : the Sistine Chapel / edited by Stefano; Zuffi.</t>
        </is>
      </c>
      <c r="F658" t="inlineStr">
        <is>
          <t>No</t>
        </is>
      </c>
      <c r="G658" t="inlineStr">
        <is>
          <t>1</t>
        </is>
      </c>
      <c r="H658" t="inlineStr">
        <is>
          <t>No</t>
        </is>
      </c>
      <c r="I658" t="inlineStr">
        <is>
          <t>No</t>
        </is>
      </c>
      <c r="J658" t="inlineStr">
        <is>
          <t>0</t>
        </is>
      </c>
      <c r="K658" t="inlineStr">
        <is>
          <t>Michelangelo Buonarroti, 1475-1564.</t>
        </is>
      </c>
      <c r="L658" t="inlineStr">
        <is>
          <t>New York : Rizzoli, c1999.</t>
        </is>
      </c>
      <c r="M658" t="inlineStr">
        <is>
          <t>1999</t>
        </is>
      </c>
      <c r="O658" t="inlineStr">
        <is>
          <t>eng</t>
        </is>
      </c>
      <c r="P658" t="inlineStr">
        <is>
          <t>nyu</t>
        </is>
      </c>
      <c r="Q658" t="inlineStr">
        <is>
          <t>Rizzoli quadrifolio</t>
        </is>
      </c>
      <c r="R658" t="inlineStr">
        <is>
          <t xml:space="preserve">ND </t>
        </is>
      </c>
      <c r="S658" t="n">
        <v>4</v>
      </c>
      <c r="T658" t="n">
        <v>4</v>
      </c>
      <c r="U658" t="inlineStr">
        <is>
          <t>2004-01-30</t>
        </is>
      </c>
      <c r="V658" t="inlineStr">
        <is>
          <t>2004-01-30</t>
        </is>
      </c>
      <c r="W658" t="inlineStr">
        <is>
          <t>2001-04-10</t>
        </is>
      </c>
      <c r="X658" t="inlineStr">
        <is>
          <t>2001-04-10</t>
        </is>
      </c>
      <c r="Y658" t="n">
        <v>251</v>
      </c>
      <c r="Z658" t="n">
        <v>229</v>
      </c>
      <c r="AA658" t="n">
        <v>240</v>
      </c>
      <c r="AB658" t="n">
        <v>2</v>
      </c>
      <c r="AC658" t="n">
        <v>2</v>
      </c>
      <c r="AD658" t="n">
        <v>9</v>
      </c>
      <c r="AE658" t="n">
        <v>9</v>
      </c>
      <c r="AF658" t="n">
        <v>3</v>
      </c>
      <c r="AG658" t="n">
        <v>3</v>
      </c>
      <c r="AH658" t="n">
        <v>3</v>
      </c>
      <c r="AI658" t="n">
        <v>3</v>
      </c>
      <c r="AJ658" t="n">
        <v>6</v>
      </c>
      <c r="AK658" t="n">
        <v>6</v>
      </c>
      <c r="AL658" t="n">
        <v>0</v>
      </c>
      <c r="AM658" t="n">
        <v>0</v>
      </c>
      <c r="AN658" t="n">
        <v>0</v>
      </c>
      <c r="AO658" t="n">
        <v>0</v>
      </c>
      <c r="AP658" t="inlineStr">
        <is>
          <t>No</t>
        </is>
      </c>
      <c r="AQ658" t="inlineStr">
        <is>
          <t>Yes</t>
        </is>
      </c>
      <c r="AR658">
        <f>HYPERLINK("http://catalog.hathitrust.org/Record/102014387","HathiTrust Record")</f>
        <v/>
      </c>
      <c r="AS658">
        <f>HYPERLINK("https://creighton-primo.hosted.exlibrisgroup.com/primo-explore/search?tab=default_tab&amp;search_scope=EVERYTHING&amp;vid=01CRU&amp;lang=en_US&amp;offset=0&amp;query=any,contains,991003492809702656","Catalog Record")</f>
        <v/>
      </c>
      <c r="AT658">
        <f>HYPERLINK("http://www.worldcat.org/oclc/46678623","WorldCat Record")</f>
        <v/>
      </c>
      <c r="AU658" t="inlineStr">
        <is>
          <t>2762953460:eng</t>
        </is>
      </c>
      <c r="AV658" t="inlineStr">
        <is>
          <t>46678623</t>
        </is>
      </c>
      <c r="AW658" t="inlineStr">
        <is>
          <t>991003492809702656</t>
        </is>
      </c>
      <c r="AX658" t="inlineStr">
        <is>
          <t>991003492809702656</t>
        </is>
      </c>
      <c r="AY658" t="inlineStr">
        <is>
          <t>2266991510002656</t>
        </is>
      </c>
      <c r="AZ658" t="inlineStr">
        <is>
          <t>BOOK</t>
        </is>
      </c>
      <c r="BB658" t="inlineStr">
        <is>
          <t>9780847823109</t>
        </is>
      </c>
      <c r="BC658" t="inlineStr">
        <is>
          <t>32285004310990</t>
        </is>
      </c>
      <c r="BD658" t="inlineStr">
        <is>
          <t>893887520</t>
        </is>
      </c>
    </row>
    <row r="659">
      <c r="A659" t="inlineStr">
        <is>
          <t>No</t>
        </is>
      </c>
      <c r="B659" t="inlineStr">
        <is>
          <t>ND623.B9 A69 1997a</t>
        </is>
      </c>
      <c r="C659" t="inlineStr">
        <is>
          <t>0                      ND 0623000B  9                  A  69          1997a</t>
        </is>
      </c>
      <c r="D659" t="inlineStr">
        <is>
          <t>Michelangelo--the Last Judgment : a glorious restoration / texts by Loren Partridge, Fabrizio Mancinelli, Gianluigi Colalucci ; photographs by Takashi Okamura ; texts by F. Mancinelli and G. Colalucci translated from the Italian by Lawrence Jenkens.</t>
        </is>
      </c>
      <c r="F659" t="inlineStr">
        <is>
          <t>No</t>
        </is>
      </c>
      <c r="G659" t="inlineStr">
        <is>
          <t>1</t>
        </is>
      </c>
      <c r="H659" t="inlineStr">
        <is>
          <t>No</t>
        </is>
      </c>
      <c r="I659" t="inlineStr">
        <is>
          <t>No</t>
        </is>
      </c>
      <c r="J659" t="inlineStr">
        <is>
          <t>0</t>
        </is>
      </c>
      <c r="K659" t="inlineStr">
        <is>
          <t>Partridge, Loren W.</t>
        </is>
      </c>
      <c r="L659" t="inlineStr">
        <is>
          <t>New York : Harry N. Abrams, 1997.</t>
        </is>
      </c>
      <c r="M659" t="inlineStr">
        <is>
          <t>1997</t>
        </is>
      </c>
      <c r="O659" t="inlineStr">
        <is>
          <t>eng</t>
        </is>
      </c>
      <c r="P659" t="inlineStr">
        <is>
          <t>nyu</t>
        </is>
      </c>
      <c r="R659" t="inlineStr">
        <is>
          <t xml:space="preserve">ND </t>
        </is>
      </c>
      <c r="S659" t="n">
        <v>9</v>
      </c>
      <c r="T659" t="n">
        <v>9</v>
      </c>
      <c r="U659" t="inlineStr">
        <is>
          <t>2006-03-31</t>
        </is>
      </c>
      <c r="V659" t="inlineStr">
        <is>
          <t>2006-03-31</t>
        </is>
      </c>
      <c r="W659" t="inlineStr">
        <is>
          <t>1998-03-12</t>
        </is>
      </c>
      <c r="X659" t="inlineStr">
        <is>
          <t>1998-03-12</t>
        </is>
      </c>
      <c r="Y659" t="n">
        <v>861</v>
      </c>
      <c r="Z659" t="n">
        <v>753</v>
      </c>
      <c r="AA659" t="n">
        <v>846</v>
      </c>
      <c r="AB659" t="n">
        <v>6</v>
      </c>
      <c r="AC659" t="n">
        <v>6</v>
      </c>
      <c r="AD659" t="n">
        <v>35</v>
      </c>
      <c r="AE659" t="n">
        <v>35</v>
      </c>
      <c r="AF659" t="n">
        <v>14</v>
      </c>
      <c r="AG659" t="n">
        <v>14</v>
      </c>
      <c r="AH659" t="n">
        <v>8</v>
      </c>
      <c r="AI659" t="n">
        <v>8</v>
      </c>
      <c r="AJ659" t="n">
        <v>16</v>
      </c>
      <c r="AK659" t="n">
        <v>16</v>
      </c>
      <c r="AL659" t="n">
        <v>5</v>
      </c>
      <c r="AM659" t="n">
        <v>5</v>
      </c>
      <c r="AN659" t="n">
        <v>0</v>
      </c>
      <c r="AO659" t="n">
        <v>0</v>
      </c>
      <c r="AP659" t="inlineStr">
        <is>
          <t>No</t>
        </is>
      </c>
      <c r="AQ659" t="inlineStr">
        <is>
          <t>Yes</t>
        </is>
      </c>
      <c r="AR659">
        <f>HYPERLINK("http://catalog.hathitrust.org/Record/003953399","HathiTrust Record")</f>
        <v/>
      </c>
      <c r="AS659">
        <f>HYPERLINK("https://creighton-primo.hosted.exlibrisgroup.com/primo-explore/search?tab=default_tab&amp;search_scope=EVERYTHING&amp;vid=01CRU&amp;lang=en_US&amp;offset=0&amp;query=any,contains,991002799949702656","Catalog Record")</f>
        <v/>
      </c>
      <c r="AT659">
        <f>HYPERLINK("http://www.worldcat.org/oclc/36776461","WorldCat Record")</f>
        <v/>
      </c>
      <c r="AU659" t="inlineStr">
        <is>
          <t>3768834295:eng</t>
        </is>
      </c>
      <c r="AV659" t="inlineStr">
        <is>
          <t>36776461</t>
        </is>
      </c>
      <c r="AW659" t="inlineStr">
        <is>
          <t>991002799949702656</t>
        </is>
      </c>
      <c r="AX659" t="inlineStr">
        <is>
          <t>991002799949702656</t>
        </is>
      </c>
      <c r="AY659" t="inlineStr">
        <is>
          <t>2255422740002656</t>
        </is>
      </c>
      <c r="AZ659" t="inlineStr">
        <is>
          <t>BOOK</t>
        </is>
      </c>
      <c r="BB659" t="inlineStr">
        <is>
          <t>9780810915497</t>
        </is>
      </c>
      <c r="BC659" t="inlineStr">
        <is>
          <t>32285003357745</t>
        </is>
      </c>
      <c r="BD659" t="inlineStr">
        <is>
          <t>893251628</t>
        </is>
      </c>
    </row>
    <row r="660">
      <c r="A660" t="inlineStr">
        <is>
          <t>No</t>
        </is>
      </c>
      <c r="B660" t="inlineStr">
        <is>
          <t>ND623.B9 C2913 1994</t>
        </is>
      </c>
      <c r="C660" t="inlineStr">
        <is>
          <t>0                      ND 0623000B  9                  C  2913        1994</t>
        </is>
      </c>
      <c r="D660" t="inlineStr">
        <is>
          <t>The Sistine Chapel : a glorious restoration / edited by Pierluigi De Vecchi ; Carlo Pietrangeli ... [et al].</t>
        </is>
      </c>
      <c r="F660" t="inlineStr">
        <is>
          <t>No</t>
        </is>
      </c>
      <c r="G660" t="inlineStr">
        <is>
          <t>1</t>
        </is>
      </c>
      <c r="H660" t="inlineStr">
        <is>
          <t>No</t>
        </is>
      </c>
      <c r="I660" t="inlineStr">
        <is>
          <t>No</t>
        </is>
      </c>
      <c r="J660" t="inlineStr">
        <is>
          <t>0</t>
        </is>
      </c>
      <c r="K660" t="inlineStr">
        <is>
          <t>Cappella Sistina. English.</t>
        </is>
      </c>
      <c r="L660" t="inlineStr">
        <is>
          <t>New York : H.N. Abrams, c1994.</t>
        </is>
      </c>
      <c r="M660" t="inlineStr">
        <is>
          <t>1994</t>
        </is>
      </c>
      <c r="O660" t="inlineStr">
        <is>
          <t>eng</t>
        </is>
      </c>
      <c r="P660" t="inlineStr">
        <is>
          <t>nyu</t>
        </is>
      </c>
      <c r="R660" t="inlineStr">
        <is>
          <t xml:space="preserve">ND </t>
        </is>
      </c>
      <c r="S660" t="n">
        <v>15</v>
      </c>
      <c r="T660" t="n">
        <v>15</v>
      </c>
      <c r="U660" t="inlineStr">
        <is>
          <t>2004-04-15</t>
        </is>
      </c>
      <c r="V660" t="inlineStr">
        <is>
          <t>2004-04-15</t>
        </is>
      </c>
      <c r="W660" t="inlineStr">
        <is>
          <t>1995-02-14</t>
        </is>
      </c>
      <c r="X660" t="inlineStr">
        <is>
          <t>1995-02-14</t>
        </is>
      </c>
      <c r="Y660" t="n">
        <v>1520</v>
      </c>
      <c r="Z660" t="n">
        <v>1367</v>
      </c>
      <c r="AA660" t="n">
        <v>1382</v>
      </c>
      <c r="AB660" t="n">
        <v>11</v>
      </c>
      <c r="AC660" t="n">
        <v>11</v>
      </c>
      <c r="AD660" t="n">
        <v>44</v>
      </c>
      <c r="AE660" t="n">
        <v>44</v>
      </c>
      <c r="AF660" t="n">
        <v>19</v>
      </c>
      <c r="AG660" t="n">
        <v>19</v>
      </c>
      <c r="AH660" t="n">
        <v>10</v>
      </c>
      <c r="AI660" t="n">
        <v>10</v>
      </c>
      <c r="AJ660" t="n">
        <v>22</v>
      </c>
      <c r="AK660" t="n">
        <v>22</v>
      </c>
      <c r="AL660" t="n">
        <v>7</v>
      </c>
      <c r="AM660" t="n">
        <v>7</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HYPERLINK("https://creighton-primo.hosted.exlibrisgroup.com/primo-explore/search?tab=default_tab&amp;search_scope=EVERYTHING&amp;vid=01CRU&amp;lang=en_US&amp;offset=0&amp;query=any,contains,991002257019702656","Catalog Record")</f>
        <v/>
      </c>
      <c r="AT660">
        <f>HYPERLINK("http://www.worldcat.org/oclc/29255028","WorldCat Record")</f>
        <v/>
      </c>
      <c r="AU660" t="inlineStr">
        <is>
          <t>4757694074:eng</t>
        </is>
      </c>
      <c r="AV660" t="inlineStr">
        <is>
          <t>29255028</t>
        </is>
      </c>
      <c r="AW660" t="inlineStr">
        <is>
          <t>991002257019702656</t>
        </is>
      </c>
      <c r="AX660" t="inlineStr">
        <is>
          <t>991002257019702656</t>
        </is>
      </c>
      <c r="AY660" t="inlineStr">
        <is>
          <t>2266185830002656</t>
        </is>
      </c>
      <c r="AZ660" t="inlineStr">
        <is>
          <t>BOOK</t>
        </is>
      </c>
      <c r="BB660" t="inlineStr">
        <is>
          <t>9780810938403</t>
        </is>
      </c>
      <c r="BC660" t="inlineStr">
        <is>
          <t>32285001998888</t>
        </is>
      </c>
      <c r="BD660" t="inlineStr">
        <is>
          <t>893322722</t>
        </is>
      </c>
    </row>
    <row r="661">
      <c r="A661" t="inlineStr">
        <is>
          <t>No</t>
        </is>
      </c>
      <c r="B661" t="inlineStr">
        <is>
          <t>ND623.B9 H3</t>
        </is>
      </c>
      <c r="C661" t="inlineStr">
        <is>
          <t>0                      ND 0623000B  9                  H  3</t>
        </is>
      </c>
      <c r="D661" t="inlineStr">
        <is>
          <t>Michelangelo / text by Frederick Hartt.</t>
        </is>
      </c>
      <c r="F661" t="inlineStr">
        <is>
          <t>No</t>
        </is>
      </c>
      <c r="G661" t="inlineStr">
        <is>
          <t>1</t>
        </is>
      </c>
      <c r="H661" t="inlineStr">
        <is>
          <t>No</t>
        </is>
      </c>
      <c r="I661" t="inlineStr">
        <is>
          <t>No</t>
        </is>
      </c>
      <c r="J661" t="inlineStr">
        <is>
          <t>0</t>
        </is>
      </c>
      <c r="K661" t="inlineStr">
        <is>
          <t>Hartt, Frederick.</t>
        </is>
      </c>
      <c r="L661" t="inlineStr">
        <is>
          <t>New York : H.N. Abrams, [1965?]</t>
        </is>
      </c>
      <c r="M661" t="inlineStr">
        <is>
          <t>1965</t>
        </is>
      </c>
      <c r="O661" t="inlineStr">
        <is>
          <t>eng</t>
        </is>
      </c>
      <c r="P661" t="inlineStr">
        <is>
          <t xml:space="preserve">xx </t>
        </is>
      </c>
      <c r="Q661" t="inlineStr">
        <is>
          <t>The Library of great painters.</t>
        </is>
      </c>
      <c r="R661" t="inlineStr">
        <is>
          <t xml:space="preserve">ND </t>
        </is>
      </c>
      <c r="S661" t="n">
        <v>5</v>
      </c>
      <c r="T661" t="n">
        <v>5</v>
      </c>
      <c r="U661" t="inlineStr">
        <is>
          <t>2000-03-20</t>
        </is>
      </c>
      <c r="V661" t="inlineStr">
        <is>
          <t>2000-03-20</t>
        </is>
      </c>
      <c r="W661" t="inlineStr">
        <is>
          <t>1994-04-25</t>
        </is>
      </c>
      <c r="X661" t="inlineStr">
        <is>
          <t>1994-04-25</t>
        </is>
      </c>
      <c r="Y661" t="n">
        <v>298</v>
      </c>
      <c r="Z661" t="n">
        <v>262</v>
      </c>
      <c r="AA661" t="n">
        <v>1082</v>
      </c>
      <c r="AB661" t="n">
        <v>2</v>
      </c>
      <c r="AC661" t="n">
        <v>10</v>
      </c>
      <c r="AD661" t="n">
        <v>7</v>
      </c>
      <c r="AE661" t="n">
        <v>29</v>
      </c>
      <c r="AF661" t="n">
        <v>3</v>
      </c>
      <c r="AG661" t="n">
        <v>13</v>
      </c>
      <c r="AH661" t="n">
        <v>2</v>
      </c>
      <c r="AI661" t="n">
        <v>7</v>
      </c>
      <c r="AJ661" t="n">
        <v>3</v>
      </c>
      <c r="AK661" t="n">
        <v>11</v>
      </c>
      <c r="AL661" t="n">
        <v>1</v>
      </c>
      <c r="AM661" t="n">
        <v>5</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HYPERLINK("https://creighton-primo.hosted.exlibrisgroup.com/primo-explore/search?tab=default_tab&amp;search_scope=EVERYTHING&amp;vid=01CRU&amp;lang=en_US&amp;offset=0&amp;query=any,contains,991003103859702656","Catalog Record")</f>
        <v/>
      </c>
      <c r="AT661">
        <f>HYPERLINK("http://www.worldcat.org/oclc/652767","WorldCat Record")</f>
        <v/>
      </c>
      <c r="AU661" t="inlineStr">
        <is>
          <t>2999293067:eng</t>
        </is>
      </c>
      <c r="AV661" t="inlineStr">
        <is>
          <t>652767</t>
        </is>
      </c>
      <c r="AW661" t="inlineStr">
        <is>
          <t>991003103859702656</t>
        </is>
      </c>
      <c r="AX661" t="inlineStr">
        <is>
          <t>991003103859702656</t>
        </is>
      </c>
      <c r="AY661" t="inlineStr">
        <is>
          <t>2262828290002656</t>
        </is>
      </c>
      <c r="AZ661" t="inlineStr">
        <is>
          <t>BOOK</t>
        </is>
      </c>
      <c r="BB661" t="inlineStr">
        <is>
          <t>9780714814834</t>
        </is>
      </c>
      <c r="BC661" t="inlineStr">
        <is>
          <t>32285001890945</t>
        </is>
      </c>
      <c r="BD661" t="inlineStr">
        <is>
          <t>893227693</t>
        </is>
      </c>
    </row>
    <row r="662">
      <c r="A662" t="inlineStr">
        <is>
          <t>No</t>
        </is>
      </c>
      <c r="B662" t="inlineStr">
        <is>
          <t>ND623.B9 M3</t>
        </is>
      </c>
      <c r="C662" t="inlineStr">
        <is>
          <t>0                      ND 0623000B  9                  M  3</t>
        </is>
      </c>
      <c r="D662" t="inlineStr">
        <is>
          <t>Michelangelo, the painter.</t>
        </is>
      </c>
      <c r="F662" t="inlineStr">
        <is>
          <t>No</t>
        </is>
      </c>
      <c r="G662" t="inlineStr">
        <is>
          <t>1</t>
        </is>
      </c>
      <c r="H662" t="inlineStr">
        <is>
          <t>No</t>
        </is>
      </c>
      <c r="I662" t="inlineStr">
        <is>
          <t>Yes</t>
        </is>
      </c>
      <c r="J662" t="inlineStr">
        <is>
          <t>0</t>
        </is>
      </c>
      <c r="K662" t="inlineStr">
        <is>
          <t>Mariani, Valerio, 1899-1982.</t>
        </is>
      </c>
      <c r="L662" t="inlineStr">
        <is>
          <t>Milano, Arti Grafiche Ricordi, [1964]</t>
        </is>
      </c>
      <c r="M662" t="inlineStr">
        <is>
          <t>1964</t>
        </is>
      </c>
      <c r="O662" t="inlineStr">
        <is>
          <t>eng</t>
        </is>
      </c>
      <c r="P662" t="inlineStr">
        <is>
          <t xml:space="preserve">xx </t>
        </is>
      </c>
      <c r="R662" t="inlineStr">
        <is>
          <t xml:space="preserve">ND </t>
        </is>
      </c>
      <c r="S662" t="n">
        <v>12</v>
      </c>
      <c r="T662" t="n">
        <v>12</v>
      </c>
      <c r="U662" t="inlineStr">
        <is>
          <t>1998-08-10</t>
        </is>
      </c>
      <c r="V662" t="inlineStr">
        <is>
          <t>1998-08-10</t>
        </is>
      </c>
      <c r="W662" t="inlineStr">
        <is>
          <t>1991-12-10</t>
        </is>
      </c>
      <c r="X662" t="inlineStr">
        <is>
          <t>1991-12-10</t>
        </is>
      </c>
      <c r="Y662" t="n">
        <v>326</v>
      </c>
      <c r="Z662" t="n">
        <v>311</v>
      </c>
      <c r="AA662" t="n">
        <v>1421</v>
      </c>
      <c r="AB662" t="n">
        <v>3</v>
      </c>
      <c r="AC662" t="n">
        <v>10</v>
      </c>
      <c r="AD662" t="n">
        <v>13</v>
      </c>
      <c r="AE662" t="n">
        <v>41</v>
      </c>
      <c r="AF662" t="n">
        <v>5</v>
      </c>
      <c r="AG662" t="n">
        <v>16</v>
      </c>
      <c r="AH662" t="n">
        <v>3</v>
      </c>
      <c r="AI662" t="n">
        <v>7</v>
      </c>
      <c r="AJ662" t="n">
        <v>4</v>
      </c>
      <c r="AK662" t="n">
        <v>20</v>
      </c>
      <c r="AL662" t="n">
        <v>2</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HYPERLINK("https://creighton-primo.hosted.exlibrisgroup.com/primo-explore/search?tab=default_tab&amp;search_scope=EVERYTHING&amp;vid=01CRU&amp;lang=en_US&amp;offset=0&amp;query=any,contains,991003996949702656","Catalog Record")</f>
        <v/>
      </c>
      <c r="AT662">
        <f>HYPERLINK("http://www.worldcat.org/oclc/717455","WorldCat Record")</f>
        <v/>
      </c>
      <c r="AU662" t="inlineStr">
        <is>
          <t>3943414811:eng</t>
        </is>
      </c>
      <c r="AV662" t="inlineStr">
        <is>
          <t>717455</t>
        </is>
      </c>
      <c r="AW662" t="inlineStr">
        <is>
          <t>991003996949702656</t>
        </is>
      </c>
      <c r="AX662" t="inlineStr">
        <is>
          <t>991003996949702656</t>
        </is>
      </c>
      <c r="AY662" t="inlineStr">
        <is>
          <t>2263342720002656</t>
        </is>
      </c>
      <c r="AZ662" t="inlineStr">
        <is>
          <t>BOOK</t>
        </is>
      </c>
      <c r="BC662" t="inlineStr">
        <is>
          <t>32285000838903</t>
        </is>
      </c>
      <c r="BD662" t="inlineStr">
        <is>
          <t>893618090</t>
        </is>
      </c>
    </row>
    <row r="663">
      <c r="A663" t="inlineStr">
        <is>
          <t>No</t>
        </is>
      </c>
      <c r="B663" t="inlineStr">
        <is>
          <t>ND623.B92 S42 1972</t>
        </is>
      </c>
      <c r="C663" t="inlineStr">
        <is>
          <t>0                      ND 0623000B  92                 S  42          1972</t>
        </is>
      </c>
      <c r="D663" t="inlineStr">
        <is>
          <t>Michelangelo, the Sistine Chapel ceiling : illustrations, introductory essays, backgrounds and sources, critical essays / ed. by Charles Seymour, Jr.</t>
        </is>
      </c>
      <c r="F663" t="inlineStr">
        <is>
          <t>No</t>
        </is>
      </c>
      <c r="G663" t="inlineStr">
        <is>
          <t>1</t>
        </is>
      </c>
      <c r="H663" t="inlineStr">
        <is>
          <t>No</t>
        </is>
      </c>
      <c r="I663" t="inlineStr">
        <is>
          <t>No</t>
        </is>
      </c>
      <c r="J663" t="inlineStr">
        <is>
          <t>0</t>
        </is>
      </c>
      <c r="K663" t="inlineStr">
        <is>
          <t>Seymour, Charles, Jr., 1912-1977 compiler.</t>
        </is>
      </c>
      <c r="L663" t="inlineStr">
        <is>
          <t>New York : Norton, [1972]</t>
        </is>
      </c>
      <c r="M663" t="inlineStr">
        <is>
          <t>1972</t>
        </is>
      </c>
      <c r="N663" t="inlineStr">
        <is>
          <t>[1st ed.]</t>
        </is>
      </c>
      <c r="O663" t="inlineStr">
        <is>
          <t>eng</t>
        </is>
      </c>
      <c r="P663" t="inlineStr">
        <is>
          <t>nyu</t>
        </is>
      </c>
      <c r="Q663" t="inlineStr">
        <is>
          <t>A Norton critical study in art history</t>
        </is>
      </c>
      <c r="R663" t="inlineStr">
        <is>
          <t xml:space="preserve">ND </t>
        </is>
      </c>
      <c r="S663" t="n">
        <v>12</v>
      </c>
      <c r="T663" t="n">
        <v>12</v>
      </c>
      <c r="U663" t="inlineStr">
        <is>
          <t>2005-04-13</t>
        </is>
      </c>
      <c r="V663" t="inlineStr">
        <is>
          <t>2005-04-13</t>
        </is>
      </c>
      <c r="W663" t="inlineStr">
        <is>
          <t>1993-08-05</t>
        </is>
      </c>
      <c r="X663" t="inlineStr">
        <is>
          <t>1993-08-05</t>
        </is>
      </c>
      <c r="Y663" t="n">
        <v>865</v>
      </c>
      <c r="Z663" t="n">
        <v>779</v>
      </c>
      <c r="AA663" t="n">
        <v>880</v>
      </c>
      <c r="AB663" t="n">
        <v>6</v>
      </c>
      <c r="AC663" t="n">
        <v>6</v>
      </c>
      <c r="AD663" t="n">
        <v>36</v>
      </c>
      <c r="AE663" t="n">
        <v>37</v>
      </c>
      <c r="AF663" t="n">
        <v>15</v>
      </c>
      <c r="AG663" t="n">
        <v>15</v>
      </c>
      <c r="AH663" t="n">
        <v>8</v>
      </c>
      <c r="AI663" t="n">
        <v>9</v>
      </c>
      <c r="AJ663" t="n">
        <v>20</v>
      </c>
      <c r="AK663" t="n">
        <v>21</v>
      </c>
      <c r="AL663" t="n">
        <v>4</v>
      </c>
      <c r="AM663" t="n">
        <v>4</v>
      </c>
      <c r="AN663" t="n">
        <v>0</v>
      </c>
      <c r="AO663" t="n">
        <v>0</v>
      </c>
      <c r="AP663" t="inlineStr">
        <is>
          <t>No</t>
        </is>
      </c>
      <c r="AQ663" t="inlineStr">
        <is>
          <t>Yes</t>
        </is>
      </c>
      <c r="AR663">
        <f>HYPERLINK("http://catalog.hathitrust.org/Record/000003120","HathiTrust Record")</f>
        <v/>
      </c>
      <c r="AS663">
        <f>HYPERLINK("https://creighton-primo.hosted.exlibrisgroup.com/primo-explore/search?tab=default_tab&amp;search_scope=EVERYTHING&amp;vid=01CRU&amp;lang=en_US&amp;offset=0&amp;query=any,contains,991001274009702656","Catalog Record")</f>
        <v/>
      </c>
      <c r="AT663">
        <f>HYPERLINK("http://www.worldcat.org/oclc/213494","WorldCat Record")</f>
        <v/>
      </c>
      <c r="AU663" t="inlineStr">
        <is>
          <t>197482234:eng</t>
        </is>
      </c>
      <c r="AV663" t="inlineStr">
        <is>
          <t>213494</t>
        </is>
      </c>
      <c r="AW663" t="inlineStr">
        <is>
          <t>991001274009702656</t>
        </is>
      </c>
      <c r="AX663" t="inlineStr">
        <is>
          <t>991001274009702656</t>
        </is>
      </c>
      <c r="AY663" t="inlineStr">
        <is>
          <t>2255131980002656</t>
        </is>
      </c>
      <c r="AZ663" t="inlineStr">
        <is>
          <t>BOOK</t>
        </is>
      </c>
      <c r="BB663" t="inlineStr">
        <is>
          <t>9780393043198</t>
        </is>
      </c>
      <c r="BC663" t="inlineStr">
        <is>
          <t>32285001750941</t>
        </is>
      </c>
      <c r="BD663" t="inlineStr">
        <is>
          <t>893516076</t>
        </is>
      </c>
    </row>
    <row r="664">
      <c r="A664" t="inlineStr">
        <is>
          <t>No</t>
        </is>
      </c>
      <c r="B664" t="inlineStr">
        <is>
          <t>ND623.C2 L5</t>
        </is>
      </c>
      <c r="C664" t="inlineStr">
        <is>
          <t>0                      ND 0623000C  2                  L  5</t>
        </is>
      </c>
      <c r="D664" t="inlineStr">
        <is>
          <t>Canaletto and his patrons / J. G. Links.</t>
        </is>
      </c>
      <c r="F664" t="inlineStr">
        <is>
          <t>No</t>
        </is>
      </c>
      <c r="G664" t="inlineStr">
        <is>
          <t>1</t>
        </is>
      </c>
      <c r="H664" t="inlineStr">
        <is>
          <t>No</t>
        </is>
      </c>
      <c r="I664" t="inlineStr">
        <is>
          <t>No</t>
        </is>
      </c>
      <c r="J664" t="inlineStr">
        <is>
          <t>0</t>
        </is>
      </c>
      <c r="K664" t="inlineStr">
        <is>
          <t>Links, J. G.</t>
        </is>
      </c>
      <c r="L664" t="inlineStr">
        <is>
          <t>New York : New York University Press, 1977.</t>
        </is>
      </c>
      <c r="M664" t="inlineStr">
        <is>
          <t>1977</t>
        </is>
      </c>
      <c r="O664" t="inlineStr">
        <is>
          <t>eng</t>
        </is>
      </c>
      <c r="P664" t="inlineStr">
        <is>
          <t>nyu</t>
        </is>
      </c>
      <c r="R664" t="inlineStr">
        <is>
          <t xml:space="preserve">ND </t>
        </is>
      </c>
      <c r="S664" t="n">
        <v>1</v>
      </c>
      <c r="T664" t="n">
        <v>1</v>
      </c>
      <c r="U664" t="inlineStr">
        <is>
          <t>2003-11-07</t>
        </is>
      </c>
      <c r="V664" t="inlineStr">
        <is>
          <t>2003-11-07</t>
        </is>
      </c>
      <c r="W664" t="inlineStr">
        <is>
          <t>1993-05-24</t>
        </is>
      </c>
      <c r="X664" t="inlineStr">
        <is>
          <t>1993-05-24</t>
        </is>
      </c>
      <c r="Y664" t="n">
        <v>526</v>
      </c>
      <c r="Z664" t="n">
        <v>478</v>
      </c>
      <c r="AA664" t="n">
        <v>570</v>
      </c>
      <c r="AB664" t="n">
        <v>3</v>
      </c>
      <c r="AC664" t="n">
        <v>5</v>
      </c>
      <c r="AD664" t="n">
        <v>18</v>
      </c>
      <c r="AE664" t="n">
        <v>23</v>
      </c>
      <c r="AF664" t="n">
        <v>7</v>
      </c>
      <c r="AG664" t="n">
        <v>8</v>
      </c>
      <c r="AH664" t="n">
        <v>5</v>
      </c>
      <c r="AI664" t="n">
        <v>5</v>
      </c>
      <c r="AJ664" t="n">
        <v>9</v>
      </c>
      <c r="AK664" t="n">
        <v>12</v>
      </c>
      <c r="AL664" t="n">
        <v>1</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HYPERLINK("https://creighton-primo.hosted.exlibrisgroup.com/primo-explore/search?tab=default_tab&amp;search_scope=EVERYTHING&amp;vid=01CRU&amp;lang=en_US&amp;offset=0&amp;query=any,contains,991004326369702656","Catalog Record")</f>
        <v/>
      </c>
      <c r="AT664">
        <f>HYPERLINK("http://www.worldcat.org/oclc/3039698","WorldCat Record")</f>
        <v/>
      </c>
      <c r="AU664" t="inlineStr">
        <is>
          <t>7878747:eng</t>
        </is>
      </c>
      <c r="AV664" t="inlineStr">
        <is>
          <t>3039698</t>
        </is>
      </c>
      <c r="AW664" t="inlineStr">
        <is>
          <t>991004326369702656</t>
        </is>
      </c>
      <c r="AX664" t="inlineStr">
        <is>
          <t>991004326369702656</t>
        </is>
      </c>
      <c r="AY664" t="inlineStr">
        <is>
          <t>2259029880002656</t>
        </is>
      </c>
      <c r="AZ664" t="inlineStr">
        <is>
          <t>BOOK</t>
        </is>
      </c>
      <c r="BB664" t="inlineStr">
        <is>
          <t>9780814749753</t>
        </is>
      </c>
      <c r="BC664" t="inlineStr">
        <is>
          <t>32285001692390</t>
        </is>
      </c>
      <c r="BD664" t="inlineStr">
        <is>
          <t>893442486</t>
        </is>
      </c>
    </row>
    <row r="665">
      <c r="A665" t="inlineStr">
        <is>
          <t>No</t>
        </is>
      </c>
      <c r="B665" t="inlineStr">
        <is>
          <t>ND623.C2 P813 1968</t>
        </is>
      </c>
      <c r="C665" t="inlineStr">
        <is>
          <t>0                      ND 0623000C  2                  P  813         1968</t>
        </is>
      </c>
      <c r="D665" t="inlineStr">
        <is>
          <t>The complete paintings of Canaletto / introduction by David Bindman. Notes and catalogue by Lionello Puppi.</t>
        </is>
      </c>
      <c r="F665" t="inlineStr">
        <is>
          <t>No</t>
        </is>
      </c>
      <c r="G665" t="inlineStr">
        <is>
          <t>1</t>
        </is>
      </c>
      <c r="H665" t="inlineStr">
        <is>
          <t>No</t>
        </is>
      </c>
      <c r="I665" t="inlineStr">
        <is>
          <t>No</t>
        </is>
      </c>
      <c r="J665" t="inlineStr">
        <is>
          <t>0</t>
        </is>
      </c>
      <c r="K665" t="inlineStr">
        <is>
          <t>Canaletto, 1697-1768.</t>
        </is>
      </c>
      <c r="L665" t="inlineStr">
        <is>
          <t>New York : H.N. Abrams, [1968]</t>
        </is>
      </c>
      <c r="M665" t="inlineStr">
        <is>
          <t>1968</t>
        </is>
      </c>
      <c r="O665" t="inlineStr">
        <is>
          <t>eng</t>
        </is>
      </c>
      <c r="P665" t="inlineStr">
        <is>
          <t>nyu</t>
        </is>
      </c>
      <c r="Q665" t="inlineStr">
        <is>
          <t>Classics of the world's great art</t>
        </is>
      </c>
      <c r="R665" t="inlineStr">
        <is>
          <t xml:space="preserve">ND </t>
        </is>
      </c>
      <c r="S665" t="n">
        <v>1</v>
      </c>
      <c r="T665" t="n">
        <v>1</v>
      </c>
      <c r="U665" t="inlineStr">
        <is>
          <t>2005-08-03</t>
        </is>
      </c>
      <c r="V665" t="inlineStr">
        <is>
          <t>2005-08-03</t>
        </is>
      </c>
      <c r="W665" t="inlineStr">
        <is>
          <t>2005-08-03</t>
        </is>
      </c>
      <c r="X665" t="inlineStr">
        <is>
          <t>2005-08-03</t>
        </is>
      </c>
      <c r="Y665" t="n">
        <v>307</v>
      </c>
      <c r="Z665" t="n">
        <v>282</v>
      </c>
      <c r="AA665" t="n">
        <v>289</v>
      </c>
      <c r="AB665" t="n">
        <v>6</v>
      </c>
      <c r="AC665" t="n">
        <v>6</v>
      </c>
      <c r="AD665" t="n">
        <v>6</v>
      </c>
      <c r="AE665" t="n">
        <v>6</v>
      </c>
      <c r="AF665" t="n">
        <v>1</v>
      </c>
      <c r="AG665" t="n">
        <v>1</v>
      </c>
      <c r="AH665" t="n">
        <v>1</v>
      </c>
      <c r="AI665" t="n">
        <v>1</v>
      </c>
      <c r="AJ665" t="n">
        <v>2</v>
      </c>
      <c r="AK665" t="n">
        <v>2</v>
      </c>
      <c r="AL665" t="n">
        <v>3</v>
      </c>
      <c r="AM665" t="n">
        <v>3</v>
      </c>
      <c r="AN665" t="n">
        <v>0</v>
      </c>
      <c r="AO665" t="n">
        <v>0</v>
      </c>
      <c r="AP665" t="inlineStr">
        <is>
          <t>No</t>
        </is>
      </c>
      <c r="AQ665" t="inlineStr">
        <is>
          <t>Yes</t>
        </is>
      </c>
      <c r="AR665">
        <f>HYPERLINK("http://catalog.hathitrust.org/Record/000726630","HathiTrust Record")</f>
        <v/>
      </c>
      <c r="AS665">
        <f>HYPERLINK("https://creighton-primo.hosted.exlibrisgroup.com/primo-explore/search?tab=default_tab&amp;search_scope=EVERYTHING&amp;vid=01CRU&amp;lang=en_US&amp;offset=0&amp;query=any,contains,991004626639702656","Catalog Record")</f>
        <v/>
      </c>
      <c r="AT665">
        <f>HYPERLINK("http://www.worldcat.org/oclc/4525771","WorldCat Record")</f>
        <v/>
      </c>
      <c r="AU665" t="inlineStr">
        <is>
          <t>8909343752:eng</t>
        </is>
      </c>
      <c r="AV665" t="inlineStr">
        <is>
          <t>4525771</t>
        </is>
      </c>
      <c r="AW665" t="inlineStr">
        <is>
          <t>991004626639702656</t>
        </is>
      </c>
      <c r="AX665" t="inlineStr">
        <is>
          <t>991004626639702656</t>
        </is>
      </c>
      <c r="AY665" t="inlineStr">
        <is>
          <t>2272482340002656</t>
        </is>
      </c>
      <c r="AZ665" t="inlineStr">
        <is>
          <t>BOOK</t>
        </is>
      </c>
      <c r="BC665" t="inlineStr">
        <is>
          <t>32285005099253</t>
        </is>
      </c>
      <c r="BD665" t="inlineStr">
        <is>
          <t>893411769</t>
        </is>
      </c>
    </row>
    <row r="666">
      <c r="A666" t="inlineStr">
        <is>
          <t>No</t>
        </is>
      </c>
      <c r="B666" t="inlineStr">
        <is>
          <t>ND623.C237 A4 1979</t>
        </is>
      </c>
      <c r="C666" t="inlineStr">
        <is>
          <t>0                      ND 0623000C  237                A  4           1979</t>
        </is>
      </c>
      <c r="D666" t="inlineStr">
        <is>
          <t>The international Caravaggesque movement : lists of pictures by Caravaggio and his followers throughout Europe from 1590 to 1650 / Benedict Nicolson.</t>
        </is>
      </c>
      <c r="F666" t="inlineStr">
        <is>
          <t>No</t>
        </is>
      </c>
      <c r="G666" t="inlineStr">
        <is>
          <t>1</t>
        </is>
      </c>
      <c r="H666" t="inlineStr">
        <is>
          <t>No</t>
        </is>
      </c>
      <c r="I666" t="inlineStr">
        <is>
          <t>No</t>
        </is>
      </c>
      <c r="J666" t="inlineStr">
        <is>
          <t>0</t>
        </is>
      </c>
      <c r="K666" t="inlineStr">
        <is>
          <t>Nicolson, Benedict.</t>
        </is>
      </c>
      <c r="L666" t="inlineStr">
        <is>
          <t>Oxford : Phaidon, 1979.</t>
        </is>
      </c>
      <c r="M666" t="inlineStr">
        <is>
          <t>1979</t>
        </is>
      </c>
      <c r="O666" t="inlineStr">
        <is>
          <t>eng</t>
        </is>
      </c>
      <c r="P666" t="inlineStr">
        <is>
          <t>enk</t>
        </is>
      </c>
      <c r="R666" t="inlineStr">
        <is>
          <t xml:space="preserve">ND </t>
        </is>
      </c>
      <c r="S666" t="n">
        <v>5</v>
      </c>
      <c r="T666" t="n">
        <v>5</v>
      </c>
      <c r="U666" t="inlineStr">
        <is>
          <t>2000-02-09</t>
        </is>
      </c>
      <c r="V666" t="inlineStr">
        <is>
          <t>2000-02-09</t>
        </is>
      </c>
      <c r="W666" t="inlineStr">
        <is>
          <t>1993-05-24</t>
        </is>
      </c>
      <c r="X666" t="inlineStr">
        <is>
          <t>1993-05-24</t>
        </is>
      </c>
      <c r="Y666" t="n">
        <v>529</v>
      </c>
      <c r="Z666" t="n">
        <v>360</v>
      </c>
      <c r="AA666" t="n">
        <v>361</v>
      </c>
      <c r="AB666" t="n">
        <v>2</v>
      </c>
      <c r="AC666" t="n">
        <v>2</v>
      </c>
      <c r="AD666" t="n">
        <v>12</v>
      </c>
      <c r="AE666" t="n">
        <v>12</v>
      </c>
      <c r="AF666" t="n">
        <v>3</v>
      </c>
      <c r="AG666" t="n">
        <v>3</v>
      </c>
      <c r="AH666" t="n">
        <v>4</v>
      </c>
      <c r="AI666" t="n">
        <v>4</v>
      </c>
      <c r="AJ666" t="n">
        <v>8</v>
      </c>
      <c r="AK666" t="n">
        <v>8</v>
      </c>
      <c r="AL666" t="n">
        <v>1</v>
      </c>
      <c r="AM666" t="n">
        <v>1</v>
      </c>
      <c r="AN666" t="n">
        <v>0</v>
      </c>
      <c r="AO666" t="n">
        <v>0</v>
      </c>
      <c r="AP666" t="inlineStr">
        <is>
          <t>No</t>
        </is>
      </c>
      <c r="AQ666" t="inlineStr">
        <is>
          <t>Yes</t>
        </is>
      </c>
      <c r="AR666">
        <f>HYPERLINK("http://catalog.hathitrust.org/Record/000303154","HathiTrust Record")</f>
        <v/>
      </c>
      <c r="AS666">
        <f>HYPERLINK("https://creighton-primo.hosted.exlibrisgroup.com/primo-explore/search?tab=default_tab&amp;search_scope=EVERYTHING&amp;vid=01CRU&amp;lang=en_US&amp;offset=0&amp;query=any,contains,991004773519702656","Catalog Record")</f>
        <v/>
      </c>
      <c r="AT666">
        <f>HYPERLINK("http://www.worldcat.org/oclc/5091702","WorldCat Record")</f>
        <v/>
      </c>
      <c r="AU666" t="inlineStr">
        <is>
          <t>962384581:eng</t>
        </is>
      </c>
      <c r="AV666" t="inlineStr">
        <is>
          <t>5091702</t>
        </is>
      </c>
      <c r="AW666" t="inlineStr">
        <is>
          <t>991004773519702656</t>
        </is>
      </c>
      <c r="AX666" t="inlineStr">
        <is>
          <t>991004773519702656</t>
        </is>
      </c>
      <c r="AY666" t="inlineStr">
        <is>
          <t>2257594500002656</t>
        </is>
      </c>
      <c r="AZ666" t="inlineStr">
        <is>
          <t>BOOK</t>
        </is>
      </c>
      <c r="BB666" t="inlineStr">
        <is>
          <t>9780714819167</t>
        </is>
      </c>
      <c r="BC666" t="inlineStr">
        <is>
          <t>32285001692408</t>
        </is>
      </c>
      <c r="BD666" t="inlineStr">
        <is>
          <t>893332025</t>
        </is>
      </c>
    </row>
    <row r="667">
      <c r="A667" t="inlineStr">
        <is>
          <t>No</t>
        </is>
      </c>
      <c r="B667" t="inlineStr">
        <is>
          <t>ND623.C26 B48 1998</t>
        </is>
      </c>
      <c r="C667" t="inlineStr">
        <is>
          <t>0                      ND 0623000C  26                 B  48          1998</t>
        </is>
      </c>
      <c r="D667" t="inlineStr">
        <is>
          <t>Caravaggio's secrets / Leo Bersani and Ulysse Dutoit.</t>
        </is>
      </c>
      <c r="F667" t="inlineStr">
        <is>
          <t>No</t>
        </is>
      </c>
      <c r="G667" t="inlineStr">
        <is>
          <t>1</t>
        </is>
      </c>
      <c r="H667" t="inlineStr">
        <is>
          <t>No</t>
        </is>
      </c>
      <c r="I667" t="inlineStr">
        <is>
          <t>No</t>
        </is>
      </c>
      <c r="J667" t="inlineStr">
        <is>
          <t>0</t>
        </is>
      </c>
      <c r="K667" t="inlineStr">
        <is>
          <t>Bersani, Leo.</t>
        </is>
      </c>
      <c r="L667" t="inlineStr">
        <is>
          <t>Cambridge, Mass. : MIT Press, c1998.</t>
        </is>
      </c>
      <c r="M667" t="inlineStr">
        <is>
          <t>1998</t>
        </is>
      </c>
      <c r="O667" t="inlineStr">
        <is>
          <t>eng</t>
        </is>
      </c>
      <c r="P667" t="inlineStr">
        <is>
          <t>mau</t>
        </is>
      </c>
      <c r="R667" t="inlineStr">
        <is>
          <t xml:space="preserve">ND </t>
        </is>
      </c>
      <c r="S667" t="n">
        <v>5</v>
      </c>
      <c r="T667" t="n">
        <v>5</v>
      </c>
      <c r="U667" t="inlineStr">
        <is>
          <t>2006-08-21</t>
        </is>
      </c>
      <c r="V667" t="inlineStr">
        <is>
          <t>2006-08-21</t>
        </is>
      </c>
      <c r="W667" t="inlineStr">
        <is>
          <t>1999-10-05</t>
        </is>
      </c>
      <c r="X667" t="inlineStr">
        <is>
          <t>1999-10-05</t>
        </is>
      </c>
      <c r="Y667" t="n">
        <v>541</v>
      </c>
      <c r="Z667" t="n">
        <v>408</v>
      </c>
      <c r="AA667" t="n">
        <v>469</v>
      </c>
      <c r="AB667" t="n">
        <v>3</v>
      </c>
      <c r="AC667" t="n">
        <v>3</v>
      </c>
      <c r="AD667" t="n">
        <v>21</v>
      </c>
      <c r="AE667" t="n">
        <v>21</v>
      </c>
      <c r="AF667" t="n">
        <v>8</v>
      </c>
      <c r="AG667" t="n">
        <v>8</v>
      </c>
      <c r="AH667" t="n">
        <v>6</v>
      </c>
      <c r="AI667" t="n">
        <v>6</v>
      </c>
      <c r="AJ667" t="n">
        <v>11</v>
      </c>
      <c r="AK667" t="n">
        <v>11</v>
      </c>
      <c r="AL667" t="n">
        <v>2</v>
      </c>
      <c r="AM667" t="n">
        <v>2</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HYPERLINK("https://creighton-primo.hosted.exlibrisgroup.com/primo-explore/search?tab=default_tab&amp;search_scope=EVERYTHING&amp;vid=01CRU&amp;lang=en_US&amp;offset=0&amp;query=any,contains,991002922789702656","Catalog Record")</f>
        <v/>
      </c>
      <c r="AT667">
        <f>HYPERLINK("http://www.worldcat.org/oclc/38842168","WorldCat Record")</f>
        <v/>
      </c>
      <c r="AU667" t="inlineStr">
        <is>
          <t>35779826:eng</t>
        </is>
      </c>
      <c r="AV667" t="inlineStr">
        <is>
          <t>38842168</t>
        </is>
      </c>
      <c r="AW667" t="inlineStr">
        <is>
          <t>991002922789702656</t>
        </is>
      </c>
      <c r="AX667" t="inlineStr">
        <is>
          <t>991002922789702656</t>
        </is>
      </c>
      <c r="AY667" t="inlineStr">
        <is>
          <t>2256894780002656</t>
        </is>
      </c>
      <c r="AZ667" t="inlineStr">
        <is>
          <t>BOOK</t>
        </is>
      </c>
      <c r="BB667" t="inlineStr">
        <is>
          <t>9780262024495</t>
        </is>
      </c>
      <c r="BC667" t="inlineStr">
        <is>
          <t>32285003592895</t>
        </is>
      </c>
      <c r="BD667" t="inlineStr">
        <is>
          <t>893323534</t>
        </is>
      </c>
    </row>
    <row r="668">
      <c r="A668" t="inlineStr">
        <is>
          <t>No</t>
        </is>
      </c>
      <c r="B668" t="inlineStr">
        <is>
          <t>ND623.C26 D43</t>
        </is>
      </c>
      <c r="C668" t="inlineStr">
        <is>
          <t>0                      ND 0623000C  26                 D  43</t>
        </is>
      </c>
      <c r="D668" t="inlineStr">
        <is>
          <t>Caravaggio. [Translated by John Shepley]</t>
        </is>
      </c>
      <c r="F668" t="inlineStr">
        <is>
          <t>No</t>
        </is>
      </c>
      <c r="G668" t="inlineStr">
        <is>
          <t>1</t>
        </is>
      </c>
      <c r="H668" t="inlineStr">
        <is>
          <t>No</t>
        </is>
      </c>
      <c r="I668" t="inlineStr">
        <is>
          <t>No</t>
        </is>
      </c>
      <c r="J668" t="inlineStr">
        <is>
          <t>0</t>
        </is>
      </c>
      <c r="K668" t="inlineStr">
        <is>
          <t>Delogu, Giuseppe, 1898-1971.</t>
        </is>
      </c>
      <c r="L668" t="inlineStr">
        <is>
          <t>New York, H. N. Abrams [1964]</t>
        </is>
      </c>
      <c r="M668" t="inlineStr">
        <is>
          <t>1964</t>
        </is>
      </c>
      <c r="O668" t="inlineStr">
        <is>
          <t>eng</t>
        </is>
      </c>
      <c r="P668" t="inlineStr">
        <is>
          <t>nyu</t>
        </is>
      </c>
      <c r="R668" t="inlineStr">
        <is>
          <t xml:space="preserve">ND </t>
        </is>
      </c>
      <c r="S668" t="n">
        <v>5</v>
      </c>
      <c r="T668" t="n">
        <v>5</v>
      </c>
      <c r="U668" t="inlineStr">
        <is>
          <t>2003-11-07</t>
        </is>
      </c>
      <c r="V668" t="inlineStr">
        <is>
          <t>2003-11-07</t>
        </is>
      </c>
      <c r="W668" t="inlineStr">
        <is>
          <t>1997-07-30</t>
        </is>
      </c>
      <c r="X668" t="inlineStr">
        <is>
          <t>1997-07-30</t>
        </is>
      </c>
      <c r="Y668" t="n">
        <v>334</v>
      </c>
      <c r="Z668" t="n">
        <v>314</v>
      </c>
      <c r="AA668" t="n">
        <v>315</v>
      </c>
      <c r="AB668" t="n">
        <v>4</v>
      </c>
      <c r="AC668" t="n">
        <v>4</v>
      </c>
      <c r="AD668" t="n">
        <v>14</v>
      </c>
      <c r="AE668" t="n">
        <v>14</v>
      </c>
      <c r="AF668" t="n">
        <v>5</v>
      </c>
      <c r="AG668" t="n">
        <v>5</v>
      </c>
      <c r="AH668" t="n">
        <v>3</v>
      </c>
      <c r="AI668" t="n">
        <v>3</v>
      </c>
      <c r="AJ668" t="n">
        <v>6</v>
      </c>
      <c r="AK668" t="n">
        <v>6</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HYPERLINK("https://creighton-primo.hosted.exlibrisgroup.com/primo-explore/search?tab=default_tab&amp;search_scope=EVERYTHING&amp;vid=01CRU&amp;lang=en_US&amp;offset=0&amp;query=any,contains,991003658799702656","Catalog Record")</f>
        <v/>
      </c>
      <c r="AT668">
        <f>HYPERLINK("http://www.worldcat.org/oclc/1265245","WorldCat Record")</f>
        <v/>
      </c>
      <c r="AU668" t="inlineStr">
        <is>
          <t>2287408922:eng</t>
        </is>
      </c>
      <c r="AV668" t="inlineStr">
        <is>
          <t>1265245</t>
        </is>
      </c>
      <c r="AW668" t="inlineStr">
        <is>
          <t>991003658799702656</t>
        </is>
      </c>
      <c r="AX668" t="inlineStr">
        <is>
          <t>991003658799702656</t>
        </is>
      </c>
      <c r="AY668" t="inlineStr">
        <is>
          <t>2261674480002656</t>
        </is>
      </c>
      <c r="AZ668" t="inlineStr">
        <is>
          <t>BOOK</t>
        </is>
      </c>
      <c r="BC668" t="inlineStr">
        <is>
          <t>32285002968708</t>
        </is>
      </c>
      <c r="BD668" t="inlineStr">
        <is>
          <t>893240452</t>
        </is>
      </c>
    </row>
    <row r="669">
      <c r="A669" t="inlineStr">
        <is>
          <t>No</t>
        </is>
      </c>
      <c r="B669" t="inlineStr">
        <is>
          <t>ND623.C26 H44 1983</t>
        </is>
      </c>
      <c r="C669" t="inlineStr">
        <is>
          <t>0                      ND 0623000C  26                 H  44          1983</t>
        </is>
      </c>
      <c r="D669" t="inlineStr">
        <is>
          <t>Caravaggio / Howard Hibbard.</t>
        </is>
      </c>
      <c r="F669" t="inlineStr">
        <is>
          <t>No</t>
        </is>
      </c>
      <c r="G669" t="inlineStr">
        <is>
          <t>1</t>
        </is>
      </c>
      <c r="H669" t="inlineStr">
        <is>
          <t>No</t>
        </is>
      </c>
      <c r="I669" t="inlineStr">
        <is>
          <t>No</t>
        </is>
      </c>
      <c r="J669" t="inlineStr">
        <is>
          <t>0</t>
        </is>
      </c>
      <c r="K669" t="inlineStr">
        <is>
          <t>Hibbard, Howard, 1928-1984.</t>
        </is>
      </c>
      <c r="L669" t="inlineStr">
        <is>
          <t>New York : Harper &amp; Row, c1983.</t>
        </is>
      </c>
      <c r="M669" t="inlineStr">
        <is>
          <t>1983</t>
        </is>
      </c>
      <c r="N669" t="inlineStr">
        <is>
          <t>1st ed.</t>
        </is>
      </c>
      <c r="O669" t="inlineStr">
        <is>
          <t>eng</t>
        </is>
      </c>
      <c r="P669" t="inlineStr">
        <is>
          <t>nyu</t>
        </is>
      </c>
      <c r="Q669" t="inlineStr">
        <is>
          <t>Icon editions</t>
        </is>
      </c>
      <c r="R669" t="inlineStr">
        <is>
          <t xml:space="preserve">ND </t>
        </is>
      </c>
      <c r="S669" t="n">
        <v>7</v>
      </c>
      <c r="T669" t="n">
        <v>7</v>
      </c>
      <c r="U669" t="inlineStr">
        <is>
          <t>2003-11-07</t>
        </is>
      </c>
      <c r="V669" t="inlineStr">
        <is>
          <t>2003-11-07</t>
        </is>
      </c>
      <c r="W669" t="inlineStr">
        <is>
          <t>1993-05-24</t>
        </is>
      </c>
      <c r="X669" t="inlineStr">
        <is>
          <t>1993-05-24</t>
        </is>
      </c>
      <c r="Y669" t="n">
        <v>1041</v>
      </c>
      <c r="Z669" t="n">
        <v>919</v>
      </c>
      <c r="AA669" t="n">
        <v>1065</v>
      </c>
      <c r="AB669" t="n">
        <v>4</v>
      </c>
      <c r="AC669" t="n">
        <v>5</v>
      </c>
      <c r="AD669" t="n">
        <v>37</v>
      </c>
      <c r="AE669" t="n">
        <v>44</v>
      </c>
      <c r="AF669" t="n">
        <v>18</v>
      </c>
      <c r="AG669" t="n">
        <v>20</v>
      </c>
      <c r="AH669" t="n">
        <v>9</v>
      </c>
      <c r="AI669" t="n">
        <v>10</v>
      </c>
      <c r="AJ669" t="n">
        <v>17</v>
      </c>
      <c r="AK669" t="n">
        <v>21</v>
      </c>
      <c r="AL669" t="n">
        <v>3</v>
      </c>
      <c r="AM669" t="n">
        <v>4</v>
      </c>
      <c r="AN669" t="n">
        <v>0</v>
      </c>
      <c r="AO669" t="n">
        <v>0</v>
      </c>
      <c r="AP669" t="inlineStr">
        <is>
          <t>No</t>
        </is>
      </c>
      <c r="AQ669" t="inlineStr">
        <is>
          <t>Yes</t>
        </is>
      </c>
      <c r="AR669">
        <f>HYPERLINK("http://catalog.hathitrust.org/Record/000144406","HathiTrust Record")</f>
        <v/>
      </c>
      <c r="AS669">
        <f>HYPERLINK("https://creighton-primo.hosted.exlibrisgroup.com/primo-explore/search?tab=default_tab&amp;search_scope=EVERYTHING&amp;vid=01CRU&amp;lang=en_US&amp;offset=0&amp;query=any,contains,991005172029702656","Catalog Record")</f>
        <v/>
      </c>
      <c r="AT669">
        <f>HYPERLINK("http://www.worldcat.org/oclc/7875716","WorldCat Record")</f>
        <v/>
      </c>
      <c r="AU669" t="inlineStr">
        <is>
          <t>1909014430:eng</t>
        </is>
      </c>
      <c r="AV669" t="inlineStr">
        <is>
          <t>7875716</t>
        </is>
      </c>
      <c r="AW669" t="inlineStr">
        <is>
          <t>991005172029702656</t>
        </is>
      </c>
      <c r="AX669" t="inlineStr">
        <is>
          <t>991005172029702656</t>
        </is>
      </c>
      <c r="AY669" t="inlineStr">
        <is>
          <t>2267992980002656</t>
        </is>
      </c>
      <c r="AZ669" t="inlineStr">
        <is>
          <t>BOOK</t>
        </is>
      </c>
      <c r="BB669" t="inlineStr">
        <is>
          <t>9780064301282</t>
        </is>
      </c>
      <c r="BC669" t="inlineStr">
        <is>
          <t>32285001692424</t>
        </is>
      </c>
      <c r="BD669" t="inlineStr">
        <is>
          <t>893694860</t>
        </is>
      </c>
    </row>
    <row r="670">
      <c r="A670" t="inlineStr">
        <is>
          <t>No</t>
        </is>
      </c>
      <c r="B670" t="inlineStr">
        <is>
          <t>ND623.C26 M6</t>
        </is>
      </c>
      <c r="C670" t="inlineStr">
        <is>
          <t>0                      ND 0623000C  26                 M  6</t>
        </is>
      </c>
      <c r="D670" t="inlineStr">
        <is>
          <t>The Italian followers of Caravaggio.</t>
        </is>
      </c>
      <c r="E670" t="inlineStr">
        <is>
          <t>V.2</t>
        </is>
      </c>
      <c r="F670" t="inlineStr">
        <is>
          <t>Yes</t>
        </is>
      </c>
      <c r="G670" t="inlineStr">
        <is>
          <t>1</t>
        </is>
      </c>
      <c r="H670" t="inlineStr">
        <is>
          <t>No</t>
        </is>
      </c>
      <c r="I670" t="inlineStr">
        <is>
          <t>No</t>
        </is>
      </c>
      <c r="J670" t="inlineStr">
        <is>
          <t>0</t>
        </is>
      </c>
      <c r="K670" t="inlineStr">
        <is>
          <t>Moir, Alfred.</t>
        </is>
      </c>
      <c r="L670" t="inlineStr">
        <is>
          <t>Cambridge : Harvard University Press, 1967.</t>
        </is>
      </c>
      <c r="M670" t="inlineStr">
        <is>
          <t>1967</t>
        </is>
      </c>
      <c r="O670" t="inlineStr">
        <is>
          <t>eng</t>
        </is>
      </c>
      <c r="P670" t="inlineStr">
        <is>
          <t>mau</t>
        </is>
      </c>
      <c r="R670" t="inlineStr">
        <is>
          <t xml:space="preserve">ND </t>
        </is>
      </c>
      <c r="S670" t="n">
        <v>3</v>
      </c>
      <c r="T670" t="n">
        <v>6</v>
      </c>
      <c r="U670" t="inlineStr">
        <is>
          <t>1999-04-07</t>
        </is>
      </c>
      <c r="V670" t="inlineStr">
        <is>
          <t>1999-04-07</t>
        </is>
      </c>
      <c r="W670" t="inlineStr">
        <is>
          <t>1992-06-16</t>
        </is>
      </c>
      <c r="X670" t="inlineStr">
        <is>
          <t>1993-05-24</t>
        </is>
      </c>
      <c r="Y670" t="n">
        <v>700</v>
      </c>
      <c r="Z670" t="n">
        <v>587</v>
      </c>
      <c r="AA670" t="n">
        <v>590</v>
      </c>
      <c r="AB670" t="n">
        <v>5</v>
      </c>
      <c r="AC670" t="n">
        <v>5</v>
      </c>
      <c r="AD670" t="n">
        <v>26</v>
      </c>
      <c r="AE670" t="n">
        <v>26</v>
      </c>
      <c r="AF670" t="n">
        <v>7</v>
      </c>
      <c r="AG670" t="n">
        <v>7</v>
      </c>
      <c r="AH670" t="n">
        <v>7</v>
      </c>
      <c r="AI670" t="n">
        <v>7</v>
      </c>
      <c r="AJ670" t="n">
        <v>14</v>
      </c>
      <c r="AK670" t="n">
        <v>14</v>
      </c>
      <c r="AL670" t="n">
        <v>4</v>
      </c>
      <c r="AM670" t="n">
        <v>4</v>
      </c>
      <c r="AN670" t="n">
        <v>0</v>
      </c>
      <c r="AO670" t="n">
        <v>0</v>
      </c>
      <c r="AP670" t="inlineStr">
        <is>
          <t>No</t>
        </is>
      </c>
      <c r="AQ670" t="inlineStr">
        <is>
          <t>Yes</t>
        </is>
      </c>
      <c r="AR670">
        <f>HYPERLINK("http://catalog.hathitrust.org/Record/000463025","HathiTrust Record")</f>
        <v/>
      </c>
      <c r="AS670">
        <f>HYPERLINK("https://creighton-primo.hosted.exlibrisgroup.com/primo-explore/search?tab=default_tab&amp;search_scope=EVERYTHING&amp;vid=01CRU&amp;lang=en_US&amp;offset=0&amp;query=any,contains,991002567209702656","Catalog Record")</f>
        <v/>
      </c>
      <c r="AT670">
        <f>HYPERLINK("http://www.worldcat.org/oclc/372830","WorldCat Record")</f>
        <v/>
      </c>
      <c r="AU670" t="inlineStr">
        <is>
          <t>1453821:eng</t>
        </is>
      </c>
      <c r="AV670" t="inlineStr">
        <is>
          <t>372830</t>
        </is>
      </c>
      <c r="AW670" t="inlineStr">
        <is>
          <t>991002567209702656</t>
        </is>
      </c>
      <c r="AX670" t="inlineStr">
        <is>
          <t>991002567209702656</t>
        </is>
      </c>
      <c r="AY670" t="inlineStr">
        <is>
          <t>2261634080002656</t>
        </is>
      </c>
      <c r="AZ670" t="inlineStr">
        <is>
          <t>BOOK</t>
        </is>
      </c>
      <c r="BC670" t="inlineStr">
        <is>
          <t>32285001131647</t>
        </is>
      </c>
      <c r="BD670" t="inlineStr">
        <is>
          <t>893704224</t>
        </is>
      </c>
    </row>
    <row r="671">
      <c r="A671" t="inlineStr">
        <is>
          <t>No</t>
        </is>
      </c>
      <c r="B671" t="inlineStr">
        <is>
          <t>ND623.C26 M6</t>
        </is>
      </c>
      <c r="C671" t="inlineStr">
        <is>
          <t>0                      ND 0623000C  26                 M  6</t>
        </is>
      </c>
      <c r="D671" t="inlineStr">
        <is>
          <t>The Italian followers of Caravaggio.</t>
        </is>
      </c>
      <c r="E671" t="inlineStr">
        <is>
          <t>V.1</t>
        </is>
      </c>
      <c r="F671" t="inlineStr">
        <is>
          <t>Yes</t>
        </is>
      </c>
      <c r="G671" t="inlineStr">
        <is>
          <t>1</t>
        </is>
      </c>
      <c r="H671" t="inlineStr">
        <is>
          <t>No</t>
        </is>
      </c>
      <c r="I671" t="inlineStr">
        <is>
          <t>No</t>
        </is>
      </c>
      <c r="J671" t="inlineStr">
        <is>
          <t>0</t>
        </is>
      </c>
      <c r="K671" t="inlineStr">
        <is>
          <t>Moir, Alfred.</t>
        </is>
      </c>
      <c r="L671" t="inlineStr">
        <is>
          <t>Cambridge : Harvard University Press, 1967.</t>
        </is>
      </c>
      <c r="M671" t="inlineStr">
        <is>
          <t>1967</t>
        </is>
      </c>
      <c r="O671" t="inlineStr">
        <is>
          <t>eng</t>
        </is>
      </c>
      <c r="P671" t="inlineStr">
        <is>
          <t>mau</t>
        </is>
      </c>
      <c r="R671" t="inlineStr">
        <is>
          <t xml:space="preserve">ND </t>
        </is>
      </c>
      <c r="S671" t="n">
        <v>3</v>
      </c>
      <c r="T671" t="n">
        <v>6</v>
      </c>
      <c r="U671" t="inlineStr">
        <is>
          <t>1999-04-07</t>
        </is>
      </c>
      <c r="V671" t="inlineStr">
        <is>
          <t>1999-04-07</t>
        </is>
      </c>
      <c r="W671" t="inlineStr">
        <is>
          <t>1993-05-24</t>
        </is>
      </c>
      <c r="X671" t="inlineStr">
        <is>
          <t>1993-05-24</t>
        </is>
      </c>
      <c r="Y671" t="n">
        <v>700</v>
      </c>
      <c r="Z671" t="n">
        <v>587</v>
      </c>
      <c r="AA671" t="n">
        <v>590</v>
      </c>
      <c r="AB671" t="n">
        <v>5</v>
      </c>
      <c r="AC671" t="n">
        <v>5</v>
      </c>
      <c r="AD671" t="n">
        <v>26</v>
      </c>
      <c r="AE671" t="n">
        <v>26</v>
      </c>
      <c r="AF671" t="n">
        <v>7</v>
      </c>
      <c r="AG671" t="n">
        <v>7</v>
      </c>
      <c r="AH671" t="n">
        <v>7</v>
      </c>
      <c r="AI671" t="n">
        <v>7</v>
      </c>
      <c r="AJ671" t="n">
        <v>14</v>
      </c>
      <c r="AK671" t="n">
        <v>14</v>
      </c>
      <c r="AL671" t="n">
        <v>4</v>
      </c>
      <c r="AM671" t="n">
        <v>4</v>
      </c>
      <c r="AN671" t="n">
        <v>0</v>
      </c>
      <c r="AO671" t="n">
        <v>0</v>
      </c>
      <c r="AP671" t="inlineStr">
        <is>
          <t>No</t>
        </is>
      </c>
      <c r="AQ671" t="inlineStr">
        <is>
          <t>Yes</t>
        </is>
      </c>
      <c r="AR671">
        <f>HYPERLINK("http://catalog.hathitrust.org/Record/000463025","HathiTrust Record")</f>
        <v/>
      </c>
      <c r="AS671">
        <f>HYPERLINK("https://creighton-primo.hosted.exlibrisgroup.com/primo-explore/search?tab=default_tab&amp;search_scope=EVERYTHING&amp;vid=01CRU&amp;lang=en_US&amp;offset=0&amp;query=any,contains,991002567209702656","Catalog Record")</f>
        <v/>
      </c>
      <c r="AT671">
        <f>HYPERLINK("http://www.worldcat.org/oclc/372830","WorldCat Record")</f>
        <v/>
      </c>
      <c r="AU671" t="inlineStr">
        <is>
          <t>1453821:eng</t>
        </is>
      </c>
      <c r="AV671" t="inlineStr">
        <is>
          <t>372830</t>
        </is>
      </c>
      <c r="AW671" t="inlineStr">
        <is>
          <t>991002567209702656</t>
        </is>
      </c>
      <c r="AX671" t="inlineStr">
        <is>
          <t>991002567209702656</t>
        </is>
      </c>
      <c r="AY671" t="inlineStr">
        <is>
          <t>2261634080002656</t>
        </is>
      </c>
      <c r="AZ671" t="inlineStr">
        <is>
          <t>BOOK</t>
        </is>
      </c>
      <c r="BC671" t="inlineStr">
        <is>
          <t>32285001692432</t>
        </is>
      </c>
      <c r="BD671" t="inlineStr">
        <is>
          <t>893691745</t>
        </is>
      </c>
    </row>
    <row r="672">
      <c r="A672" t="inlineStr">
        <is>
          <t>No</t>
        </is>
      </c>
      <c r="B672" t="inlineStr">
        <is>
          <t>ND623.C3 P53</t>
        </is>
      </c>
      <c r="C672" t="inlineStr">
        <is>
          <t>0                      ND 0623000C  3                  P  53</t>
        </is>
      </c>
      <c r="D672" t="inlineStr">
        <is>
          <t>Carpaccio: biographical and critical study. Translated from the Italian by James Emmons.</t>
        </is>
      </c>
      <c r="F672" t="inlineStr">
        <is>
          <t>No</t>
        </is>
      </c>
      <c r="G672" t="inlineStr">
        <is>
          <t>1</t>
        </is>
      </c>
      <c r="H672" t="inlineStr">
        <is>
          <t>No</t>
        </is>
      </c>
      <c r="I672" t="inlineStr">
        <is>
          <t>No</t>
        </is>
      </c>
      <c r="J672" t="inlineStr">
        <is>
          <t>0</t>
        </is>
      </c>
      <c r="K672" t="inlineStr">
        <is>
          <t>Pignatti, Terisio, 1920-2004.</t>
        </is>
      </c>
      <c r="L672" t="inlineStr">
        <is>
          <t>[New York] Skira [1958]</t>
        </is>
      </c>
      <c r="M672" t="inlineStr">
        <is>
          <t>1958</t>
        </is>
      </c>
      <c r="O672" t="inlineStr">
        <is>
          <t>eng</t>
        </is>
      </c>
      <c r="P672" t="inlineStr">
        <is>
          <t>nyu</t>
        </is>
      </c>
      <c r="Q672" t="inlineStr">
        <is>
          <t>The Taste of our time, 24</t>
        </is>
      </c>
      <c r="R672" t="inlineStr">
        <is>
          <t xml:space="preserve">ND </t>
        </is>
      </c>
      <c r="S672" t="n">
        <v>3</v>
      </c>
      <c r="T672" t="n">
        <v>3</v>
      </c>
      <c r="U672" t="inlineStr">
        <is>
          <t>1999-04-11</t>
        </is>
      </c>
      <c r="V672" t="inlineStr">
        <is>
          <t>1999-04-11</t>
        </is>
      </c>
      <c r="W672" t="inlineStr">
        <is>
          <t>1997-07-30</t>
        </is>
      </c>
      <c r="X672" t="inlineStr">
        <is>
          <t>1997-07-30</t>
        </is>
      </c>
      <c r="Y672" t="n">
        <v>851</v>
      </c>
      <c r="Z672" t="n">
        <v>774</v>
      </c>
      <c r="AA672" t="n">
        <v>782</v>
      </c>
      <c r="AB672" t="n">
        <v>6</v>
      </c>
      <c r="AC672" t="n">
        <v>6</v>
      </c>
      <c r="AD672" t="n">
        <v>31</v>
      </c>
      <c r="AE672" t="n">
        <v>31</v>
      </c>
      <c r="AF672" t="n">
        <v>13</v>
      </c>
      <c r="AG672" t="n">
        <v>13</v>
      </c>
      <c r="AH672" t="n">
        <v>8</v>
      </c>
      <c r="AI672" t="n">
        <v>8</v>
      </c>
      <c r="AJ672" t="n">
        <v>13</v>
      </c>
      <c r="AK672" t="n">
        <v>13</v>
      </c>
      <c r="AL672" t="n">
        <v>4</v>
      </c>
      <c r="AM672" t="n">
        <v>4</v>
      </c>
      <c r="AN672" t="n">
        <v>0</v>
      </c>
      <c r="AO672" t="n">
        <v>0</v>
      </c>
      <c r="AP672" t="inlineStr">
        <is>
          <t>No</t>
        </is>
      </c>
      <c r="AQ672" t="inlineStr">
        <is>
          <t>Yes</t>
        </is>
      </c>
      <c r="AR672">
        <f>HYPERLINK("http://catalog.hathitrust.org/Record/000572671","HathiTrust Record")</f>
        <v/>
      </c>
      <c r="AS672">
        <f>HYPERLINK("https://creighton-primo.hosted.exlibrisgroup.com/primo-explore/search?tab=default_tab&amp;search_scope=EVERYTHING&amp;vid=01CRU&amp;lang=en_US&amp;offset=0&amp;query=any,contains,991002902999702656","Catalog Record")</f>
        <v/>
      </c>
      <c r="AT672">
        <f>HYPERLINK("http://www.worldcat.org/oclc/518113","WorldCat Record")</f>
        <v/>
      </c>
      <c r="AU672" t="inlineStr">
        <is>
          <t>4757824283:eng</t>
        </is>
      </c>
      <c r="AV672" t="inlineStr">
        <is>
          <t>518113</t>
        </is>
      </c>
      <c r="AW672" t="inlineStr">
        <is>
          <t>991002902999702656</t>
        </is>
      </c>
      <c r="AX672" t="inlineStr">
        <is>
          <t>991002902999702656</t>
        </is>
      </c>
      <c r="AY672" t="inlineStr">
        <is>
          <t>2255777100002656</t>
        </is>
      </c>
      <c r="AZ672" t="inlineStr">
        <is>
          <t>BOOK</t>
        </is>
      </c>
      <c r="BC672" t="inlineStr">
        <is>
          <t>32285002968716</t>
        </is>
      </c>
      <c r="BD672" t="inlineStr">
        <is>
          <t>893793084</t>
        </is>
      </c>
    </row>
    <row r="673">
      <c r="A673" t="inlineStr">
        <is>
          <t>No</t>
        </is>
      </c>
      <c r="B673" t="inlineStr">
        <is>
          <t>ND623.C485 B413 1972a</t>
        </is>
      </c>
      <c r="C673" t="inlineStr">
        <is>
          <t>0                      ND 0623000C  485                B  413         1972a</t>
        </is>
      </c>
      <c r="D673" t="inlineStr">
        <is>
          <t>Giuseppe Castiglione : a Jesuit painter at the court of the Chinese emperors / by Cécile and Michel Beurdeley ; translated [from the French] by Michael Bullock.</t>
        </is>
      </c>
      <c r="F673" t="inlineStr">
        <is>
          <t>No</t>
        </is>
      </c>
      <c r="G673" t="inlineStr">
        <is>
          <t>1</t>
        </is>
      </c>
      <c r="H673" t="inlineStr">
        <is>
          <t>No</t>
        </is>
      </c>
      <c r="I673" t="inlineStr">
        <is>
          <t>No</t>
        </is>
      </c>
      <c r="J673" t="inlineStr">
        <is>
          <t>0</t>
        </is>
      </c>
      <c r="K673" t="inlineStr">
        <is>
          <t>Beurdeley, Cécile.</t>
        </is>
      </c>
      <c r="L673" t="inlineStr">
        <is>
          <t>London : Lund Humphries, 1972.</t>
        </is>
      </c>
      <c r="M673" t="inlineStr">
        <is>
          <t>1972</t>
        </is>
      </c>
      <c r="O673" t="inlineStr">
        <is>
          <t>eng</t>
        </is>
      </c>
      <c r="P673" t="inlineStr">
        <is>
          <t>enk</t>
        </is>
      </c>
      <c r="R673" t="inlineStr">
        <is>
          <t xml:space="preserve">ND </t>
        </is>
      </c>
      <c r="S673" t="n">
        <v>5</v>
      </c>
      <c r="T673" t="n">
        <v>5</v>
      </c>
      <c r="U673" t="inlineStr">
        <is>
          <t>2007-12-04</t>
        </is>
      </c>
      <c r="V673" t="inlineStr">
        <is>
          <t>2007-12-04</t>
        </is>
      </c>
      <c r="W673" t="inlineStr">
        <is>
          <t>1997-07-30</t>
        </is>
      </c>
      <c r="X673" t="inlineStr">
        <is>
          <t>1997-07-30</t>
        </is>
      </c>
      <c r="Y673" t="n">
        <v>93</v>
      </c>
      <c r="Z673" t="n">
        <v>38</v>
      </c>
      <c r="AA673" t="n">
        <v>362</v>
      </c>
      <c r="AB673" t="n">
        <v>1</v>
      </c>
      <c r="AC673" t="n">
        <v>2</v>
      </c>
      <c r="AD673" t="n">
        <v>3</v>
      </c>
      <c r="AE673" t="n">
        <v>26</v>
      </c>
      <c r="AF673" t="n">
        <v>0</v>
      </c>
      <c r="AG673" t="n">
        <v>8</v>
      </c>
      <c r="AH673" t="n">
        <v>2</v>
      </c>
      <c r="AI673" t="n">
        <v>6</v>
      </c>
      <c r="AJ673" t="n">
        <v>1</v>
      </c>
      <c r="AK673" t="n">
        <v>21</v>
      </c>
      <c r="AL673" t="n">
        <v>0</v>
      </c>
      <c r="AM673" t="n">
        <v>1</v>
      </c>
      <c r="AN673" t="n">
        <v>0</v>
      </c>
      <c r="AO673" t="n">
        <v>0</v>
      </c>
      <c r="AP673" t="inlineStr">
        <is>
          <t>No</t>
        </is>
      </c>
      <c r="AQ673" t="inlineStr">
        <is>
          <t>Yes</t>
        </is>
      </c>
      <c r="AR673">
        <f>HYPERLINK("http://catalog.hathitrust.org/Record/008546170","HathiTrust Record")</f>
        <v/>
      </c>
      <c r="AS673">
        <f>HYPERLINK("https://creighton-primo.hosted.exlibrisgroup.com/primo-explore/search?tab=default_tab&amp;search_scope=EVERYTHING&amp;vid=01CRU&amp;lang=en_US&amp;offset=0&amp;query=any,contains,991004119439702656","Catalog Record")</f>
        <v/>
      </c>
      <c r="AT673">
        <f>HYPERLINK("http://www.worldcat.org/oclc/2424099","WorldCat Record")</f>
        <v/>
      </c>
      <c r="AU673" t="inlineStr">
        <is>
          <t>346487936:eng</t>
        </is>
      </c>
      <c r="AV673" t="inlineStr">
        <is>
          <t>2424099</t>
        </is>
      </c>
      <c r="AW673" t="inlineStr">
        <is>
          <t>991004119439702656</t>
        </is>
      </c>
      <c r="AX673" t="inlineStr">
        <is>
          <t>991004119439702656</t>
        </is>
      </c>
      <c r="AY673" t="inlineStr">
        <is>
          <t>2265030930002656</t>
        </is>
      </c>
      <c r="AZ673" t="inlineStr">
        <is>
          <t>BOOK</t>
        </is>
      </c>
      <c r="BB673" t="inlineStr">
        <is>
          <t>9780853312970</t>
        </is>
      </c>
      <c r="BC673" t="inlineStr">
        <is>
          <t>32285002968740</t>
        </is>
      </c>
      <c r="BD673" t="inlineStr">
        <is>
          <t>893775639</t>
        </is>
      </c>
    </row>
    <row r="674">
      <c r="A674" t="inlineStr">
        <is>
          <t>No</t>
        </is>
      </c>
      <c r="B674" t="inlineStr">
        <is>
          <t>ND623.C9 R8</t>
        </is>
      </c>
      <c r="C674" t="inlineStr">
        <is>
          <t>0                      ND 0623000C  9                  R  8</t>
        </is>
      </c>
      <c r="D674" t="inlineStr">
        <is>
          <t>Carlo Crivelli / by G. M'Neil Rushforth.</t>
        </is>
      </c>
      <c r="F674" t="inlineStr">
        <is>
          <t>No</t>
        </is>
      </c>
      <c r="G674" t="inlineStr">
        <is>
          <t>1</t>
        </is>
      </c>
      <c r="H674" t="inlineStr">
        <is>
          <t>No</t>
        </is>
      </c>
      <c r="I674" t="inlineStr">
        <is>
          <t>No</t>
        </is>
      </c>
      <c r="J674" t="inlineStr">
        <is>
          <t>0</t>
        </is>
      </c>
      <c r="K674" t="inlineStr">
        <is>
          <t>Rushforth, G. McN. (Gordon McNeil), 1862-1938.</t>
        </is>
      </c>
      <c r="L674" t="inlineStr">
        <is>
          <t>London : G. Bell &amp; sons, 1900.</t>
        </is>
      </c>
      <c r="M674" t="inlineStr">
        <is>
          <t>1900</t>
        </is>
      </c>
      <c r="O674" t="inlineStr">
        <is>
          <t>eng</t>
        </is>
      </c>
      <c r="P674" t="inlineStr">
        <is>
          <t xml:space="preserve">xx </t>
        </is>
      </c>
      <c r="Q674" t="inlineStr">
        <is>
          <t>[The Great masters in painting and sculpture]</t>
        </is>
      </c>
      <c r="R674" t="inlineStr">
        <is>
          <t xml:space="preserve">ND </t>
        </is>
      </c>
      <c r="S674" t="n">
        <v>3</v>
      </c>
      <c r="T674" t="n">
        <v>3</v>
      </c>
      <c r="U674" t="inlineStr">
        <is>
          <t>1999-04-11</t>
        </is>
      </c>
      <c r="V674" t="inlineStr">
        <is>
          <t>1999-04-11</t>
        </is>
      </c>
      <c r="W674" t="inlineStr">
        <is>
          <t>1994-12-16</t>
        </is>
      </c>
      <c r="X674" t="inlineStr">
        <is>
          <t>1994-12-16</t>
        </is>
      </c>
      <c r="Y674" t="n">
        <v>154</v>
      </c>
      <c r="Z674" t="n">
        <v>119</v>
      </c>
      <c r="AA674" t="n">
        <v>165</v>
      </c>
      <c r="AB674" t="n">
        <v>1</v>
      </c>
      <c r="AC674" t="n">
        <v>2</v>
      </c>
      <c r="AD674" t="n">
        <v>4</v>
      </c>
      <c r="AE674" t="n">
        <v>6</v>
      </c>
      <c r="AF674" t="n">
        <v>0</v>
      </c>
      <c r="AG674" t="n">
        <v>0</v>
      </c>
      <c r="AH674" t="n">
        <v>0</v>
      </c>
      <c r="AI674" t="n">
        <v>1</v>
      </c>
      <c r="AJ674" t="n">
        <v>4</v>
      </c>
      <c r="AK674" t="n">
        <v>4</v>
      </c>
      <c r="AL674" t="n">
        <v>0</v>
      </c>
      <c r="AM674" t="n">
        <v>1</v>
      </c>
      <c r="AN674" t="n">
        <v>0</v>
      </c>
      <c r="AO674" t="n">
        <v>0</v>
      </c>
      <c r="AP674" t="inlineStr">
        <is>
          <t>Yes</t>
        </is>
      </c>
      <c r="AQ674" t="inlineStr">
        <is>
          <t>No</t>
        </is>
      </c>
      <c r="AR674">
        <f>HYPERLINK("http://catalog.hathitrust.org/Record/007671315","HathiTrust Record")</f>
        <v/>
      </c>
      <c r="AS674">
        <f>HYPERLINK("https://creighton-primo.hosted.exlibrisgroup.com/primo-explore/search?tab=default_tab&amp;search_scope=EVERYTHING&amp;vid=01CRU&amp;lang=en_US&amp;offset=0&amp;query=any,contains,991004002839702656","Catalog Record")</f>
        <v/>
      </c>
      <c r="AT674">
        <f>HYPERLINK("http://www.worldcat.org/oclc/2076421","WorldCat Record")</f>
        <v/>
      </c>
      <c r="AU674" t="inlineStr">
        <is>
          <t>4063908:eng</t>
        </is>
      </c>
      <c r="AV674" t="inlineStr">
        <is>
          <t>2076421</t>
        </is>
      </c>
      <c r="AW674" t="inlineStr">
        <is>
          <t>991004002839702656</t>
        </is>
      </c>
      <c r="AX674" t="inlineStr">
        <is>
          <t>991004002839702656</t>
        </is>
      </c>
      <c r="AY674" t="inlineStr">
        <is>
          <t>2263138410002656</t>
        </is>
      </c>
      <c r="AZ674" t="inlineStr">
        <is>
          <t>BOOK</t>
        </is>
      </c>
      <c r="BC674" t="inlineStr">
        <is>
          <t>32285001983773</t>
        </is>
      </c>
      <c r="BD674" t="inlineStr">
        <is>
          <t>893531865</t>
        </is>
      </c>
    </row>
    <row r="675">
      <c r="A675" t="inlineStr">
        <is>
          <t>No</t>
        </is>
      </c>
      <c r="B675" t="inlineStr">
        <is>
          <t>ND623.F5 P65 1952a</t>
        </is>
      </c>
      <c r="C675" t="inlineStr">
        <is>
          <t>0                      ND 0623000F  5                  P  65          1952a</t>
        </is>
      </c>
      <c r="D675" t="inlineStr">
        <is>
          <t>Fra Angelico / by John Pope-Hennessy.</t>
        </is>
      </c>
      <c r="F675" t="inlineStr">
        <is>
          <t>No</t>
        </is>
      </c>
      <c r="G675" t="inlineStr">
        <is>
          <t>1</t>
        </is>
      </c>
      <c r="H675" t="inlineStr">
        <is>
          <t>No</t>
        </is>
      </c>
      <c r="I675" t="inlineStr">
        <is>
          <t>No</t>
        </is>
      </c>
      <c r="J675" t="inlineStr">
        <is>
          <t>0</t>
        </is>
      </c>
      <c r="K675" t="inlineStr">
        <is>
          <t>Angelico, fra, approximately 1400-1455.</t>
        </is>
      </c>
      <c r="L675" t="inlineStr">
        <is>
          <t>London, Phaidon Press, 1952.</t>
        </is>
      </c>
      <c r="M675" t="inlineStr">
        <is>
          <t>1952</t>
        </is>
      </c>
      <c r="O675" t="inlineStr">
        <is>
          <t>eng</t>
        </is>
      </c>
      <c r="P675" t="inlineStr">
        <is>
          <t>enk</t>
        </is>
      </c>
      <c r="R675" t="inlineStr">
        <is>
          <t xml:space="preserve">ND </t>
        </is>
      </c>
      <c r="S675" t="n">
        <v>2</v>
      </c>
      <c r="T675" t="n">
        <v>2</v>
      </c>
      <c r="U675" t="inlineStr">
        <is>
          <t>1997-12-06</t>
        </is>
      </c>
      <c r="V675" t="inlineStr">
        <is>
          <t>1997-12-06</t>
        </is>
      </c>
      <c r="W675" t="inlineStr">
        <is>
          <t>1997-05-28</t>
        </is>
      </c>
      <c r="X675" t="inlineStr">
        <is>
          <t>1997-05-28</t>
        </is>
      </c>
      <c r="Y675" t="n">
        <v>330</v>
      </c>
      <c r="Z675" t="n">
        <v>216</v>
      </c>
      <c r="AA675" t="n">
        <v>446</v>
      </c>
      <c r="AB675" t="n">
        <v>2</v>
      </c>
      <c r="AC675" t="n">
        <v>3</v>
      </c>
      <c r="AD675" t="n">
        <v>6</v>
      </c>
      <c r="AE675" t="n">
        <v>15</v>
      </c>
      <c r="AF675" t="n">
        <v>2</v>
      </c>
      <c r="AG675" t="n">
        <v>3</v>
      </c>
      <c r="AH675" t="n">
        <v>0</v>
      </c>
      <c r="AI675" t="n">
        <v>3</v>
      </c>
      <c r="AJ675" t="n">
        <v>3</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HYPERLINK("https://creighton-primo.hosted.exlibrisgroup.com/primo-explore/search?tab=default_tab&amp;search_scope=EVERYTHING&amp;vid=01CRU&amp;lang=en_US&amp;offset=0&amp;query=any,contains,991002096709702656","Catalog Record")</f>
        <v/>
      </c>
      <c r="AT675">
        <f>HYPERLINK("http://www.worldcat.org/oclc/265831","WorldCat Record")</f>
        <v/>
      </c>
      <c r="AU675" t="inlineStr">
        <is>
          <t>10567986392:eng</t>
        </is>
      </c>
      <c r="AV675" t="inlineStr">
        <is>
          <t>265831</t>
        </is>
      </c>
      <c r="AW675" t="inlineStr">
        <is>
          <t>991002096709702656</t>
        </is>
      </c>
      <c r="AX675" t="inlineStr">
        <is>
          <t>991002096709702656</t>
        </is>
      </c>
      <c r="AY675" t="inlineStr">
        <is>
          <t>2267753190002656</t>
        </is>
      </c>
      <c r="AZ675" t="inlineStr">
        <is>
          <t>BOOK</t>
        </is>
      </c>
      <c r="BC675" t="inlineStr">
        <is>
          <t>32285002698529</t>
        </is>
      </c>
      <c r="BD675" t="inlineStr">
        <is>
          <t>893709861</t>
        </is>
      </c>
    </row>
    <row r="676">
      <c r="A676" t="inlineStr">
        <is>
          <t>No</t>
        </is>
      </c>
      <c r="B676" t="inlineStr">
        <is>
          <t>ND623.F78 C6 1969</t>
        </is>
      </c>
      <c r="C676" t="inlineStr">
        <is>
          <t>0                      ND 0623000F  78                 C  6           1969</t>
        </is>
      </c>
      <c r="D676" t="inlineStr">
        <is>
          <t>Piero della Francesca / complete edition [by] Kenneth Clark.</t>
        </is>
      </c>
      <c r="F676" t="inlineStr">
        <is>
          <t>No</t>
        </is>
      </c>
      <c r="G676" t="inlineStr">
        <is>
          <t>1</t>
        </is>
      </c>
      <c r="H676" t="inlineStr">
        <is>
          <t>No</t>
        </is>
      </c>
      <c r="I676" t="inlineStr">
        <is>
          <t>No</t>
        </is>
      </c>
      <c r="J676" t="inlineStr">
        <is>
          <t>0</t>
        </is>
      </c>
      <c r="K676" t="inlineStr">
        <is>
          <t>Clark, Kenneth, 1903-1983.</t>
        </is>
      </c>
      <c r="L676" t="inlineStr">
        <is>
          <t>London ; New York : Phaidon, [1969.]</t>
        </is>
      </c>
      <c r="M676" t="inlineStr">
        <is>
          <t>1969</t>
        </is>
      </c>
      <c r="N676" t="inlineStr">
        <is>
          <t>[2nd. ed., revised.]</t>
        </is>
      </c>
      <c r="O676" t="inlineStr">
        <is>
          <t>eng</t>
        </is>
      </c>
      <c r="P676" t="inlineStr">
        <is>
          <t>enk</t>
        </is>
      </c>
      <c r="R676" t="inlineStr">
        <is>
          <t xml:space="preserve">ND </t>
        </is>
      </c>
      <c r="S676" t="n">
        <v>5</v>
      </c>
      <c r="T676" t="n">
        <v>5</v>
      </c>
      <c r="U676" t="inlineStr">
        <is>
          <t>1997-12-06</t>
        </is>
      </c>
      <c r="V676" t="inlineStr">
        <is>
          <t>1997-12-06</t>
        </is>
      </c>
      <c r="W676" t="inlineStr">
        <is>
          <t>1991-10-25</t>
        </is>
      </c>
      <c r="X676" t="inlineStr">
        <is>
          <t>1991-10-25</t>
        </is>
      </c>
      <c r="Y676" t="n">
        <v>751</v>
      </c>
      <c r="Z676" t="n">
        <v>601</v>
      </c>
      <c r="AA676" t="n">
        <v>605</v>
      </c>
      <c r="AB676" t="n">
        <v>4</v>
      </c>
      <c r="AC676" t="n">
        <v>4</v>
      </c>
      <c r="AD676" t="n">
        <v>22</v>
      </c>
      <c r="AE676" t="n">
        <v>22</v>
      </c>
      <c r="AF676" t="n">
        <v>8</v>
      </c>
      <c r="AG676" t="n">
        <v>8</v>
      </c>
      <c r="AH676" t="n">
        <v>5</v>
      </c>
      <c r="AI676" t="n">
        <v>5</v>
      </c>
      <c r="AJ676" t="n">
        <v>13</v>
      </c>
      <c r="AK676" t="n">
        <v>13</v>
      </c>
      <c r="AL676" t="n">
        <v>2</v>
      </c>
      <c r="AM676" t="n">
        <v>2</v>
      </c>
      <c r="AN676" t="n">
        <v>0</v>
      </c>
      <c r="AO676" t="n">
        <v>0</v>
      </c>
      <c r="AP676" t="inlineStr">
        <is>
          <t>No</t>
        </is>
      </c>
      <c r="AQ676" t="inlineStr">
        <is>
          <t>Yes</t>
        </is>
      </c>
      <c r="AR676">
        <f>HYPERLINK("http://catalog.hathitrust.org/Record/000463424","HathiTrust Record")</f>
        <v/>
      </c>
      <c r="AS676">
        <f>HYPERLINK("https://creighton-primo.hosted.exlibrisgroup.com/primo-explore/search?tab=default_tab&amp;search_scope=EVERYTHING&amp;vid=01CRU&amp;lang=en_US&amp;offset=0&amp;query=any,contains,991000135779702656","Catalog Record")</f>
        <v/>
      </c>
      <c r="AT676">
        <f>HYPERLINK("http://www.worldcat.org/oclc/56190","WorldCat Record")</f>
        <v/>
      </c>
      <c r="AU676" t="inlineStr">
        <is>
          <t>9187559003:eng</t>
        </is>
      </c>
      <c r="AV676" t="inlineStr">
        <is>
          <t>56190</t>
        </is>
      </c>
      <c r="AW676" t="inlineStr">
        <is>
          <t>991000135779702656</t>
        </is>
      </c>
      <c r="AX676" t="inlineStr">
        <is>
          <t>991000135779702656</t>
        </is>
      </c>
      <c r="AY676" t="inlineStr">
        <is>
          <t>2261150040002656</t>
        </is>
      </c>
      <c r="AZ676" t="inlineStr">
        <is>
          <t>BOOK</t>
        </is>
      </c>
      <c r="BC676" t="inlineStr">
        <is>
          <t>32285000800200</t>
        </is>
      </c>
      <c r="BD676" t="inlineStr">
        <is>
          <t>893695621</t>
        </is>
      </c>
    </row>
    <row r="677">
      <c r="A677" t="inlineStr">
        <is>
          <t>No</t>
        </is>
      </c>
      <c r="B677" t="inlineStr">
        <is>
          <t>ND623.F78 V4</t>
        </is>
      </c>
      <c r="C677" t="inlineStr">
        <is>
          <t>0                      ND 0623000F  78                 V  4</t>
        </is>
      </c>
      <c r="D677" t="inlineStr">
        <is>
          <t>Piero della Francesca : biographical and critical studies / By Lionello Venturi. Translated by James Emmons.</t>
        </is>
      </c>
      <c r="F677" t="inlineStr">
        <is>
          <t>No</t>
        </is>
      </c>
      <c r="G677" t="inlineStr">
        <is>
          <t>1</t>
        </is>
      </c>
      <c r="H677" t="inlineStr">
        <is>
          <t>No</t>
        </is>
      </c>
      <c r="I677" t="inlineStr">
        <is>
          <t>No</t>
        </is>
      </c>
      <c r="J677" t="inlineStr">
        <is>
          <t>0</t>
        </is>
      </c>
      <c r="K677" t="inlineStr">
        <is>
          <t>Venturi, Lionello, 1885-1961.</t>
        </is>
      </c>
      <c r="L677" t="inlineStr">
        <is>
          <t>Geneva : Skira, c1959.</t>
        </is>
      </c>
      <c r="M677" t="inlineStr">
        <is>
          <t>1959</t>
        </is>
      </c>
      <c r="O677" t="inlineStr">
        <is>
          <t>eng</t>
        </is>
      </c>
      <c r="P677" t="inlineStr">
        <is>
          <t xml:space="preserve">sz </t>
        </is>
      </c>
      <c r="Q677" t="inlineStr">
        <is>
          <t>The taste of our time ; v. 6</t>
        </is>
      </c>
      <c r="R677" t="inlineStr">
        <is>
          <t xml:space="preserve">ND </t>
        </is>
      </c>
      <c r="S677" t="n">
        <v>2</v>
      </c>
      <c r="T677" t="n">
        <v>2</v>
      </c>
      <c r="U677" t="inlineStr">
        <is>
          <t>1997-12-06</t>
        </is>
      </c>
      <c r="V677" t="inlineStr">
        <is>
          <t>1997-12-06</t>
        </is>
      </c>
      <c r="W677" t="inlineStr">
        <is>
          <t>1997-07-30</t>
        </is>
      </c>
      <c r="X677" t="inlineStr">
        <is>
          <t>1997-07-30</t>
        </is>
      </c>
      <c r="Y677" t="n">
        <v>106</v>
      </c>
      <c r="Z677" t="n">
        <v>91</v>
      </c>
      <c r="AA677" t="n">
        <v>107</v>
      </c>
      <c r="AB677" t="n">
        <v>2</v>
      </c>
      <c r="AC677" t="n">
        <v>2</v>
      </c>
      <c r="AD677" t="n">
        <v>4</v>
      </c>
      <c r="AE677" t="n">
        <v>4</v>
      </c>
      <c r="AF677" t="n">
        <v>0</v>
      </c>
      <c r="AG677" t="n">
        <v>0</v>
      </c>
      <c r="AH677" t="n">
        <v>0</v>
      </c>
      <c r="AI677" t="n">
        <v>0</v>
      </c>
      <c r="AJ677" t="n">
        <v>3</v>
      </c>
      <c r="AK677" t="n">
        <v>3</v>
      </c>
      <c r="AL677" t="n">
        <v>1</v>
      </c>
      <c r="AM677" t="n">
        <v>1</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HYPERLINK("https://creighton-primo.hosted.exlibrisgroup.com/primo-explore/search?tab=default_tab&amp;search_scope=EVERYTHING&amp;vid=01CRU&amp;lang=en_US&amp;offset=0&amp;query=any,contains,991004428159702656","Catalog Record")</f>
        <v/>
      </c>
      <c r="AT677">
        <f>HYPERLINK("http://www.worldcat.org/oclc/3412127","WorldCat Record")</f>
        <v/>
      </c>
      <c r="AU677" t="inlineStr">
        <is>
          <t>9021239314:eng</t>
        </is>
      </c>
      <c r="AV677" t="inlineStr">
        <is>
          <t>3412127</t>
        </is>
      </c>
      <c r="AW677" t="inlineStr">
        <is>
          <t>991004428159702656</t>
        </is>
      </c>
      <c r="AX677" t="inlineStr">
        <is>
          <t>991004428159702656</t>
        </is>
      </c>
      <c r="AY677" t="inlineStr">
        <is>
          <t>2260972510002656</t>
        </is>
      </c>
      <c r="AZ677" t="inlineStr">
        <is>
          <t>BOOK</t>
        </is>
      </c>
      <c r="BC677" t="inlineStr">
        <is>
          <t>32285002968823</t>
        </is>
      </c>
      <c r="BD677" t="inlineStr">
        <is>
          <t>893687717</t>
        </is>
      </c>
    </row>
    <row r="678">
      <c r="A678" t="inlineStr">
        <is>
          <t>No</t>
        </is>
      </c>
      <c r="B678" t="inlineStr">
        <is>
          <t>ND623.G36 B57</t>
        </is>
      </c>
      <c r="C678" t="inlineStr">
        <is>
          <t>0                      ND 0623000G  36                 B  57</t>
        </is>
      </c>
      <c r="D678" t="inlineStr">
        <is>
          <t>Orazio Gentileschi and the poetic tradition in Caravaggesque painting / R. Ward Bissell.</t>
        </is>
      </c>
      <c r="F678" t="inlineStr">
        <is>
          <t>No</t>
        </is>
      </c>
      <c r="G678" t="inlineStr">
        <is>
          <t>1</t>
        </is>
      </c>
      <c r="H678" t="inlineStr">
        <is>
          <t>No</t>
        </is>
      </c>
      <c r="I678" t="inlineStr">
        <is>
          <t>No</t>
        </is>
      </c>
      <c r="J678" t="inlineStr">
        <is>
          <t>0</t>
        </is>
      </c>
      <c r="K678" t="inlineStr">
        <is>
          <t>Bissell, R. Ward.</t>
        </is>
      </c>
      <c r="L678" t="inlineStr">
        <is>
          <t>University Park : Pennsylvania State University Press, c1981.</t>
        </is>
      </c>
      <c r="M678" t="inlineStr">
        <is>
          <t>1981</t>
        </is>
      </c>
      <c r="O678" t="inlineStr">
        <is>
          <t>eng</t>
        </is>
      </c>
      <c r="P678" t="inlineStr">
        <is>
          <t>pau</t>
        </is>
      </c>
      <c r="R678" t="inlineStr">
        <is>
          <t xml:space="preserve">ND </t>
        </is>
      </c>
      <c r="S678" t="n">
        <v>4</v>
      </c>
      <c r="T678" t="n">
        <v>4</v>
      </c>
      <c r="U678" t="inlineStr">
        <is>
          <t>1998-03-16</t>
        </is>
      </c>
      <c r="V678" t="inlineStr">
        <is>
          <t>1998-03-16</t>
        </is>
      </c>
      <c r="W678" t="inlineStr">
        <is>
          <t>1993-05-24</t>
        </is>
      </c>
      <c r="X678" t="inlineStr">
        <is>
          <t>1993-05-24</t>
        </is>
      </c>
      <c r="Y678" t="n">
        <v>485</v>
      </c>
      <c r="Z678" t="n">
        <v>369</v>
      </c>
      <c r="AA678" t="n">
        <v>373</v>
      </c>
      <c r="AB678" t="n">
        <v>2</v>
      </c>
      <c r="AC678" t="n">
        <v>2</v>
      </c>
      <c r="AD678" t="n">
        <v>17</v>
      </c>
      <c r="AE678" t="n">
        <v>17</v>
      </c>
      <c r="AF678" t="n">
        <v>7</v>
      </c>
      <c r="AG678" t="n">
        <v>7</v>
      </c>
      <c r="AH678" t="n">
        <v>4</v>
      </c>
      <c r="AI678" t="n">
        <v>4</v>
      </c>
      <c r="AJ678" t="n">
        <v>9</v>
      </c>
      <c r="AK678" t="n">
        <v>9</v>
      </c>
      <c r="AL678" t="n">
        <v>1</v>
      </c>
      <c r="AM678" t="n">
        <v>1</v>
      </c>
      <c r="AN678" t="n">
        <v>0</v>
      </c>
      <c r="AO678" t="n">
        <v>0</v>
      </c>
      <c r="AP678" t="inlineStr">
        <is>
          <t>No</t>
        </is>
      </c>
      <c r="AQ678" t="inlineStr">
        <is>
          <t>Yes</t>
        </is>
      </c>
      <c r="AR678">
        <f>HYPERLINK("http://catalog.hathitrust.org/Record/000225206","HathiTrust Record")</f>
        <v/>
      </c>
      <c r="AS678">
        <f>HYPERLINK("https://creighton-primo.hosted.exlibrisgroup.com/primo-explore/search?tab=default_tab&amp;search_scope=EVERYTHING&amp;vid=01CRU&amp;lang=en_US&amp;offset=0&amp;query=any,contains,991005218709702656","Catalog Record")</f>
        <v/>
      </c>
      <c r="AT678">
        <f>HYPERLINK("http://www.worldcat.org/oclc/8211527","WorldCat Record")</f>
        <v/>
      </c>
      <c r="AU678" t="inlineStr">
        <is>
          <t>430871:eng</t>
        </is>
      </c>
      <c r="AV678" t="inlineStr">
        <is>
          <t>8211527</t>
        </is>
      </c>
      <c r="AW678" t="inlineStr">
        <is>
          <t>991005218709702656</t>
        </is>
      </c>
      <c r="AX678" t="inlineStr">
        <is>
          <t>991005218709702656</t>
        </is>
      </c>
      <c r="AY678" t="inlineStr">
        <is>
          <t>2271721610002656</t>
        </is>
      </c>
      <c r="AZ678" t="inlineStr">
        <is>
          <t>BOOK</t>
        </is>
      </c>
      <c r="BB678" t="inlineStr">
        <is>
          <t>9780271002637</t>
        </is>
      </c>
      <c r="BC678" t="inlineStr">
        <is>
          <t>32285001692457</t>
        </is>
      </c>
      <c r="BD678" t="inlineStr">
        <is>
          <t>893707461</t>
        </is>
      </c>
    </row>
    <row r="679">
      <c r="A679" t="inlineStr">
        <is>
          <t>No</t>
        </is>
      </c>
      <c r="B679" t="inlineStr">
        <is>
          <t>ND623.G4 C33 2000</t>
        </is>
      </c>
      <c r="C679" t="inlineStr">
        <is>
          <t>0                      ND 0623000G  4                  C  33          2000</t>
        </is>
      </c>
      <c r="D679" t="inlineStr">
        <is>
          <t>Domenico Ghirlandaio : artist and artisan / Jean K. Cadogan.</t>
        </is>
      </c>
      <c r="F679" t="inlineStr">
        <is>
          <t>No</t>
        </is>
      </c>
      <c r="G679" t="inlineStr">
        <is>
          <t>1</t>
        </is>
      </c>
      <c r="H679" t="inlineStr">
        <is>
          <t>No</t>
        </is>
      </c>
      <c r="I679" t="inlineStr">
        <is>
          <t>No</t>
        </is>
      </c>
      <c r="J679" t="inlineStr">
        <is>
          <t>0</t>
        </is>
      </c>
      <c r="K679" t="inlineStr">
        <is>
          <t>Cadogan, Jean K.</t>
        </is>
      </c>
      <c r="L679" t="inlineStr">
        <is>
          <t>New Haven, CT : Yale University Press, c2000.</t>
        </is>
      </c>
      <c r="M679" t="inlineStr">
        <is>
          <t>2000</t>
        </is>
      </c>
      <c r="O679" t="inlineStr">
        <is>
          <t>eng</t>
        </is>
      </c>
      <c r="P679" t="inlineStr">
        <is>
          <t>ctu</t>
        </is>
      </c>
      <c r="R679" t="inlineStr">
        <is>
          <t xml:space="preserve">ND </t>
        </is>
      </c>
      <c r="S679" t="n">
        <v>2</v>
      </c>
      <c r="T679" t="n">
        <v>2</v>
      </c>
      <c r="U679" t="inlineStr">
        <is>
          <t>2009-06-01</t>
        </is>
      </c>
      <c r="V679" t="inlineStr">
        <is>
          <t>2009-06-01</t>
        </is>
      </c>
      <c r="W679" t="inlineStr">
        <is>
          <t>2004-02-11</t>
        </is>
      </c>
      <c r="X679" t="inlineStr">
        <is>
          <t>2004-02-11</t>
        </is>
      </c>
      <c r="Y679" t="n">
        <v>663</v>
      </c>
      <c r="Z679" t="n">
        <v>535</v>
      </c>
      <c r="AA679" t="n">
        <v>536</v>
      </c>
      <c r="AB679" t="n">
        <v>3</v>
      </c>
      <c r="AC679" t="n">
        <v>3</v>
      </c>
      <c r="AD679" t="n">
        <v>29</v>
      </c>
      <c r="AE679" t="n">
        <v>29</v>
      </c>
      <c r="AF679" t="n">
        <v>13</v>
      </c>
      <c r="AG679" t="n">
        <v>13</v>
      </c>
      <c r="AH679" t="n">
        <v>8</v>
      </c>
      <c r="AI679" t="n">
        <v>8</v>
      </c>
      <c r="AJ679" t="n">
        <v>15</v>
      </c>
      <c r="AK679" t="n">
        <v>15</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HYPERLINK("https://creighton-primo.hosted.exlibrisgroup.com/primo-explore/search?tab=default_tab&amp;search_scope=EVERYTHING&amp;vid=01CRU&amp;lang=en_US&amp;offset=0&amp;query=any,contains,991004228969702656","Catalog Record")</f>
        <v/>
      </c>
      <c r="AT679">
        <f>HYPERLINK("http://www.worldcat.org/oclc/44172893","WorldCat Record")</f>
        <v/>
      </c>
      <c r="AU679" t="inlineStr">
        <is>
          <t>33404857:eng</t>
        </is>
      </c>
      <c r="AV679" t="inlineStr">
        <is>
          <t>44172893</t>
        </is>
      </c>
      <c r="AW679" t="inlineStr">
        <is>
          <t>991004228969702656</t>
        </is>
      </c>
      <c r="AX679" t="inlineStr">
        <is>
          <t>991004228969702656</t>
        </is>
      </c>
      <c r="AY679" t="inlineStr">
        <is>
          <t>2256079400002656</t>
        </is>
      </c>
      <c r="AZ679" t="inlineStr">
        <is>
          <t>BOOK</t>
        </is>
      </c>
      <c r="BB679" t="inlineStr">
        <is>
          <t>9780300087208</t>
        </is>
      </c>
      <c r="BC679" t="inlineStr">
        <is>
          <t>32285004637715</t>
        </is>
      </c>
      <c r="BD679" t="inlineStr">
        <is>
          <t>893687503</t>
        </is>
      </c>
    </row>
    <row r="680">
      <c r="A680" t="inlineStr">
        <is>
          <t>No</t>
        </is>
      </c>
      <c r="B680" t="inlineStr">
        <is>
          <t>ND623.G5 A763813 1990</t>
        </is>
      </c>
      <c r="C680" t="inlineStr">
        <is>
          <t>0                      ND 0623000G  5                  A  763813      1990</t>
        </is>
      </c>
      <c r="D680" t="inlineStr">
        <is>
          <t>Giorgione's Tempest : interpreting the hidden subject / Salvatore Settis ; translated by Ellen Bianchini.</t>
        </is>
      </c>
      <c r="F680" t="inlineStr">
        <is>
          <t>No</t>
        </is>
      </c>
      <c r="G680" t="inlineStr">
        <is>
          <t>1</t>
        </is>
      </c>
      <c r="H680" t="inlineStr">
        <is>
          <t>No</t>
        </is>
      </c>
      <c r="I680" t="inlineStr">
        <is>
          <t>No</t>
        </is>
      </c>
      <c r="J680" t="inlineStr">
        <is>
          <t>0</t>
        </is>
      </c>
      <c r="K680" t="inlineStr">
        <is>
          <t>Settis, Salvatore.</t>
        </is>
      </c>
      <c r="L680" t="inlineStr">
        <is>
          <t>Chicago : University of Chicago Press, 1990.</t>
        </is>
      </c>
      <c r="M680" t="inlineStr">
        <is>
          <t>1990</t>
        </is>
      </c>
      <c r="O680" t="inlineStr">
        <is>
          <t>eng</t>
        </is>
      </c>
      <c r="P680" t="inlineStr">
        <is>
          <t>ilu</t>
        </is>
      </c>
      <c r="R680" t="inlineStr">
        <is>
          <t xml:space="preserve">ND </t>
        </is>
      </c>
      <c r="S680" t="n">
        <v>3</v>
      </c>
      <c r="T680" t="n">
        <v>3</v>
      </c>
      <c r="U680" t="inlineStr">
        <is>
          <t>2009-03-20</t>
        </is>
      </c>
      <c r="V680" t="inlineStr">
        <is>
          <t>2009-03-20</t>
        </is>
      </c>
      <c r="W680" t="inlineStr">
        <is>
          <t>1995-12-11</t>
        </is>
      </c>
      <c r="X680" t="inlineStr">
        <is>
          <t>1995-12-11</t>
        </is>
      </c>
      <c r="Y680" t="n">
        <v>415</v>
      </c>
      <c r="Z680" t="n">
        <v>371</v>
      </c>
      <c r="AA680" t="n">
        <v>406</v>
      </c>
      <c r="AB680" t="n">
        <v>3</v>
      </c>
      <c r="AC680" t="n">
        <v>3</v>
      </c>
      <c r="AD680" t="n">
        <v>23</v>
      </c>
      <c r="AE680" t="n">
        <v>23</v>
      </c>
      <c r="AF680" t="n">
        <v>8</v>
      </c>
      <c r="AG680" t="n">
        <v>8</v>
      </c>
      <c r="AH680" t="n">
        <v>4</v>
      </c>
      <c r="AI680" t="n">
        <v>4</v>
      </c>
      <c r="AJ680" t="n">
        <v>14</v>
      </c>
      <c r="AK680" t="n">
        <v>14</v>
      </c>
      <c r="AL680" t="n">
        <v>2</v>
      </c>
      <c r="AM680" t="n">
        <v>2</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HYPERLINK("https://creighton-primo.hosted.exlibrisgroup.com/primo-explore/search?tab=default_tab&amp;search_scope=EVERYTHING&amp;vid=01CRU&amp;lang=en_US&amp;offset=0&amp;query=any,contains,991001595739702656","Catalog Record")</f>
        <v/>
      </c>
      <c r="AT680">
        <f>HYPERLINK("http://www.worldcat.org/oclc/20628193","WorldCat Record")</f>
        <v/>
      </c>
      <c r="AU680" t="inlineStr">
        <is>
          <t>4160264328:eng</t>
        </is>
      </c>
      <c r="AV680" t="inlineStr">
        <is>
          <t>20628193</t>
        </is>
      </c>
      <c r="AW680" t="inlineStr">
        <is>
          <t>991001595739702656</t>
        </is>
      </c>
      <c r="AX680" t="inlineStr">
        <is>
          <t>991001595739702656</t>
        </is>
      </c>
      <c r="AY680" t="inlineStr">
        <is>
          <t>2265076630002656</t>
        </is>
      </c>
      <c r="AZ680" t="inlineStr">
        <is>
          <t>BOOK</t>
        </is>
      </c>
      <c r="BB680" t="inlineStr">
        <is>
          <t>9780226748931</t>
        </is>
      </c>
      <c r="BC680" t="inlineStr">
        <is>
          <t>32285002110087</t>
        </is>
      </c>
      <c r="BD680" t="inlineStr">
        <is>
          <t>893684421</t>
        </is>
      </c>
    </row>
    <row r="681">
      <c r="A681" t="inlineStr">
        <is>
          <t>No</t>
        </is>
      </c>
      <c r="B681" t="inlineStr">
        <is>
          <t>ND623.G5 P543</t>
        </is>
      </c>
      <c r="C681" t="inlineStr">
        <is>
          <t>0                      ND 0623000G  5                  P  543</t>
        </is>
      </c>
      <c r="D681" t="inlineStr">
        <is>
          <t>Giorgione.</t>
        </is>
      </c>
      <c r="F681" t="inlineStr">
        <is>
          <t>No</t>
        </is>
      </c>
      <c r="G681" t="inlineStr">
        <is>
          <t>1</t>
        </is>
      </c>
      <c r="H681" t="inlineStr">
        <is>
          <t>No</t>
        </is>
      </c>
      <c r="I681" t="inlineStr">
        <is>
          <t>No</t>
        </is>
      </c>
      <c r="J681" t="inlineStr">
        <is>
          <t>0</t>
        </is>
      </c>
      <c r="K681" t="inlineStr">
        <is>
          <t>Pignatti, Terisio, 1920-2004.</t>
        </is>
      </c>
      <c r="L681" t="inlineStr">
        <is>
          <t>[New York] Phaidon; [distributors in the U.S.: Praeger Publishers, 1971]</t>
        </is>
      </c>
      <c r="M681" t="inlineStr">
        <is>
          <t>1971</t>
        </is>
      </c>
      <c r="N681" t="inlineStr">
        <is>
          <t>Complete ed.</t>
        </is>
      </c>
      <c r="O681" t="inlineStr">
        <is>
          <t>eng</t>
        </is>
      </c>
      <c r="P681" t="inlineStr">
        <is>
          <t>nyu</t>
        </is>
      </c>
      <c r="R681" t="inlineStr">
        <is>
          <t xml:space="preserve">ND </t>
        </is>
      </c>
      <c r="S681" t="n">
        <v>1</v>
      </c>
      <c r="T681" t="n">
        <v>1</v>
      </c>
      <c r="U681" t="inlineStr">
        <is>
          <t>1997-11-17</t>
        </is>
      </c>
      <c r="V681" t="inlineStr">
        <is>
          <t>1997-11-17</t>
        </is>
      </c>
      <c r="W681" t="inlineStr">
        <is>
          <t>1997-07-30</t>
        </is>
      </c>
      <c r="X681" t="inlineStr">
        <is>
          <t>1997-07-30</t>
        </is>
      </c>
      <c r="Y681" t="n">
        <v>628</v>
      </c>
      <c r="Z681" t="n">
        <v>588</v>
      </c>
      <c r="AA681" t="n">
        <v>711</v>
      </c>
      <c r="AB681" t="n">
        <v>4</v>
      </c>
      <c r="AC681" t="n">
        <v>5</v>
      </c>
      <c r="AD681" t="n">
        <v>25</v>
      </c>
      <c r="AE681" t="n">
        <v>29</v>
      </c>
      <c r="AF681" t="n">
        <v>10</v>
      </c>
      <c r="AG681" t="n">
        <v>11</v>
      </c>
      <c r="AH681" t="n">
        <v>6</v>
      </c>
      <c r="AI681" t="n">
        <v>7</v>
      </c>
      <c r="AJ681" t="n">
        <v>13</v>
      </c>
      <c r="AK681" t="n">
        <v>15</v>
      </c>
      <c r="AL681" t="n">
        <v>2</v>
      </c>
      <c r="AM681" t="n">
        <v>3</v>
      </c>
      <c r="AN681" t="n">
        <v>0</v>
      </c>
      <c r="AO681" t="n">
        <v>0</v>
      </c>
      <c r="AP681" t="inlineStr">
        <is>
          <t>No</t>
        </is>
      </c>
      <c r="AQ681" t="inlineStr">
        <is>
          <t>Yes</t>
        </is>
      </c>
      <c r="AR681">
        <f>HYPERLINK("http://catalog.hathitrust.org/Record/009907948","HathiTrust Record")</f>
        <v/>
      </c>
      <c r="AS681">
        <f>HYPERLINK("https://creighton-primo.hosted.exlibrisgroup.com/primo-explore/search?tab=default_tab&amp;search_scope=EVERYTHING&amp;vid=01CRU&amp;lang=en_US&amp;offset=0&amp;query=any,contains,991000772339702656","Catalog Record")</f>
        <v/>
      </c>
      <c r="AT681">
        <f>HYPERLINK("http://www.worldcat.org/oclc/131388","WorldCat Record")</f>
        <v/>
      </c>
      <c r="AU681" t="inlineStr">
        <is>
          <t>346505623:eng</t>
        </is>
      </c>
      <c r="AV681" t="inlineStr">
        <is>
          <t>131388</t>
        </is>
      </c>
      <c r="AW681" t="inlineStr">
        <is>
          <t>991000772339702656</t>
        </is>
      </c>
      <c r="AX681" t="inlineStr">
        <is>
          <t>991000772339702656</t>
        </is>
      </c>
      <c r="AY681" t="inlineStr">
        <is>
          <t>2255168100002656</t>
        </is>
      </c>
      <c r="AZ681" t="inlineStr">
        <is>
          <t>BOOK</t>
        </is>
      </c>
      <c r="BB681" t="inlineStr">
        <is>
          <t>9780714814575</t>
        </is>
      </c>
      <c r="BC681" t="inlineStr">
        <is>
          <t>32285002968831</t>
        </is>
      </c>
      <c r="BD681" t="inlineStr">
        <is>
          <t>893327573</t>
        </is>
      </c>
    </row>
    <row r="682">
      <c r="A682" t="inlineStr">
        <is>
          <t>No</t>
        </is>
      </c>
      <c r="B682" t="inlineStr">
        <is>
          <t>ND623.G6 A4 1993</t>
        </is>
      </c>
      <c r="C682" t="inlineStr">
        <is>
          <t>0                      ND 0623000G  6                  A  4           1993</t>
        </is>
      </c>
      <c r="D682" t="inlineStr">
        <is>
          <t>Giotto, the Arena Chapel frescoes / Giuseppe Basile.</t>
        </is>
      </c>
      <c r="F682" t="inlineStr">
        <is>
          <t>No</t>
        </is>
      </c>
      <c r="G682" t="inlineStr">
        <is>
          <t>1</t>
        </is>
      </c>
      <c r="H682" t="inlineStr">
        <is>
          <t>No</t>
        </is>
      </c>
      <c r="I682" t="inlineStr">
        <is>
          <t>No</t>
        </is>
      </c>
      <c r="J682" t="inlineStr">
        <is>
          <t>0</t>
        </is>
      </c>
      <c r="K682" t="inlineStr">
        <is>
          <t>Giotto, 1266?-1337.</t>
        </is>
      </c>
      <c r="L682" t="inlineStr">
        <is>
          <t>New York : Thames and Hudson, 1993.</t>
        </is>
      </c>
      <c r="M682" t="inlineStr">
        <is>
          <t>1993</t>
        </is>
      </c>
      <c r="O682" t="inlineStr">
        <is>
          <t>eng</t>
        </is>
      </c>
      <c r="P682" t="inlineStr">
        <is>
          <t>nyu</t>
        </is>
      </c>
      <c r="R682" t="inlineStr">
        <is>
          <t xml:space="preserve">ND </t>
        </is>
      </c>
      <c r="S682" t="n">
        <v>8</v>
      </c>
      <c r="T682" t="n">
        <v>8</v>
      </c>
      <c r="U682" t="inlineStr">
        <is>
          <t>2005-07-06</t>
        </is>
      </c>
      <c r="V682" t="inlineStr">
        <is>
          <t>2005-07-06</t>
        </is>
      </c>
      <c r="W682" t="inlineStr">
        <is>
          <t>1994-08-08</t>
        </is>
      </c>
      <c r="X682" t="inlineStr">
        <is>
          <t>1994-08-08</t>
        </is>
      </c>
      <c r="Y682" t="n">
        <v>445</v>
      </c>
      <c r="Z682" t="n">
        <v>357</v>
      </c>
      <c r="AA682" t="n">
        <v>407</v>
      </c>
      <c r="AB682" t="n">
        <v>1</v>
      </c>
      <c r="AC682" t="n">
        <v>2</v>
      </c>
      <c r="AD682" t="n">
        <v>17</v>
      </c>
      <c r="AE682" t="n">
        <v>19</v>
      </c>
      <c r="AF682" t="n">
        <v>7</v>
      </c>
      <c r="AG682" t="n">
        <v>7</v>
      </c>
      <c r="AH682" t="n">
        <v>4</v>
      </c>
      <c r="AI682" t="n">
        <v>4</v>
      </c>
      <c r="AJ682" t="n">
        <v>10</v>
      </c>
      <c r="AK682" t="n">
        <v>11</v>
      </c>
      <c r="AL682" t="n">
        <v>0</v>
      </c>
      <c r="AM682" t="n">
        <v>1</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HYPERLINK("https://creighton-primo.hosted.exlibrisgroup.com/primo-explore/search?tab=default_tab&amp;search_scope=EVERYTHING&amp;vid=01CRU&amp;lang=en_US&amp;offset=0&amp;query=any,contains,991002267159702656","Catalog Record")</f>
        <v/>
      </c>
      <c r="AT682">
        <f>HYPERLINK("http://www.worldcat.org/oclc/29417999","WorldCat Record")</f>
        <v/>
      </c>
      <c r="AU682" t="inlineStr">
        <is>
          <t>4928581494:eng</t>
        </is>
      </c>
      <c r="AV682" t="inlineStr">
        <is>
          <t>29417999</t>
        </is>
      </c>
      <c r="AW682" t="inlineStr">
        <is>
          <t>991002267159702656</t>
        </is>
      </c>
      <c r="AX682" t="inlineStr">
        <is>
          <t>991002267159702656</t>
        </is>
      </c>
      <c r="AY682" t="inlineStr">
        <is>
          <t>2258830030002656</t>
        </is>
      </c>
      <c r="AZ682" t="inlineStr">
        <is>
          <t>BOOK</t>
        </is>
      </c>
      <c r="BB682" t="inlineStr">
        <is>
          <t>9780500236673</t>
        </is>
      </c>
      <c r="BC682" t="inlineStr">
        <is>
          <t>32285001941680</t>
        </is>
      </c>
      <c r="BD682" t="inlineStr">
        <is>
          <t>893504202</t>
        </is>
      </c>
    </row>
    <row r="683">
      <c r="A683" t="inlineStr">
        <is>
          <t>No</t>
        </is>
      </c>
      <c r="B683" t="inlineStr">
        <is>
          <t>ND623.G6 B33</t>
        </is>
      </c>
      <c r="C683" t="inlineStr">
        <is>
          <t>0                      ND 0623000G  6                  B  33</t>
        </is>
      </c>
      <c r="D683" t="inlineStr">
        <is>
          <t>Giotto : biographical and critical study / translated from the Italian by James Emmons.</t>
        </is>
      </c>
      <c r="F683" t="inlineStr">
        <is>
          <t>No</t>
        </is>
      </c>
      <c r="G683" t="inlineStr">
        <is>
          <t>1</t>
        </is>
      </c>
      <c r="H683" t="inlineStr">
        <is>
          <t>No</t>
        </is>
      </c>
      <c r="I683" t="inlineStr">
        <is>
          <t>No</t>
        </is>
      </c>
      <c r="J683" t="inlineStr">
        <is>
          <t>0</t>
        </is>
      </c>
      <c r="K683" t="inlineStr">
        <is>
          <t>Battisti, Eugenio.</t>
        </is>
      </c>
      <c r="L683" t="inlineStr">
        <is>
          <t>[Lausanne] Skira; [Cleveland, distributed in the U.S. by World Pub. Co., 1960]</t>
        </is>
      </c>
      <c r="M683" t="inlineStr">
        <is>
          <t>1960</t>
        </is>
      </c>
      <c r="O683" t="inlineStr">
        <is>
          <t>eng</t>
        </is>
      </c>
      <c r="P683" t="inlineStr">
        <is>
          <t xml:space="preserve">sz </t>
        </is>
      </c>
      <c r="Q683" t="inlineStr">
        <is>
          <t>The Taste of our time, v. 32</t>
        </is>
      </c>
      <c r="R683" t="inlineStr">
        <is>
          <t xml:space="preserve">ND </t>
        </is>
      </c>
      <c r="S683" t="n">
        <v>3</v>
      </c>
      <c r="T683" t="n">
        <v>3</v>
      </c>
      <c r="U683" t="inlineStr">
        <is>
          <t>2004-03-01</t>
        </is>
      </c>
      <c r="V683" t="inlineStr">
        <is>
          <t>2004-03-01</t>
        </is>
      </c>
      <c r="W683" t="inlineStr">
        <is>
          <t>1997-05-28</t>
        </is>
      </c>
      <c r="X683" t="inlineStr">
        <is>
          <t>1997-05-28</t>
        </is>
      </c>
      <c r="Y683" t="n">
        <v>792</v>
      </c>
      <c r="Z683" t="n">
        <v>719</v>
      </c>
      <c r="AA683" t="n">
        <v>728</v>
      </c>
      <c r="AB683" t="n">
        <v>6</v>
      </c>
      <c r="AC683" t="n">
        <v>6</v>
      </c>
      <c r="AD683" t="n">
        <v>30</v>
      </c>
      <c r="AE683" t="n">
        <v>30</v>
      </c>
      <c r="AF683" t="n">
        <v>12</v>
      </c>
      <c r="AG683" t="n">
        <v>12</v>
      </c>
      <c r="AH683" t="n">
        <v>7</v>
      </c>
      <c r="AI683" t="n">
        <v>7</v>
      </c>
      <c r="AJ683" t="n">
        <v>14</v>
      </c>
      <c r="AK683" t="n">
        <v>14</v>
      </c>
      <c r="AL683" t="n">
        <v>4</v>
      </c>
      <c r="AM683" t="n">
        <v>4</v>
      </c>
      <c r="AN683" t="n">
        <v>0</v>
      </c>
      <c r="AO683" t="n">
        <v>0</v>
      </c>
      <c r="AP683" t="inlineStr">
        <is>
          <t>No</t>
        </is>
      </c>
      <c r="AQ683" t="inlineStr">
        <is>
          <t>Yes</t>
        </is>
      </c>
      <c r="AR683">
        <f>HYPERLINK("http://catalog.hathitrust.org/Record/000463722","HathiTrust Record")</f>
        <v/>
      </c>
      <c r="AS683">
        <f>HYPERLINK("https://creighton-primo.hosted.exlibrisgroup.com/primo-explore/search?tab=default_tab&amp;search_scope=EVERYTHING&amp;vid=01CRU&amp;lang=en_US&amp;offset=0&amp;query=any,contains,991003420289702656","Catalog Record")</f>
        <v/>
      </c>
      <c r="AT683">
        <f>HYPERLINK("http://www.worldcat.org/oclc/961047","WorldCat Record")</f>
        <v/>
      </c>
      <c r="AU683" t="inlineStr">
        <is>
          <t>8913680154:eng</t>
        </is>
      </c>
      <c r="AV683" t="inlineStr">
        <is>
          <t>961047</t>
        </is>
      </c>
      <c r="AW683" t="inlineStr">
        <is>
          <t>991003420289702656</t>
        </is>
      </c>
      <c r="AX683" t="inlineStr">
        <is>
          <t>991003420289702656</t>
        </is>
      </c>
      <c r="AY683" t="inlineStr">
        <is>
          <t>2256206260002656</t>
        </is>
      </c>
      <c r="AZ683" t="inlineStr">
        <is>
          <t>BOOK</t>
        </is>
      </c>
      <c r="BC683" t="inlineStr">
        <is>
          <t>32285002698537</t>
        </is>
      </c>
      <c r="BD683" t="inlineStr">
        <is>
          <t>893692708</t>
        </is>
      </c>
    </row>
    <row r="684">
      <c r="A684" t="inlineStr">
        <is>
          <t>No</t>
        </is>
      </c>
      <c r="B684" t="inlineStr">
        <is>
          <t>ND623.G6 E35</t>
        </is>
      </c>
      <c r="C684" t="inlineStr">
        <is>
          <t>0                      ND 0623000G  6                  E  35</t>
        </is>
      </c>
      <c r="D684" t="inlineStr">
        <is>
          <t>The world of Giotto, c. 1267-1337 / by Sarel Eimerl and the editors of Time-Life Books.</t>
        </is>
      </c>
      <c r="F684" t="inlineStr">
        <is>
          <t>No</t>
        </is>
      </c>
      <c r="G684" t="inlineStr">
        <is>
          <t>1</t>
        </is>
      </c>
      <c r="H684" t="inlineStr">
        <is>
          <t>No</t>
        </is>
      </c>
      <c r="I684" t="inlineStr">
        <is>
          <t>No</t>
        </is>
      </c>
      <c r="J684" t="inlineStr">
        <is>
          <t>0</t>
        </is>
      </c>
      <c r="K684" t="inlineStr">
        <is>
          <t>Eimerl, Sarel.</t>
        </is>
      </c>
      <c r="L684" t="inlineStr">
        <is>
          <t>New York : Time, inc., [1967]</t>
        </is>
      </c>
      <c r="M684" t="inlineStr">
        <is>
          <t>1967</t>
        </is>
      </c>
      <c r="O684" t="inlineStr">
        <is>
          <t>eng</t>
        </is>
      </c>
      <c r="P684" t="inlineStr">
        <is>
          <t>nyu</t>
        </is>
      </c>
      <c r="Q684" t="inlineStr">
        <is>
          <t>Time-Life library of art</t>
        </is>
      </c>
      <c r="R684" t="inlineStr">
        <is>
          <t xml:space="preserve">ND </t>
        </is>
      </c>
      <c r="S684" t="n">
        <v>3</v>
      </c>
      <c r="T684" t="n">
        <v>3</v>
      </c>
      <c r="U684" t="inlineStr">
        <is>
          <t>2004-03-01</t>
        </is>
      </c>
      <c r="V684" t="inlineStr">
        <is>
          <t>2004-03-01</t>
        </is>
      </c>
      <c r="W684" t="inlineStr">
        <is>
          <t>1993-03-16</t>
        </is>
      </c>
      <c r="X684" t="inlineStr">
        <is>
          <t>1993-03-16</t>
        </is>
      </c>
      <c r="Y684" t="n">
        <v>2649</v>
      </c>
      <c r="Z684" t="n">
        <v>2485</v>
      </c>
      <c r="AA684" t="n">
        <v>2641</v>
      </c>
      <c r="AB684" t="n">
        <v>18</v>
      </c>
      <c r="AC684" t="n">
        <v>18</v>
      </c>
      <c r="AD684" t="n">
        <v>43</v>
      </c>
      <c r="AE684" t="n">
        <v>44</v>
      </c>
      <c r="AF684" t="n">
        <v>17</v>
      </c>
      <c r="AG684" t="n">
        <v>18</v>
      </c>
      <c r="AH684" t="n">
        <v>8</v>
      </c>
      <c r="AI684" t="n">
        <v>8</v>
      </c>
      <c r="AJ684" t="n">
        <v>20</v>
      </c>
      <c r="AK684" t="n">
        <v>20</v>
      </c>
      <c r="AL684" t="n">
        <v>8</v>
      </c>
      <c r="AM684" t="n">
        <v>8</v>
      </c>
      <c r="AN684" t="n">
        <v>0</v>
      </c>
      <c r="AO684" t="n">
        <v>0</v>
      </c>
      <c r="AP684" t="inlineStr">
        <is>
          <t>No</t>
        </is>
      </c>
      <c r="AQ684" t="inlineStr">
        <is>
          <t>Yes</t>
        </is>
      </c>
      <c r="AR684">
        <f>HYPERLINK("http://catalog.hathitrust.org/Record/000463736","HathiTrust Record")</f>
        <v/>
      </c>
      <c r="AS684">
        <f>HYPERLINK("https://creighton-primo.hosted.exlibrisgroup.com/primo-explore/search?tab=default_tab&amp;search_scope=EVERYTHING&amp;vid=01CRU&amp;lang=en_US&amp;offset=0&amp;query=any,contains,991002904469702656","Catalog Record")</f>
        <v/>
      </c>
      <c r="AT684">
        <f>HYPERLINK("http://www.worldcat.org/oclc/518807","WorldCat Record")</f>
        <v/>
      </c>
      <c r="AU684" t="inlineStr">
        <is>
          <t>1509970:eng</t>
        </is>
      </c>
      <c r="AV684" t="inlineStr">
        <is>
          <t>518807</t>
        </is>
      </c>
      <c r="AW684" t="inlineStr">
        <is>
          <t>991002904469702656</t>
        </is>
      </c>
      <c r="AX684" t="inlineStr">
        <is>
          <t>991002904469702656</t>
        </is>
      </c>
      <c r="AY684" t="inlineStr">
        <is>
          <t>2255936920002656</t>
        </is>
      </c>
      <c r="AZ684" t="inlineStr">
        <is>
          <t>BOOK</t>
        </is>
      </c>
      <c r="BC684" t="inlineStr">
        <is>
          <t>32285001572915</t>
        </is>
      </c>
      <c r="BD684" t="inlineStr">
        <is>
          <t>893698411</t>
        </is>
      </c>
    </row>
    <row r="685">
      <c r="A685" t="inlineStr">
        <is>
          <t>No</t>
        </is>
      </c>
      <c r="B685" t="inlineStr">
        <is>
          <t>ND623.G6 S37 1974</t>
        </is>
      </c>
      <c r="C685" t="inlineStr">
        <is>
          <t>0                      ND 0623000G  6                  S  37          1974</t>
        </is>
      </c>
      <c r="D685" t="inlineStr">
        <is>
          <t>Giotto in perspective.</t>
        </is>
      </c>
      <c r="F685" t="inlineStr">
        <is>
          <t>No</t>
        </is>
      </c>
      <c r="G685" t="inlineStr">
        <is>
          <t>1</t>
        </is>
      </c>
      <c r="H685" t="inlineStr">
        <is>
          <t>No</t>
        </is>
      </c>
      <c r="I685" t="inlineStr">
        <is>
          <t>No</t>
        </is>
      </c>
      <c r="J685" t="inlineStr">
        <is>
          <t>0</t>
        </is>
      </c>
      <c r="K685" t="inlineStr">
        <is>
          <t>Schneider, Laurie, compiler.</t>
        </is>
      </c>
      <c r="L685" t="inlineStr">
        <is>
          <t>Englewood Cliffs, N.J. : Prentice-Hall, [1974]</t>
        </is>
      </c>
      <c r="M685" t="inlineStr">
        <is>
          <t>1974</t>
        </is>
      </c>
      <c r="O685" t="inlineStr">
        <is>
          <t>eng</t>
        </is>
      </c>
      <c r="P685" t="inlineStr">
        <is>
          <t>nju</t>
        </is>
      </c>
      <c r="Q685" t="inlineStr">
        <is>
          <t>A Spectrum book</t>
        </is>
      </c>
      <c r="R685" t="inlineStr">
        <is>
          <t xml:space="preserve">ND </t>
        </is>
      </c>
      <c r="S685" t="n">
        <v>3</v>
      </c>
      <c r="T685" t="n">
        <v>3</v>
      </c>
      <c r="U685" t="inlineStr">
        <is>
          <t>1999-02-14</t>
        </is>
      </c>
      <c r="V685" t="inlineStr">
        <is>
          <t>1999-02-14</t>
        </is>
      </c>
      <c r="W685" t="inlineStr">
        <is>
          <t>1993-03-16</t>
        </is>
      </c>
      <c r="X685" t="inlineStr">
        <is>
          <t>1993-03-16</t>
        </is>
      </c>
      <c r="Y685" t="n">
        <v>762</v>
      </c>
      <c r="Z685" t="n">
        <v>642</v>
      </c>
      <c r="AA685" t="n">
        <v>652</v>
      </c>
      <c r="AB685" t="n">
        <v>4</v>
      </c>
      <c r="AC685" t="n">
        <v>4</v>
      </c>
      <c r="AD685" t="n">
        <v>23</v>
      </c>
      <c r="AE685" t="n">
        <v>24</v>
      </c>
      <c r="AF685" t="n">
        <v>7</v>
      </c>
      <c r="AG685" t="n">
        <v>8</v>
      </c>
      <c r="AH685" t="n">
        <v>5</v>
      </c>
      <c r="AI685" t="n">
        <v>5</v>
      </c>
      <c r="AJ685" t="n">
        <v>11</v>
      </c>
      <c r="AK685" t="n">
        <v>12</v>
      </c>
      <c r="AL685" t="n">
        <v>3</v>
      </c>
      <c r="AM685" t="n">
        <v>3</v>
      </c>
      <c r="AN685" t="n">
        <v>0</v>
      </c>
      <c r="AO685" t="n">
        <v>0</v>
      </c>
      <c r="AP685" t="inlineStr">
        <is>
          <t>No</t>
        </is>
      </c>
      <c r="AQ685" t="inlineStr">
        <is>
          <t>Yes</t>
        </is>
      </c>
      <c r="AR685">
        <f>HYPERLINK("http://catalog.hathitrust.org/Record/000463805","HathiTrust Record")</f>
        <v/>
      </c>
      <c r="AS685">
        <f>HYPERLINK("https://creighton-primo.hosted.exlibrisgroup.com/primo-explore/search?tab=default_tab&amp;search_scope=EVERYTHING&amp;vid=01CRU&amp;lang=en_US&amp;offset=0&amp;query=any,contains,991003362269702656","Catalog Record")</f>
        <v/>
      </c>
      <c r="AT685">
        <f>HYPERLINK("http://www.worldcat.org/oclc/898042","WorldCat Record")</f>
        <v/>
      </c>
      <c r="AU685" t="inlineStr">
        <is>
          <t>367043059:eng</t>
        </is>
      </c>
      <c r="AV685" t="inlineStr">
        <is>
          <t>898042</t>
        </is>
      </c>
      <c r="AW685" t="inlineStr">
        <is>
          <t>991003362269702656</t>
        </is>
      </c>
      <c r="AX685" t="inlineStr">
        <is>
          <t>991003362269702656</t>
        </is>
      </c>
      <c r="AY685" t="inlineStr">
        <is>
          <t>2259437220002656</t>
        </is>
      </c>
      <c r="AZ685" t="inlineStr">
        <is>
          <t>BOOK</t>
        </is>
      </c>
      <c r="BB685" t="inlineStr">
        <is>
          <t>9780133567175</t>
        </is>
      </c>
      <c r="BC685" t="inlineStr">
        <is>
          <t>32285001572907</t>
        </is>
      </c>
      <c r="BD685" t="inlineStr">
        <is>
          <t>893799649</t>
        </is>
      </c>
    </row>
    <row r="686">
      <c r="A686" t="inlineStr">
        <is>
          <t>No</t>
        </is>
      </c>
      <c r="B686" t="inlineStr">
        <is>
          <t>ND623.G6 S46 1970</t>
        </is>
      </c>
      <c r="C686" t="inlineStr">
        <is>
          <t>0                      ND 0623000G  6                  S  46          1970</t>
        </is>
      </c>
      <c r="D686" t="inlineStr">
        <is>
          <t>Giotto: la Cappella degli Scrovegni / di Camillo Semenzato.</t>
        </is>
      </c>
      <c r="F686" t="inlineStr">
        <is>
          <t>No</t>
        </is>
      </c>
      <c r="G686" t="inlineStr">
        <is>
          <t>1</t>
        </is>
      </c>
      <c r="H686" t="inlineStr">
        <is>
          <t>No</t>
        </is>
      </c>
      <c r="I686" t="inlineStr">
        <is>
          <t>No</t>
        </is>
      </c>
      <c r="J686" t="inlineStr">
        <is>
          <t>0</t>
        </is>
      </c>
      <c r="K686" t="inlineStr">
        <is>
          <t>Giotto, 1266?-1337.</t>
        </is>
      </c>
      <c r="L686" t="inlineStr">
        <is>
          <t>[Firenze] : Sadea/Sansoni Editori, [c1970]</t>
        </is>
      </c>
      <c r="M686" t="inlineStr">
        <is>
          <t>1970</t>
        </is>
      </c>
      <c r="O686" t="inlineStr">
        <is>
          <t>ita</t>
        </is>
      </c>
      <c r="P686" t="inlineStr">
        <is>
          <t xml:space="preserve">it </t>
        </is>
      </c>
      <c r="Q686" t="inlineStr">
        <is>
          <t>Forma e colore ; 33</t>
        </is>
      </c>
      <c r="R686" t="inlineStr">
        <is>
          <t xml:space="preserve">ND </t>
        </is>
      </c>
      <c r="S686" t="n">
        <v>1</v>
      </c>
      <c r="T686" t="n">
        <v>1</v>
      </c>
      <c r="U686" t="inlineStr">
        <is>
          <t>1993-01-24</t>
        </is>
      </c>
      <c r="V686" t="inlineStr">
        <is>
          <t>1993-01-24</t>
        </is>
      </c>
      <c r="W686" t="inlineStr">
        <is>
          <t>1991-09-17</t>
        </is>
      </c>
      <c r="X686" t="inlineStr">
        <is>
          <t>1991-09-17</t>
        </is>
      </c>
      <c r="Y686" t="n">
        <v>34</v>
      </c>
      <c r="Z686" t="n">
        <v>30</v>
      </c>
      <c r="AA686" t="n">
        <v>275</v>
      </c>
      <c r="AB686" t="n">
        <v>3</v>
      </c>
      <c r="AC686" t="n">
        <v>4</v>
      </c>
      <c r="AD686" t="n">
        <v>1</v>
      </c>
      <c r="AE686" t="n">
        <v>13</v>
      </c>
      <c r="AF686" t="n">
        <v>1</v>
      </c>
      <c r="AG686" t="n">
        <v>7</v>
      </c>
      <c r="AH686" t="n">
        <v>0</v>
      </c>
      <c r="AI686" t="n">
        <v>1</v>
      </c>
      <c r="AJ686" t="n">
        <v>1</v>
      </c>
      <c r="AK686" t="n">
        <v>5</v>
      </c>
      <c r="AL686" t="n">
        <v>0</v>
      </c>
      <c r="AM686" t="n">
        <v>1</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HYPERLINK("https://creighton-primo.hosted.exlibrisgroup.com/primo-explore/search?tab=default_tab&amp;search_scope=EVERYTHING&amp;vid=01CRU&amp;lang=en_US&amp;offset=0&amp;query=any,contains,991004570209702656","Catalog Record")</f>
        <v/>
      </c>
      <c r="AT686">
        <f>HYPERLINK("http://www.worldcat.org/oclc/4020599","WorldCat Record")</f>
        <v/>
      </c>
      <c r="AU686" t="inlineStr">
        <is>
          <t>32414780:ita</t>
        </is>
      </c>
      <c r="AV686" t="inlineStr">
        <is>
          <t>4020599</t>
        </is>
      </c>
      <c r="AW686" t="inlineStr">
        <is>
          <t>991004570209702656</t>
        </is>
      </c>
      <c r="AX686" t="inlineStr">
        <is>
          <t>991004570209702656</t>
        </is>
      </c>
      <c r="AY686" t="inlineStr">
        <is>
          <t>2269099440002656</t>
        </is>
      </c>
      <c r="AZ686" t="inlineStr">
        <is>
          <t>BOOK</t>
        </is>
      </c>
      <c r="BC686" t="inlineStr">
        <is>
          <t>32285000740984</t>
        </is>
      </c>
      <c r="BD686" t="inlineStr">
        <is>
          <t>893513408</t>
        </is>
      </c>
    </row>
    <row r="687">
      <c r="A687" t="inlineStr">
        <is>
          <t>No</t>
        </is>
      </c>
      <c r="B687" t="inlineStr">
        <is>
          <t>ND623.G6 S7</t>
        </is>
      </c>
      <c r="C687" t="inlineStr">
        <is>
          <t>0                      ND 0623000G  6                  S  7</t>
        </is>
      </c>
      <c r="D687" t="inlineStr">
        <is>
          <t>Giotto : the Arena Chapel frescoes / edited by James H. Stubblebine.</t>
        </is>
      </c>
      <c r="F687" t="inlineStr">
        <is>
          <t>No</t>
        </is>
      </c>
      <c r="G687" t="inlineStr">
        <is>
          <t>1</t>
        </is>
      </c>
      <c r="H687" t="inlineStr">
        <is>
          <t>No</t>
        </is>
      </c>
      <c r="I687" t="inlineStr">
        <is>
          <t>No</t>
        </is>
      </c>
      <c r="J687" t="inlineStr">
        <is>
          <t>0</t>
        </is>
      </c>
      <c r="K687" t="inlineStr">
        <is>
          <t>Stubblebine, James H., compiler.</t>
        </is>
      </c>
      <c r="L687" t="inlineStr">
        <is>
          <t>New York : Norton, [1969]</t>
        </is>
      </c>
      <c r="M687" t="inlineStr">
        <is>
          <t>1969</t>
        </is>
      </c>
      <c r="N687" t="inlineStr">
        <is>
          <t>[1st ed.]</t>
        </is>
      </c>
      <c r="O687" t="inlineStr">
        <is>
          <t>eng</t>
        </is>
      </c>
      <c r="P687" t="inlineStr">
        <is>
          <t>nyu</t>
        </is>
      </c>
      <c r="Q687" t="inlineStr">
        <is>
          <t>Norton critical studies in art history</t>
        </is>
      </c>
      <c r="R687" t="inlineStr">
        <is>
          <t xml:space="preserve">ND </t>
        </is>
      </c>
      <c r="S687" t="n">
        <v>5</v>
      </c>
      <c r="T687" t="n">
        <v>5</v>
      </c>
      <c r="U687" t="inlineStr">
        <is>
          <t>1993-03-09</t>
        </is>
      </c>
      <c r="V687" t="inlineStr">
        <is>
          <t>1993-03-09</t>
        </is>
      </c>
      <c r="W687" t="inlineStr">
        <is>
          <t>1993-03-09</t>
        </is>
      </c>
      <c r="X687" t="inlineStr">
        <is>
          <t>1993-03-09</t>
        </is>
      </c>
      <c r="Y687" t="n">
        <v>858</v>
      </c>
      <c r="Z687" t="n">
        <v>767</v>
      </c>
      <c r="AA687" t="n">
        <v>776</v>
      </c>
      <c r="AB687" t="n">
        <v>3</v>
      </c>
      <c r="AC687" t="n">
        <v>3</v>
      </c>
      <c r="AD687" t="n">
        <v>34</v>
      </c>
      <c r="AE687" t="n">
        <v>34</v>
      </c>
      <c r="AF687" t="n">
        <v>18</v>
      </c>
      <c r="AG687" t="n">
        <v>18</v>
      </c>
      <c r="AH687" t="n">
        <v>8</v>
      </c>
      <c r="AI687" t="n">
        <v>8</v>
      </c>
      <c r="AJ687" t="n">
        <v>15</v>
      </c>
      <c r="AK687" t="n">
        <v>15</v>
      </c>
      <c r="AL687" t="n">
        <v>2</v>
      </c>
      <c r="AM687" t="n">
        <v>2</v>
      </c>
      <c r="AN687" t="n">
        <v>0</v>
      </c>
      <c r="AO687" t="n">
        <v>0</v>
      </c>
      <c r="AP687" t="inlineStr">
        <is>
          <t>No</t>
        </is>
      </c>
      <c r="AQ687" t="inlineStr">
        <is>
          <t>Yes</t>
        </is>
      </c>
      <c r="AR687">
        <f>HYPERLINK("http://catalog.hathitrust.org/Record/000463807","HathiTrust Record")</f>
        <v/>
      </c>
      <c r="AS687">
        <f>HYPERLINK("https://creighton-primo.hosted.exlibrisgroup.com/primo-explore/search?tab=default_tab&amp;search_scope=EVERYTHING&amp;vid=01CRU&amp;lang=en_US&amp;offset=0&amp;query=any,contains,991000000999702656","Catalog Record")</f>
        <v/>
      </c>
      <c r="AT687">
        <f>HYPERLINK("http://www.worldcat.org/oclc/9847","WorldCat Record")</f>
        <v/>
      </c>
      <c r="AU687" t="inlineStr">
        <is>
          <t>5481971718:eng</t>
        </is>
      </c>
      <c r="AV687" t="inlineStr">
        <is>
          <t>9847</t>
        </is>
      </c>
      <c r="AW687" t="inlineStr">
        <is>
          <t>991000000999702656</t>
        </is>
      </c>
      <c r="AX687" t="inlineStr">
        <is>
          <t>991000000999702656</t>
        </is>
      </c>
      <c r="AY687" t="inlineStr">
        <is>
          <t>2268709030002656</t>
        </is>
      </c>
      <c r="AZ687" t="inlineStr">
        <is>
          <t>BOOK</t>
        </is>
      </c>
      <c r="BC687" t="inlineStr">
        <is>
          <t>32285001498186</t>
        </is>
      </c>
      <c r="BD687" t="inlineStr">
        <is>
          <t>893242883</t>
        </is>
      </c>
    </row>
    <row r="688">
      <c r="A688" t="inlineStr">
        <is>
          <t>No</t>
        </is>
      </c>
      <c r="B688" t="inlineStr">
        <is>
          <t>ND623.L5 A4 1998</t>
        </is>
      </c>
      <c r="C688" t="inlineStr">
        <is>
          <t>0                      ND 0623000L  5                  A  4           1998</t>
        </is>
      </c>
      <c r="D688" t="inlineStr">
        <is>
          <t>The notebooks of Leonardo da Vinci / selected and edited by Irma A. Richter.</t>
        </is>
      </c>
      <c r="F688" t="inlineStr">
        <is>
          <t>No</t>
        </is>
      </c>
      <c r="G688" t="inlineStr">
        <is>
          <t>1</t>
        </is>
      </c>
      <c r="H688" t="inlineStr">
        <is>
          <t>No</t>
        </is>
      </c>
      <c r="I688" t="inlineStr">
        <is>
          <t>No</t>
        </is>
      </c>
      <c r="J688" t="inlineStr">
        <is>
          <t>0</t>
        </is>
      </c>
      <c r="K688" t="inlineStr">
        <is>
          <t>Leonardo, da Vinci, 1452-1519.</t>
        </is>
      </c>
      <c r="L688" t="inlineStr">
        <is>
          <t>Oxford ; New York : Oxford University Press, 1998.</t>
        </is>
      </c>
      <c r="M688" t="inlineStr">
        <is>
          <t>1998</t>
        </is>
      </c>
      <c r="O688" t="inlineStr">
        <is>
          <t>eng</t>
        </is>
      </c>
      <c r="P688" t="inlineStr">
        <is>
          <t>enk</t>
        </is>
      </c>
      <c r="Q688" t="inlineStr">
        <is>
          <t>Oxford world's classics</t>
        </is>
      </c>
      <c r="R688" t="inlineStr">
        <is>
          <t xml:space="preserve">ND </t>
        </is>
      </c>
      <c r="S688" t="n">
        <v>11</v>
      </c>
      <c r="T688" t="n">
        <v>11</v>
      </c>
      <c r="U688" t="inlineStr">
        <is>
          <t>2010-04-17</t>
        </is>
      </c>
      <c r="V688" t="inlineStr">
        <is>
          <t>2010-04-17</t>
        </is>
      </c>
      <c r="W688" t="inlineStr">
        <is>
          <t>1999-03-31</t>
        </is>
      </c>
      <c r="X688" t="inlineStr">
        <is>
          <t>1999-03-31</t>
        </is>
      </c>
      <c r="Y688" t="n">
        <v>204</v>
      </c>
      <c r="Z688" t="n">
        <v>165</v>
      </c>
      <c r="AA688" t="n">
        <v>2496</v>
      </c>
      <c r="AB688" t="n">
        <v>2</v>
      </c>
      <c r="AC688" t="n">
        <v>20</v>
      </c>
      <c r="AD688" t="n">
        <v>0</v>
      </c>
      <c r="AE688" t="n">
        <v>64</v>
      </c>
      <c r="AF688" t="n">
        <v>0</v>
      </c>
      <c r="AG688" t="n">
        <v>26</v>
      </c>
      <c r="AH688" t="n">
        <v>0</v>
      </c>
      <c r="AI688" t="n">
        <v>11</v>
      </c>
      <c r="AJ688" t="n">
        <v>0</v>
      </c>
      <c r="AK688" t="n">
        <v>27</v>
      </c>
      <c r="AL688" t="n">
        <v>0</v>
      </c>
      <c r="AM688" t="n">
        <v>14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HYPERLINK("https://creighton-primo.hosted.exlibrisgroup.com/primo-explore/search?tab=default_tab&amp;search_scope=EVERYTHING&amp;vid=01CRU&amp;lang=en_US&amp;offset=0&amp;query=any,contains,991003004239702656","Catalog Record")</f>
        <v/>
      </c>
      <c r="AT688">
        <f>HYPERLINK("http://www.worldcat.org/oclc/40701485","WorldCat Record")</f>
        <v/>
      </c>
      <c r="AU688" t="inlineStr">
        <is>
          <t>1451951:eng</t>
        </is>
      </c>
      <c r="AV688" t="inlineStr">
        <is>
          <t>40701485</t>
        </is>
      </c>
      <c r="AW688" t="inlineStr">
        <is>
          <t>991003004239702656</t>
        </is>
      </c>
      <c r="AX688" t="inlineStr">
        <is>
          <t>991003004239702656</t>
        </is>
      </c>
      <c r="AY688" t="inlineStr">
        <is>
          <t>2270505160002656</t>
        </is>
      </c>
      <c r="AZ688" t="inlineStr">
        <is>
          <t>BOOK</t>
        </is>
      </c>
      <c r="BB688" t="inlineStr">
        <is>
          <t>9780192838971</t>
        </is>
      </c>
      <c r="BC688" t="inlineStr">
        <is>
          <t>32285003548087</t>
        </is>
      </c>
      <c r="BD688" t="inlineStr">
        <is>
          <t>893721749</t>
        </is>
      </c>
    </row>
    <row r="689">
      <c r="A689" t="inlineStr">
        <is>
          <t>No</t>
        </is>
      </c>
      <c r="B689" t="inlineStr">
        <is>
          <t>ND623.L5 A45</t>
        </is>
      </c>
      <c r="C689" t="inlineStr">
        <is>
          <t>0                      ND 0623000L  5                  A  45</t>
        </is>
      </c>
      <c r="D689" t="inlineStr">
        <is>
          <t>Leonardo da Vinci.</t>
        </is>
      </c>
      <c r="F689" t="inlineStr">
        <is>
          <t>No</t>
        </is>
      </c>
      <c r="G689" t="inlineStr">
        <is>
          <t>1</t>
        </is>
      </c>
      <c r="H689" t="inlineStr">
        <is>
          <t>No</t>
        </is>
      </c>
      <c r="I689" t="inlineStr">
        <is>
          <t>No</t>
        </is>
      </c>
      <c r="J689" t="inlineStr">
        <is>
          <t>0</t>
        </is>
      </c>
      <c r="K689" t="inlineStr">
        <is>
          <t>Leonardo, da Vinci, 1452-1519.</t>
        </is>
      </c>
      <c r="L689" t="inlineStr">
        <is>
          <t>London : Phaidon press ; New York : Oxford university press, 1944.</t>
        </is>
      </c>
      <c r="M689" t="inlineStr">
        <is>
          <t>1944</t>
        </is>
      </c>
      <c r="N689" t="inlineStr">
        <is>
          <t>2d ed.</t>
        </is>
      </c>
      <c r="O689" t="inlineStr">
        <is>
          <t>eng</t>
        </is>
      </c>
      <c r="P689" t="inlineStr">
        <is>
          <t>enk</t>
        </is>
      </c>
      <c r="R689" t="inlineStr">
        <is>
          <t xml:space="preserve">ND </t>
        </is>
      </c>
      <c r="S689" t="n">
        <v>8</v>
      </c>
      <c r="T689" t="n">
        <v>8</v>
      </c>
      <c r="U689" t="inlineStr">
        <is>
          <t>2005-04-13</t>
        </is>
      </c>
      <c r="V689" t="inlineStr">
        <is>
          <t>2005-04-13</t>
        </is>
      </c>
      <c r="W689" t="inlineStr">
        <is>
          <t>1997-07-30</t>
        </is>
      </c>
      <c r="X689" t="inlineStr">
        <is>
          <t>1997-07-30</t>
        </is>
      </c>
      <c r="Y689" t="n">
        <v>223</v>
      </c>
      <c r="Z689" t="n">
        <v>212</v>
      </c>
      <c r="AA689" t="n">
        <v>231</v>
      </c>
      <c r="AB689" t="n">
        <v>3</v>
      </c>
      <c r="AC689" t="n">
        <v>3</v>
      </c>
      <c r="AD689" t="n">
        <v>7</v>
      </c>
      <c r="AE689" t="n">
        <v>7</v>
      </c>
      <c r="AF689" t="n">
        <v>3</v>
      </c>
      <c r="AG689" t="n">
        <v>3</v>
      </c>
      <c r="AH689" t="n">
        <v>1</v>
      </c>
      <c r="AI689" t="n">
        <v>1</v>
      </c>
      <c r="AJ689" t="n">
        <v>3</v>
      </c>
      <c r="AK689" t="n">
        <v>3</v>
      </c>
      <c r="AL689" t="n">
        <v>2</v>
      </c>
      <c r="AM689" t="n">
        <v>2</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HYPERLINK("https://creighton-primo.hosted.exlibrisgroup.com/primo-explore/search?tab=default_tab&amp;search_scope=EVERYTHING&amp;vid=01CRU&amp;lang=en_US&amp;offset=0&amp;query=any,contains,991004625619702656","Catalog Record")</f>
        <v/>
      </c>
      <c r="AT689">
        <f>HYPERLINK("http://www.worldcat.org/oclc/1648706","WorldCat Record")</f>
        <v/>
      </c>
      <c r="AU689" t="inlineStr">
        <is>
          <t>10596105373:eng</t>
        </is>
      </c>
      <c r="AV689" t="inlineStr">
        <is>
          <t>1648706</t>
        </is>
      </c>
      <c r="AW689" t="inlineStr">
        <is>
          <t>991004625619702656</t>
        </is>
      </c>
      <c r="AX689" t="inlineStr">
        <is>
          <t>991004625619702656</t>
        </is>
      </c>
      <c r="AY689" t="inlineStr">
        <is>
          <t>2259710980002656</t>
        </is>
      </c>
      <c r="AZ689" t="inlineStr">
        <is>
          <t>BOOK</t>
        </is>
      </c>
      <c r="BC689" t="inlineStr">
        <is>
          <t>32285002968864</t>
        </is>
      </c>
      <c r="BD689" t="inlineStr">
        <is>
          <t>893519859</t>
        </is>
      </c>
    </row>
    <row r="690">
      <c r="A690" t="inlineStr">
        <is>
          <t>No</t>
        </is>
      </c>
      <c r="B690" t="inlineStr">
        <is>
          <t>ND623.L5 B78 1998</t>
        </is>
      </c>
      <c r="C690" t="inlineStr">
        <is>
          <t>0                      ND 0623000L  5                  B  78          1998</t>
        </is>
      </c>
      <c r="D690" t="inlineStr">
        <is>
          <t>Leonardo da Vinci : origins of a genius / David Alan Brown.</t>
        </is>
      </c>
      <c r="F690" t="inlineStr">
        <is>
          <t>No</t>
        </is>
      </c>
      <c r="G690" t="inlineStr">
        <is>
          <t>1</t>
        </is>
      </c>
      <c r="H690" t="inlineStr">
        <is>
          <t>No</t>
        </is>
      </c>
      <c r="I690" t="inlineStr">
        <is>
          <t>No</t>
        </is>
      </c>
      <c r="J690" t="inlineStr">
        <is>
          <t>0</t>
        </is>
      </c>
      <c r="K690" t="inlineStr">
        <is>
          <t>Brown, David Alan, 1942-</t>
        </is>
      </c>
      <c r="L690" t="inlineStr">
        <is>
          <t>New Haven : Yale University Press, c1998.</t>
        </is>
      </c>
      <c r="M690" t="inlineStr">
        <is>
          <t>1998</t>
        </is>
      </c>
      <c r="O690" t="inlineStr">
        <is>
          <t>eng</t>
        </is>
      </c>
      <c r="P690" t="inlineStr">
        <is>
          <t>ctu</t>
        </is>
      </c>
      <c r="R690" t="inlineStr">
        <is>
          <t xml:space="preserve">ND </t>
        </is>
      </c>
      <c r="S690" t="n">
        <v>17</v>
      </c>
      <c r="T690" t="n">
        <v>17</v>
      </c>
      <c r="U690" t="inlineStr">
        <is>
          <t>2005-04-13</t>
        </is>
      </c>
      <c r="V690" t="inlineStr">
        <is>
          <t>2005-04-13</t>
        </is>
      </c>
      <c r="W690" t="inlineStr">
        <is>
          <t>1999-05-04</t>
        </is>
      </c>
      <c r="X690" t="inlineStr">
        <is>
          <t>1999-05-04</t>
        </is>
      </c>
      <c r="Y690" t="n">
        <v>1143</v>
      </c>
      <c r="Z690" t="n">
        <v>981</v>
      </c>
      <c r="AA690" t="n">
        <v>983</v>
      </c>
      <c r="AB690" t="n">
        <v>6</v>
      </c>
      <c r="AC690" t="n">
        <v>6</v>
      </c>
      <c r="AD690" t="n">
        <v>32</v>
      </c>
      <c r="AE690" t="n">
        <v>32</v>
      </c>
      <c r="AF690" t="n">
        <v>14</v>
      </c>
      <c r="AG690" t="n">
        <v>14</v>
      </c>
      <c r="AH690" t="n">
        <v>7</v>
      </c>
      <c r="AI690" t="n">
        <v>7</v>
      </c>
      <c r="AJ690" t="n">
        <v>14</v>
      </c>
      <c r="AK690" t="n">
        <v>14</v>
      </c>
      <c r="AL690" t="n">
        <v>5</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HYPERLINK("https://creighton-primo.hosted.exlibrisgroup.com/primo-explore/search?tab=default_tab&amp;search_scope=EVERYTHING&amp;vid=01CRU&amp;lang=en_US&amp;offset=0&amp;query=any,contains,991002922159702656","Catalog Record")</f>
        <v/>
      </c>
      <c r="AT690">
        <f>HYPERLINK("http://www.worldcat.org/oclc/38832584","WorldCat Record")</f>
        <v/>
      </c>
      <c r="AU690" t="inlineStr">
        <is>
          <t>1862634375:eng</t>
        </is>
      </c>
      <c r="AV690" t="inlineStr">
        <is>
          <t>38832584</t>
        </is>
      </c>
      <c r="AW690" t="inlineStr">
        <is>
          <t>991002922159702656</t>
        </is>
      </c>
      <c r="AX690" t="inlineStr">
        <is>
          <t>991002922159702656</t>
        </is>
      </c>
      <c r="AY690" t="inlineStr">
        <is>
          <t>2255109470002656</t>
        </is>
      </c>
      <c r="AZ690" t="inlineStr">
        <is>
          <t>BOOK</t>
        </is>
      </c>
      <c r="BB690" t="inlineStr">
        <is>
          <t>9780300072464</t>
        </is>
      </c>
      <c r="BC690" t="inlineStr">
        <is>
          <t>32285003558615</t>
        </is>
      </c>
      <c r="BD690" t="inlineStr">
        <is>
          <t>893622909</t>
        </is>
      </c>
    </row>
    <row r="691">
      <c r="A691" t="inlineStr">
        <is>
          <t>No</t>
        </is>
      </c>
      <c r="B691" t="inlineStr">
        <is>
          <t>ND623.L5 C8</t>
        </is>
      </c>
      <c r="C691" t="inlineStr">
        <is>
          <t>0                      ND 0623000L  5                  C  8</t>
        </is>
      </c>
      <c r="D691" t="inlineStr">
        <is>
          <t>Leonardo da Vinci, by R. H. Hobart Cust.</t>
        </is>
      </c>
      <c r="F691" t="inlineStr">
        <is>
          <t>No</t>
        </is>
      </c>
      <c r="G691" t="inlineStr">
        <is>
          <t>1</t>
        </is>
      </c>
      <c r="H691" t="inlineStr">
        <is>
          <t>No</t>
        </is>
      </c>
      <c r="I691" t="inlineStr">
        <is>
          <t>No</t>
        </is>
      </c>
      <c r="J691" t="inlineStr">
        <is>
          <t>0</t>
        </is>
      </c>
      <c r="K691" t="inlineStr">
        <is>
          <t>Cust, Robert H. Hobart (Robert Henry Hobart), 1861-</t>
        </is>
      </c>
      <c r="L691" t="inlineStr">
        <is>
          <t>London, G. Bell &amp; sons, 1908.</t>
        </is>
      </c>
      <c r="M691" t="inlineStr">
        <is>
          <t>1908</t>
        </is>
      </c>
      <c r="O691" t="inlineStr">
        <is>
          <t>eng</t>
        </is>
      </c>
      <c r="P691" t="inlineStr">
        <is>
          <t xml:space="preserve">xx </t>
        </is>
      </c>
      <c r="Q691" t="inlineStr">
        <is>
          <t>Bell's miniature series of painters</t>
        </is>
      </c>
      <c r="R691" t="inlineStr">
        <is>
          <t xml:space="preserve">ND </t>
        </is>
      </c>
      <c r="S691" t="n">
        <v>7</v>
      </c>
      <c r="T691" t="n">
        <v>7</v>
      </c>
      <c r="U691" t="inlineStr">
        <is>
          <t>2005-04-13</t>
        </is>
      </c>
      <c r="V691" t="inlineStr">
        <is>
          <t>2005-04-13</t>
        </is>
      </c>
      <c r="W691" t="inlineStr">
        <is>
          <t>1997-07-30</t>
        </is>
      </c>
      <c r="X691" t="inlineStr">
        <is>
          <t>1997-07-30</t>
        </is>
      </c>
      <c r="Y691" t="n">
        <v>48</v>
      </c>
      <c r="Z691" t="n">
        <v>39</v>
      </c>
      <c r="AA691" t="n">
        <v>46</v>
      </c>
      <c r="AB691" t="n">
        <v>2</v>
      </c>
      <c r="AC691" t="n">
        <v>2</v>
      </c>
      <c r="AD691" t="n">
        <v>2</v>
      </c>
      <c r="AE691" t="n">
        <v>2</v>
      </c>
      <c r="AF691" t="n">
        <v>0</v>
      </c>
      <c r="AG691" t="n">
        <v>0</v>
      </c>
      <c r="AH691" t="n">
        <v>0</v>
      </c>
      <c r="AI691" t="n">
        <v>0</v>
      </c>
      <c r="AJ691" t="n">
        <v>2</v>
      </c>
      <c r="AK691" t="n">
        <v>2</v>
      </c>
      <c r="AL691" t="n">
        <v>0</v>
      </c>
      <c r="AM691" t="n">
        <v>0</v>
      </c>
      <c r="AN691" t="n">
        <v>0</v>
      </c>
      <c r="AO691" t="n">
        <v>0</v>
      </c>
      <c r="AP691" t="inlineStr">
        <is>
          <t>Yes</t>
        </is>
      </c>
      <c r="AQ691" t="inlineStr">
        <is>
          <t>No</t>
        </is>
      </c>
      <c r="AR691">
        <f>HYPERLINK("http://catalog.hathitrust.org/Record/000568623","HathiTrust Record")</f>
        <v/>
      </c>
      <c r="AS691">
        <f>HYPERLINK("https://creighton-primo.hosted.exlibrisgroup.com/primo-explore/search?tab=default_tab&amp;search_scope=EVERYTHING&amp;vid=01CRU&amp;lang=en_US&amp;offset=0&amp;query=any,contains,991002919659702656","Catalog Record")</f>
        <v/>
      </c>
      <c r="AT691">
        <f>HYPERLINK("http://www.worldcat.org/oclc/526141","WorldCat Record")</f>
        <v/>
      </c>
      <c r="AU691" t="inlineStr">
        <is>
          <t>4495165296:eng</t>
        </is>
      </c>
      <c r="AV691" t="inlineStr">
        <is>
          <t>526141</t>
        </is>
      </c>
      <c r="AW691" t="inlineStr">
        <is>
          <t>991002919659702656</t>
        </is>
      </c>
      <c r="AX691" t="inlineStr">
        <is>
          <t>991002919659702656</t>
        </is>
      </c>
      <c r="AY691" t="inlineStr">
        <is>
          <t>2262241980002656</t>
        </is>
      </c>
      <c r="AZ691" t="inlineStr">
        <is>
          <t>BOOK</t>
        </is>
      </c>
      <c r="BC691" t="inlineStr">
        <is>
          <t>32285002968898</t>
        </is>
      </c>
      <c r="BD691" t="inlineStr">
        <is>
          <t>893517929</t>
        </is>
      </c>
    </row>
    <row r="692">
      <c r="A692" t="inlineStr">
        <is>
          <t>No</t>
        </is>
      </c>
      <c r="B692" t="inlineStr">
        <is>
          <t>ND623.L5 I5</t>
        </is>
      </c>
      <c r="C692" t="inlineStr">
        <is>
          <t>0                      ND 0623000L  5                  I  5</t>
        </is>
      </c>
      <c r="D692" t="inlineStr">
        <is>
          <t>Leonardo da Vinci : [biographical sketch / by Richard McLanathan. Illustrations of models built according to Leonardo's scientific and technical drawings, selected from IBM's larger collection.</t>
        </is>
      </c>
      <c r="F692" t="inlineStr">
        <is>
          <t>No</t>
        </is>
      </c>
      <c r="G692" t="inlineStr">
        <is>
          <t>1</t>
        </is>
      </c>
      <c r="H692" t="inlineStr">
        <is>
          <t>No</t>
        </is>
      </c>
      <c r="I692" t="inlineStr">
        <is>
          <t>No</t>
        </is>
      </c>
      <c r="J692" t="inlineStr">
        <is>
          <t>0</t>
        </is>
      </c>
      <c r="K692" t="inlineStr">
        <is>
          <t>International Business Machines Corporation. Department of Arts and Sciences.</t>
        </is>
      </c>
      <c r="M692" t="inlineStr">
        <is>
          <t>1966</t>
        </is>
      </c>
      <c r="O692" t="inlineStr">
        <is>
          <t>eng</t>
        </is>
      </c>
      <c r="P692" t="inlineStr">
        <is>
          <t xml:space="preserve">xx </t>
        </is>
      </c>
      <c r="R692" t="inlineStr">
        <is>
          <t xml:space="preserve">ND </t>
        </is>
      </c>
      <c r="S692" t="n">
        <v>3</v>
      </c>
      <c r="T692" t="n">
        <v>3</v>
      </c>
      <c r="U692" t="inlineStr">
        <is>
          <t>2000-11-05</t>
        </is>
      </c>
      <c r="V692" t="inlineStr">
        <is>
          <t>2000-11-05</t>
        </is>
      </c>
      <c r="W692" t="inlineStr">
        <is>
          <t>1992-01-14</t>
        </is>
      </c>
      <c r="X692" t="inlineStr">
        <is>
          <t>1992-01-14</t>
        </is>
      </c>
      <c r="Y692" t="n">
        <v>75</v>
      </c>
      <c r="Z692" t="n">
        <v>75</v>
      </c>
      <c r="AA692" t="n">
        <v>94</v>
      </c>
      <c r="AB692" t="n">
        <v>2</v>
      </c>
      <c r="AC692" t="n">
        <v>2</v>
      </c>
      <c r="AD692" t="n">
        <v>4</v>
      </c>
      <c r="AE692" t="n">
        <v>4</v>
      </c>
      <c r="AF692" t="n">
        <v>2</v>
      </c>
      <c r="AG692" t="n">
        <v>2</v>
      </c>
      <c r="AH692" t="n">
        <v>0</v>
      </c>
      <c r="AI692" t="n">
        <v>0</v>
      </c>
      <c r="AJ692" t="n">
        <v>1</v>
      </c>
      <c r="AK692" t="n">
        <v>1</v>
      </c>
      <c r="AL692" t="n">
        <v>1</v>
      </c>
      <c r="AM692" t="n">
        <v>1</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HYPERLINK("https://creighton-primo.hosted.exlibrisgroup.com/primo-explore/search?tab=default_tab&amp;search_scope=EVERYTHING&amp;vid=01CRU&amp;lang=en_US&amp;offset=0&amp;query=any,contains,991002744179702656","Catalog Record")</f>
        <v/>
      </c>
      <c r="AT692">
        <f>HYPERLINK("http://www.worldcat.org/oclc/422211","WorldCat Record")</f>
        <v/>
      </c>
      <c r="AU692" t="inlineStr">
        <is>
          <t>9936648182:eng</t>
        </is>
      </c>
      <c r="AV692" t="inlineStr">
        <is>
          <t>422211</t>
        </is>
      </c>
      <c r="AW692" t="inlineStr">
        <is>
          <t>991002744179702656</t>
        </is>
      </c>
      <c r="AX692" t="inlineStr">
        <is>
          <t>991002744179702656</t>
        </is>
      </c>
      <c r="AY692" t="inlineStr">
        <is>
          <t>2267533660002656</t>
        </is>
      </c>
      <c r="AZ692" t="inlineStr">
        <is>
          <t>BOOK</t>
        </is>
      </c>
      <c r="BC692" t="inlineStr">
        <is>
          <t>32285000913649</t>
        </is>
      </c>
      <c r="BD692" t="inlineStr">
        <is>
          <t>893773977</t>
        </is>
      </c>
    </row>
    <row r="693">
      <c r="A693" t="inlineStr">
        <is>
          <t>No</t>
        </is>
      </c>
      <c r="B693" t="inlineStr">
        <is>
          <t>ND623.L5 K58</t>
        </is>
      </c>
      <c r="C693" t="inlineStr">
        <is>
          <t>0                      ND 0623000L  5                  K  58</t>
        </is>
      </c>
      <c r="D693" t="inlineStr">
        <is>
          <t>The Last Supper of Leonardo da Vinci, an account of the re-creation, by Lumen Martin Winter; text by Harrison Kinney.</t>
        </is>
      </c>
      <c r="F693" t="inlineStr">
        <is>
          <t>No</t>
        </is>
      </c>
      <c r="G693" t="inlineStr">
        <is>
          <t>1</t>
        </is>
      </c>
      <c r="H693" t="inlineStr">
        <is>
          <t>No</t>
        </is>
      </c>
      <c r="I693" t="inlineStr">
        <is>
          <t>No</t>
        </is>
      </c>
      <c r="J693" t="inlineStr">
        <is>
          <t>0</t>
        </is>
      </c>
      <c r="K693" t="inlineStr">
        <is>
          <t>Kinney, Harrison.</t>
        </is>
      </c>
      <c r="L693" t="inlineStr">
        <is>
          <t>New York, Coward-McCann [1953]</t>
        </is>
      </c>
      <c r="M693" t="inlineStr">
        <is>
          <t>1953</t>
        </is>
      </c>
      <c r="O693" t="inlineStr">
        <is>
          <t>eng</t>
        </is>
      </c>
      <c r="P693" t="inlineStr">
        <is>
          <t>nyu</t>
        </is>
      </c>
      <c r="R693" t="inlineStr">
        <is>
          <t xml:space="preserve">ND </t>
        </is>
      </c>
      <c r="S693" t="n">
        <v>5</v>
      </c>
      <c r="T693" t="n">
        <v>5</v>
      </c>
      <c r="U693" t="inlineStr">
        <is>
          <t>2010-10-18</t>
        </is>
      </c>
      <c r="V693" t="inlineStr">
        <is>
          <t>2010-10-18</t>
        </is>
      </c>
      <c r="W693" t="inlineStr">
        <is>
          <t>1997-07-30</t>
        </is>
      </c>
      <c r="X693" t="inlineStr">
        <is>
          <t>1997-07-30</t>
        </is>
      </c>
      <c r="Y693" t="n">
        <v>247</v>
      </c>
      <c r="Z693" t="n">
        <v>238</v>
      </c>
      <c r="AA693" t="n">
        <v>247</v>
      </c>
      <c r="AB693" t="n">
        <v>3</v>
      </c>
      <c r="AC693" t="n">
        <v>3</v>
      </c>
      <c r="AD693" t="n">
        <v>8</v>
      </c>
      <c r="AE693" t="n">
        <v>8</v>
      </c>
      <c r="AF693" t="n">
        <v>3</v>
      </c>
      <c r="AG693" t="n">
        <v>3</v>
      </c>
      <c r="AH693" t="n">
        <v>2</v>
      </c>
      <c r="AI693" t="n">
        <v>2</v>
      </c>
      <c r="AJ693" t="n">
        <v>4</v>
      </c>
      <c r="AK693" t="n">
        <v>4</v>
      </c>
      <c r="AL693" t="n">
        <v>1</v>
      </c>
      <c r="AM693" t="n">
        <v>1</v>
      </c>
      <c r="AN693" t="n">
        <v>0</v>
      </c>
      <c r="AO693" t="n">
        <v>0</v>
      </c>
      <c r="AP693" t="inlineStr">
        <is>
          <t>No</t>
        </is>
      </c>
      <c r="AQ693" t="inlineStr">
        <is>
          <t>Yes</t>
        </is>
      </c>
      <c r="AR693">
        <f>HYPERLINK("http://catalog.hathitrust.org/Record/006685272","HathiTrust Record")</f>
        <v/>
      </c>
      <c r="AS693">
        <f>HYPERLINK("https://creighton-primo.hosted.exlibrisgroup.com/primo-explore/search?tab=default_tab&amp;search_scope=EVERYTHING&amp;vid=01CRU&amp;lang=en_US&amp;offset=0&amp;query=any,contains,991003321369702656","Catalog Record")</f>
        <v/>
      </c>
      <c r="AT693">
        <f>HYPERLINK("http://www.worldcat.org/oclc/849375","WorldCat Record")</f>
        <v/>
      </c>
      <c r="AU693" t="inlineStr">
        <is>
          <t>2048595798:eng</t>
        </is>
      </c>
      <c r="AV693" t="inlineStr">
        <is>
          <t>849375</t>
        </is>
      </c>
      <c r="AW693" t="inlineStr">
        <is>
          <t>991003321369702656</t>
        </is>
      </c>
      <c r="AX693" t="inlineStr">
        <is>
          <t>991003321369702656</t>
        </is>
      </c>
      <c r="AY693" t="inlineStr">
        <is>
          <t>2270794540002656</t>
        </is>
      </c>
      <c r="AZ693" t="inlineStr">
        <is>
          <t>BOOK</t>
        </is>
      </c>
      <c r="BC693" t="inlineStr">
        <is>
          <t>32285002968906</t>
        </is>
      </c>
      <c r="BD693" t="inlineStr">
        <is>
          <t>893524680</t>
        </is>
      </c>
    </row>
    <row r="694">
      <c r="A694" t="inlineStr">
        <is>
          <t>No</t>
        </is>
      </c>
      <c r="B694" t="inlineStr">
        <is>
          <t>ND623.L5 L43</t>
        </is>
      </c>
      <c r="C694" t="inlineStr">
        <is>
          <t>0                      ND 0623000L  5                  L  43</t>
        </is>
      </c>
      <c r="D694" t="inlineStr">
        <is>
          <t>Leonardo's legacy : an international symposium / edited by C. D. O'Malley.</t>
        </is>
      </c>
      <c r="F694" t="inlineStr">
        <is>
          <t>No</t>
        </is>
      </c>
      <c r="G694" t="inlineStr">
        <is>
          <t>1</t>
        </is>
      </c>
      <c r="H694" t="inlineStr">
        <is>
          <t>No</t>
        </is>
      </c>
      <c r="I694" t="inlineStr">
        <is>
          <t>No</t>
        </is>
      </c>
      <c r="J694" t="inlineStr">
        <is>
          <t>0</t>
        </is>
      </c>
      <c r="L694" t="inlineStr">
        <is>
          <t>Berkeley, Calif. : University of California Press, 1969.</t>
        </is>
      </c>
      <c r="M694" t="inlineStr">
        <is>
          <t>1969</t>
        </is>
      </c>
      <c r="O694" t="inlineStr">
        <is>
          <t>eng</t>
        </is>
      </c>
      <c r="P694" t="inlineStr">
        <is>
          <t>cau</t>
        </is>
      </c>
      <c r="Q694" t="inlineStr">
        <is>
          <t>UCLA Center for Medieval and Renaissance Studies. Publication no. 2</t>
        </is>
      </c>
      <c r="R694" t="inlineStr">
        <is>
          <t xml:space="preserve">ND </t>
        </is>
      </c>
      <c r="S694" t="n">
        <v>9</v>
      </c>
      <c r="T694" t="n">
        <v>9</v>
      </c>
      <c r="U694" t="inlineStr">
        <is>
          <t>2005-03-30</t>
        </is>
      </c>
      <c r="V694" t="inlineStr">
        <is>
          <t>2005-03-30</t>
        </is>
      </c>
      <c r="W694" t="inlineStr">
        <is>
          <t>1993-04-13</t>
        </is>
      </c>
      <c r="X694" t="inlineStr">
        <is>
          <t>1993-04-13</t>
        </is>
      </c>
      <c r="Y694" t="n">
        <v>834</v>
      </c>
      <c r="Z694" t="n">
        <v>698</v>
      </c>
      <c r="AA694" t="n">
        <v>699</v>
      </c>
      <c r="AB694" t="n">
        <v>7</v>
      </c>
      <c r="AC694" t="n">
        <v>7</v>
      </c>
      <c r="AD694" t="n">
        <v>32</v>
      </c>
      <c r="AE694" t="n">
        <v>32</v>
      </c>
      <c r="AF694" t="n">
        <v>12</v>
      </c>
      <c r="AG694" t="n">
        <v>12</v>
      </c>
      <c r="AH694" t="n">
        <v>8</v>
      </c>
      <c r="AI694" t="n">
        <v>8</v>
      </c>
      <c r="AJ694" t="n">
        <v>14</v>
      </c>
      <c r="AK694" t="n">
        <v>14</v>
      </c>
      <c r="AL694" t="n">
        <v>6</v>
      </c>
      <c r="AM694" t="n">
        <v>6</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HYPERLINK("https://creighton-primo.hosted.exlibrisgroup.com/primo-explore/search?tab=default_tab&amp;search_scope=EVERYTHING&amp;vid=01CRU&amp;lang=en_US&amp;offset=0&amp;query=any,contains,991002775959702656","Catalog Record")</f>
        <v/>
      </c>
      <c r="AT694">
        <f>HYPERLINK("http://www.worldcat.org/oclc/438702","WorldCat Record")</f>
        <v/>
      </c>
      <c r="AU694" t="inlineStr">
        <is>
          <t>1561883:eng</t>
        </is>
      </c>
      <c r="AV694" t="inlineStr">
        <is>
          <t>438702</t>
        </is>
      </c>
      <c r="AW694" t="inlineStr">
        <is>
          <t>991002775959702656</t>
        </is>
      </c>
      <c r="AX694" t="inlineStr">
        <is>
          <t>991002775959702656</t>
        </is>
      </c>
      <c r="AY694" t="inlineStr">
        <is>
          <t>2265352430002656</t>
        </is>
      </c>
      <c r="AZ694" t="inlineStr">
        <is>
          <t>BOOK</t>
        </is>
      </c>
      <c r="BC694" t="inlineStr">
        <is>
          <t>32285001616993</t>
        </is>
      </c>
      <c r="BD694" t="inlineStr">
        <is>
          <t>893341834</t>
        </is>
      </c>
    </row>
    <row r="695">
      <c r="A695" t="inlineStr">
        <is>
          <t>No</t>
        </is>
      </c>
      <c r="B695" t="inlineStr">
        <is>
          <t>ND623.L5 M32413 2000</t>
        </is>
      </c>
      <c r="C695" t="inlineStr">
        <is>
          <t>0                      ND 0623000L  5                  M  32413       2000</t>
        </is>
      </c>
      <c r="D695" t="inlineStr">
        <is>
          <t>Leonardo da Vinci--the complete paintings / Pietro C. Marani ; appendices edited by Pietro C. Marani and Edoardo Villata.</t>
        </is>
      </c>
      <c r="F695" t="inlineStr">
        <is>
          <t>No</t>
        </is>
      </c>
      <c r="G695" t="inlineStr">
        <is>
          <t>1</t>
        </is>
      </c>
      <c r="H695" t="inlineStr">
        <is>
          <t>No</t>
        </is>
      </c>
      <c r="I695" t="inlineStr">
        <is>
          <t>No</t>
        </is>
      </c>
      <c r="J695" t="inlineStr">
        <is>
          <t>0</t>
        </is>
      </c>
      <c r="K695" t="inlineStr">
        <is>
          <t>Marani, Pietro C.</t>
        </is>
      </c>
      <c r="L695" t="inlineStr">
        <is>
          <t>New York City : Abrams, 2000.</t>
        </is>
      </c>
      <c r="M695" t="inlineStr">
        <is>
          <t>2000</t>
        </is>
      </c>
      <c r="O695" t="inlineStr">
        <is>
          <t>eng</t>
        </is>
      </c>
      <c r="P695" t="inlineStr">
        <is>
          <t>nyu</t>
        </is>
      </c>
      <c r="R695" t="inlineStr">
        <is>
          <t xml:space="preserve">ND </t>
        </is>
      </c>
      <c r="S695" t="n">
        <v>12</v>
      </c>
      <c r="T695" t="n">
        <v>12</v>
      </c>
      <c r="U695" t="inlineStr">
        <is>
          <t>2009-09-29</t>
        </is>
      </c>
      <c r="V695" t="inlineStr">
        <is>
          <t>2009-09-29</t>
        </is>
      </c>
      <c r="W695" t="inlineStr">
        <is>
          <t>2002-04-15</t>
        </is>
      </c>
      <c r="X695" t="inlineStr">
        <is>
          <t>2002-04-15</t>
        </is>
      </c>
      <c r="Y695" t="n">
        <v>1372</v>
      </c>
      <c r="Z695" t="n">
        <v>1229</v>
      </c>
      <c r="AA695" t="n">
        <v>1404</v>
      </c>
      <c r="AB695" t="n">
        <v>10</v>
      </c>
      <c r="AC695" t="n">
        <v>10</v>
      </c>
      <c r="AD695" t="n">
        <v>31</v>
      </c>
      <c r="AE695" t="n">
        <v>32</v>
      </c>
      <c r="AF695" t="n">
        <v>15</v>
      </c>
      <c r="AG695" t="n">
        <v>16</v>
      </c>
      <c r="AH695" t="n">
        <v>7</v>
      </c>
      <c r="AI695" t="n">
        <v>8</v>
      </c>
      <c r="AJ695" t="n">
        <v>15</v>
      </c>
      <c r="AK695" t="n">
        <v>15</v>
      </c>
      <c r="AL695" t="n">
        <v>3</v>
      </c>
      <c r="AM695" t="n">
        <v>3</v>
      </c>
      <c r="AN695" t="n">
        <v>0</v>
      </c>
      <c r="AO695" t="n">
        <v>0</v>
      </c>
      <c r="AP695" t="inlineStr">
        <is>
          <t>No</t>
        </is>
      </c>
      <c r="AQ695" t="inlineStr">
        <is>
          <t>Yes</t>
        </is>
      </c>
      <c r="AR695">
        <f>HYPERLINK("http://catalog.hathitrust.org/Record/004132763","HathiTrust Record")</f>
        <v/>
      </c>
      <c r="AS695">
        <f>HYPERLINK("https://creighton-primo.hosted.exlibrisgroup.com/primo-explore/search?tab=default_tab&amp;search_scope=EVERYTHING&amp;vid=01CRU&amp;lang=en_US&amp;offset=0&amp;query=any,contains,991003782129702656","Catalog Record")</f>
        <v/>
      </c>
      <c r="AT695">
        <f>HYPERLINK("http://www.worldcat.org/oclc/43567552","WorldCat Record")</f>
        <v/>
      </c>
      <c r="AU695" t="inlineStr">
        <is>
          <t>3882884988:eng</t>
        </is>
      </c>
      <c r="AV695" t="inlineStr">
        <is>
          <t>43567552</t>
        </is>
      </c>
      <c r="AW695" t="inlineStr">
        <is>
          <t>991003782129702656</t>
        </is>
      </c>
      <c r="AX695" t="inlineStr">
        <is>
          <t>991003782129702656</t>
        </is>
      </c>
      <c r="AY695" t="inlineStr">
        <is>
          <t>2261884460002656</t>
        </is>
      </c>
      <c r="AZ695" t="inlineStr">
        <is>
          <t>BOOK</t>
        </is>
      </c>
      <c r="BB695" t="inlineStr">
        <is>
          <t>9780810927230</t>
        </is>
      </c>
      <c r="BC695" t="inlineStr">
        <is>
          <t>32285004479076</t>
        </is>
      </c>
      <c r="BD695" t="inlineStr">
        <is>
          <t>893429219</t>
        </is>
      </c>
    </row>
    <row r="696">
      <c r="A696" t="inlineStr">
        <is>
          <t>No</t>
        </is>
      </c>
      <c r="B696" t="inlineStr">
        <is>
          <t>ND623.L5 R45</t>
        </is>
      </c>
      <c r="C696" t="inlineStr">
        <is>
          <t>0                      ND 0623000L  5                  R  45</t>
        </is>
      </c>
      <c r="D696" t="inlineStr">
        <is>
          <t>The unknown Leonardo / edited by Ladislao Reti. Designed by EmilM. Bührer.</t>
        </is>
      </c>
      <c r="F696" t="inlineStr">
        <is>
          <t>No</t>
        </is>
      </c>
      <c r="G696" t="inlineStr">
        <is>
          <t>2</t>
        </is>
      </c>
      <c r="H696" t="inlineStr">
        <is>
          <t>Yes</t>
        </is>
      </c>
      <c r="I696" t="inlineStr">
        <is>
          <t>No</t>
        </is>
      </c>
      <c r="J696" t="inlineStr">
        <is>
          <t>0</t>
        </is>
      </c>
      <c r="K696" t="inlineStr">
        <is>
          <t>Reti, Ladislao.</t>
        </is>
      </c>
      <c r="L696" t="inlineStr">
        <is>
          <t>New York : McGraw-Hill, c1974.</t>
        </is>
      </c>
      <c r="M696" t="inlineStr">
        <is>
          <t>1974</t>
        </is>
      </c>
      <c r="O696" t="inlineStr">
        <is>
          <t>eng</t>
        </is>
      </c>
      <c r="P696" t="inlineStr">
        <is>
          <t>nyu</t>
        </is>
      </c>
      <c r="R696" t="inlineStr">
        <is>
          <t xml:space="preserve">ND </t>
        </is>
      </c>
      <c r="S696" t="n">
        <v>2</v>
      </c>
      <c r="T696" t="n">
        <v>6</v>
      </c>
      <c r="U696" t="inlineStr">
        <is>
          <t>2003-01-30</t>
        </is>
      </c>
      <c r="V696" t="inlineStr">
        <is>
          <t>2005-04-13</t>
        </is>
      </c>
      <c r="W696" t="inlineStr">
        <is>
          <t>1995-07-31</t>
        </is>
      </c>
      <c r="X696" t="inlineStr">
        <is>
          <t>1995-07-31</t>
        </is>
      </c>
      <c r="Y696" t="n">
        <v>1343</v>
      </c>
      <c r="Z696" t="n">
        <v>1253</v>
      </c>
      <c r="AA696" t="n">
        <v>1430</v>
      </c>
      <c r="AB696" t="n">
        <v>14</v>
      </c>
      <c r="AC696" t="n">
        <v>15</v>
      </c>
      <c r="AD696" t="n">
        <v>35</v>
      </c>
      <c r="AE696" t="n">
        <v>42</v>
      </c>
      <c r="AF696" t="n">
        <v>16</v>
      </c>
      <c r="AG696" t="n">
        <v>18</v>
      </c>
      <c r="AH696" t="n">
        <v>8</v>
      </c>
      <c r="AI696" t="n">
        <v>9</v>
      </c>
      <c r="AJ696" t="n">
        <v>14</v>
      </c>
      <c r="AK696" t="n">
        <v>19</v>
      </c>
      <c r="AL696" t="n">
        <v>7</v>
      </c>
      <c r="AM696" t="n">
        <v>8</v>
      </c>
      <c r="AN696" t="n">
        <v>0</v>
      </c>
      <c r="AO696" t="n">
        <v>0</v>
      </c>
      <c r="AP696" t="inlineStr">
        <is>
          <t>No</t>
        </is>
      </c>
      <c r="AQ696" t="inlineStr">
        <is>
          <t>Yes</t>
        </is>
      </c>
      <c r="AR696">
        <f>HYPERLINK("http://catalog.hathitrust.org/Record/000568720","HathiTrust Record")</f>
        <v/>
      </c>
      <c r="AS696">
        <f>HYPERLINK("https://creighton-primo.hosted.exlibrisgroup.com/primo-explore/search?tab=default_tab&amp;search_scope=EVERYTHING&amp;vid=01CRU&amp;lang=en_US&amp;offset=0&amp;query=any,contains,991003167989702656","Catalog Record")</f>
        <v/>
      </c>
      <c r="AT696">
        <f>HYPERLINK("http://www.worldcat.org/oclc/704980","WorldCat Record")</f>
        <v/>
      </c>
      <c r="AU696" t="inlineStr">
        <is>
          <t>346525075:eng</t>
        </is>
      </c>
      <c r="AV696" t="inlineStr">
        <is>
          <t>704980</t>
        </is>
      </c>
      <c r="AW696" t="inlineStr">
        <is>
          <t>991003167989702656</t>
        </is>
      </c>
      <c r="AX696" t="inlineStr">
        <is>
          <t>991003167989702656</t>
        </is>
      </c>
      <c r="AY696" t="inlineStr">
        <is>
          <t>2259225280002656</t>
        </is>
      </c>
      <c r="AZ696" t="inlineStr">
        <is>
          <t>BOOK</t>
        </is>
      </c>
      <c r="BB696" t="inlineStr">
        <is>
          <t>9780070371965</t>
        </is>
      </c>
      <c r="BC696" t="inlineStr">
        <is>
          <t>32285002060985</t>
        </is>
      </c>
      <c r="BD696" t="inlineStr">
        <is>
          <t>893518207</t>
        </is>
      </c>
    </row>
    <row r="697">
      <c r="A697" t="inlineStr">
        <is>
          <t>No</t>
        </is>
      </c>
      <c r="B697" t="inlineStr">
        <is>
          <t>ND623.L5 R45</t>
        </is>
      </c>
      <c r="C697" t="inlineStr">
        <is>
          <t>0                      ND 0623000L  5                  R  45</t>
        </is>
      </c>
      <c r="D697" t="inlineStr">
        <is>
          <t>The unknown Leonardo / edited by Ladislao Reti. Designed by EmilM. Bührer.</t>
        </is>
      </c>
      <c r="F697" t="inlineStr">
        <is>
          <t>No</t>
        </is>
      </c>
      <c r="G697" t="inlineStr">
        <is>
          <t>1</t>
        </is>
      </c>
      <c r="H697" t="inlineStr">
        <is>
          <t>Yes</t>
        </is>
      </c>
      <c r="I697" t="inlineStr">
        <is>
          <t>No</t>
        </is>
      </c>
      <c r="J697" t="inlineStr">
        <is>
          <t>0</t>
        </is>
      </c>
      <c r="K697" t="inlineStr">
        <is>
          <t>Reti, Ladislao.</t>
        </is>
      </c>
      <c r="L697" t="inlineStr">
        <is>
          <t>New York : McGraw-Hill, c1974.</t>
        </is>
      </c>
      <c r="M697" t="inlineStr">
        <is>
          <t>1974</t>
        </is>
      </c>
      <c r="O697" t="inlineStr">
        <is>
          <t>eng</t>
        </is>
      </c>
      <c r="P697" t="inlineStr">
        <is>
          <t>nyu</t>
        </is>
      </c>
      <c r="R697" t="inlineStr">
        <is>
          <t xml:space="preserve">ND </t>
        </is>
      </c>
      <c r="S697" t="n">
        <v>4</v>
      </c>
      <c r="T697" t="n">
        <v>6</v>
      </c>
      <c r="U697" t="inlineStr">
        <is>
          <t>2005-04-13</t>
        </is>
      </c>
      <c r="V697" t="inlineStr">
        <is>
          <t>2005-04-13</t>
        </is>
      </c>
      <c r="W697" t="inlineStr">
        <is>
          <t>1990-04-12</t>
        </is>
      </c>
      <c r="X697" t="inlineStr">
        <is>
          <t>1995-07-31</t>
        </is>
      </c>
      <c r="Y697" t="n">
        <v>1343</v>
      </c>
      <c r="Z697" t="n">
        <v>1253</v>
      </c>
      <c r="AA697" t="n">
        <v>1430</v>
      </c>
      <c r="AB697" t="n">
        <v>14</v>
      </c>
      <c r="AC697" t="n">
        <v>15</v>
      </c>
      <c r="AD697" t="n">
        <v>35</v>
      </c>
      <c r="AE697" t="n">
        <v>42</v>
      </c>
      <c r="AF697" t="n">
        <v>16</v>
      </c>
      <c r="AG697" t="n">
        <v>18</v>
      </c>
      <c r="AH697" t="n">
        <v>8</v>
      </c>
      <c r="AI697" t="n">
        <v>9</v>
      </c>
      <c r="AJ697" t="n">
        <v>14</v>
      </c>
      <c r="AK697" t="n">
        <v>19</v>
      </c>
      <c r="AL697" t="n">
        <v>7</v>
      </c>
      <c r="AM697" t="n">
        <v>8</v>
      </c>
      <c r="AN697" t="n">
        <v>0</v>
      </c>
      <c r="AO697" t="n">
        <v>0</v>
      </c>
      <c r="AP697" t="inlineStr">
        <is>
          <t>No</t>
        </is>
      </c>
      <c r="AQ697" t="inlineStr">
        <is>
          <t>Yes</t>
        </is>
      </c>
      <c r="AR697">
        <f>HYPERLINK("http://catalog.hathitrust.org/Record/000568720","HathiTrust Record")</f>
        <v/>
      </c>
      <c r="AS697">
        <f>HYPERLINK("https://creighton-primo.hosted.exlibrisgroup.com/primo-explore/search?tab=default_tab&amp;search_scope=EVERYTHING&amp;vid=01CRU&amp;lang=en_US&amp;offset=0&amp;query=any,contains,991003167989702656","Catalog Record")</f>
        <v/>
      </c>
      <c r="AT697">
        <f>HYPERLINK("http://www.worldcat.org/oclc/704980","WorldCat Record")</f>
        <v/>
      </c>
      <c r="AU697" t="inlineStr">
        <is>
          <t>346525075:eng</t>
        </is>
      </c>
      <c r="AV697" t="inlineStr">
        <is>
          <t>704980</t>
        </is>
      </c>
      <c r="AW697" t="inlineStr">
        <is>
          <t>991003167989702656</t>
        </is>
      </c>
      <c r="AX697" t="inlineStr">
        <is>
          <t>991003167989702656</t>
        </is>
      </c>
      <c r="AY697" t="inlineStr">
        <is>
          <t>2259225280002656</t>
        </is>
      </c>
      <c r="AZ697" t="inlineStr">
        <is>
          <t>BOOK</t>
        </is>
      </c>
      <c r="BB697" t="inlineStr">
        <is>
          <t>9780070371965</t>
        </is>
      </c>
      <c r="BC697" t="inlineStr">
        <is>
          <t>32285000122118</t>
        </is>
      </c>
      <c r="BD697" t="inlineStr">
        <is>
          <t>893530902</t>
        </is>
      </c>
    </row>
    <row r="698">
      <c r="A698" t="inlineStr">
        <is>
          <t>No</t>
        </is>
      </c>
      <c r="B698" t="inlineStr">
        <is>
          <t>ND623.L5 R62</t>
        </is>
      </c>
      <c r="C698" t="inlineStr">
        <is>
          <t>0                      ND 0623000L  5                  R  62</t>
        </is>
      </c>
      <c r="D698" t="inlineStr">
        <is>
          <t>Leonardo &amp; the age of the eye [by] Ritchie Calder.</t>
        </is>
      </c>
      <c r="F698" t="inlineStr">
        <is>
          <t>No</t>
        </is>
      </c>
      <c r="G698" t="inlineStr">
        <is>
          <t>1</t>
        </is>
      </c>
      <c r="H698" t="inlineStr">
        <is>
          <t>No</t>
        </is>
      </c>
      <c r="I698" t="inlineStr">
        <is>
          <t>No</t>
        </is>
      </c>
      <c r="J698" t="inlineStr">
        <is>
          <t>0</t>
        </is>
      </c>
      <c r="K698" t="inlineStr">
        <is>
          <t>Calder, Ritchie, 1906-1982.</t>
        </is>
      </c>
      <c r="L698" t="inlineStr">
        <is>
          <t>New York, Simon and Schuster [1970]</t>
        </is>
      </c>
      <c r="M698" t="inlineStr">
        <is>
          <t>1970</t>
        </is>
      </c>
      <c r="O698" t="inlineStr">
        <is>
          <t>eng</t>
        </is>
      </c>
      <c r="P698" t="inlineStr">
        <is>
          <t>nyu</t>
        </is>
      </c>
      <c r="R698" t="inlineStr">
        <is>
          <t xml:space="preserve">ND </t>
        </is>
      </c>
      <c r="S698" t="n">
        <v>7</v>
      </c>
      <c r="T698" t="n">
        <v>7</v>
      </c>
      <c r="U698" t="inlineStr">
        <is>
          <t>2006-09-28</t>
        </is>
      </c>
      <c r="V698" t="inlineStr">
        <is>
          <t>2006-09-28</t>
        </is>
      </c>
      <c r="W698" t="inlineStr">
        <is>
          <t>1992-01-14</t>
        </is>
      </c>
      <c r="X698" t="inlineStr">
        <is>
          <t>1992-01-14</t>
        </is>
      </c>
      <c r="Y698" t="n">
        <v>527</v>
      </c>
      <c r="Z698" t="n">
        <v>492</v>
      </c>
      <c r="AA698" t="n">
        <v>532</v>
      </c>
      <c r="AB698" t="n">
        <v>5</v>
      </c>
      <c r="AC698" t="n">
        <v>5</v>
      </c>
      <c r="AD698" t="n">
        <v>15</v>
      </c>
      <c r="AE698" t="n">
        <v>15</v>
      </c>
      <c r="AF698" t="n">
        <v>2</v>
      </c>
      <c r="AG698" t="n">
        <v>2</v>
      </c>
      <c r="AH698" t="n">
        <v>2</v>
      </c>
      <c r="AI698" t="n">
        <v>2</v>
      </c>
      <c r="AJ698" t="n">
        <v>9</v>
      </c>
      <c r="AK698" t="n">
        <v>9</v>
      </c>
      <c r="AL698" t="n">
        <v>3</v>
      </c>
      <c r="AM698" t="n">
        <v>3</v>
      </c>
      <c r="AN698" t="n">
        <v>0</v>
      </c>
      <c r="AO698" t="n">
        <v>0</v>
      </c>
      <c r="AP698" t="inlineStr">
        <is>
          <t>No</t>
        </is>
      </c>
      <c r="AQ698" t="inlineStr">
        <is>
          <t>Yes</t>
        </is>
      </c>
      <c r="AR698">
        <f>HYPERLINK("http://catalog.hathitrust.org/Record/000568794","HathiTrust Record")</f>
        <v/>
      </c>
      <c r="AS698">
        <f>HYPERLINK("https://creighton-primo.hosted.exlibrisgroup.com/primo-explore/search?tab=default_tab&amp;search_scope=EVERYTHING&amp;vid=01CRU&amp;lang=en_US&amp;offset=0&amp;query=any,contains,991000597539702656","Catalog Record")</f>
        <v/>
      </c>
      <c r="AT698">
        <f>HYPERLINK("http://www.worldcat.org/oclc/97541","WorldCat Record")</f>
        <v/>
      </c>
      <c r="AU698" t="inlineStr">
        <is>
          <t>1278929:eng</t>
        </is>
      </c>
      <c r="AV698" t="inlineStr">
        <is>
          <t>97541</t>
        </is>
      </c>
      <c r="AW698" t="inlineStr">
        <is>
          <t>991000597539702656</t>
        </is>
      </c>
      <c r="AX698" t="inlineStr">
        <is>
          <t>991000597539702656</t>
        </is>
      </c>
      <c r="AY698" t="inlineStr">
        <is>
          <t>2269750440002656</t>
        </is>
      </c>
      <c r="AZ698" t="inlineStr">
        <is>
          <t>BOOK</t>
        </is>
      </c>
      <c r="BB698" t="inlineStr">
        <is>
          <t>9780671207137</t>
        </is>
      </c>
      <c r="BC698" t="inlineStr">
        <is>
          <t>32285000897065</t>
        </is>
      </c>
      <c r="BD698" t="inlineStr">
        <is>
          <t>893419605</t>
        </is>
      </c>
    </row>
    <row r="699">
      <c r="A699" t="inlineStr">
        <is>
          <t>No</t>
        </is>
      </c>
      <c r="B699" t="inlineStr">
        <is>
          <t>ND623.L5 S74 1983</t>
        </is>
      </c>
      <c r="C699" t="inlineStr">
        <is>
          <t>0                      ND 0623000L  5                  S  74          1983</t>
        </is>
      </c>
      <c r="D699" t="inlineStr">
        <is>
          <t>I, Leonardo / Ralph Steadman.</t>
        </is>
      </c>
      <c r="F699" t="inlineStr">
        <is>
          <t>No</t>
        </is>
      </c>
      <c r="G699" t="inlineStr">
        <is>
          <t>1</t>
        </is>
      </c>
      <c r="H699" t="inlineStr">
        <is>
          <t>No</t>
        </is>
      </c>
      <c r="I699" t="inlineStr">
        <is>
          <t>No</t>
        </is>
      </c>
      <c r="J699" t="inlineStr">
        <is>
          <t>0</t>
        </is>
      </c>
      <c r="K699" t="inlineStr">
        <is>
          <t>Steadman, Ralph.</t>
        </is>
      </c>
      <c r="L699" t="inlineStr">
        <is>
          <t>New York : Summit Books, c1983.</t>
        </is>
      </c>
      <c r="M699" t="inlineStr">
        <is>
          <t>1983</t>
        </is>
      </c>
      <c r="N699" t="inlineStr">
        <is>
          <t>1st American ed.</t>
        </is>
      </c>
      <c r="O699" t="inlineStr">
        <is>
          <t>eng</t>
        </is>
      </c>
      <c r="P699" t="inlineStr">
        <is>
          <t>nyu</t>
        </is>
      </c>
      <c r="R699" t="inlineStr">
        <is>
          <t xml:space="preserve">ND </t>
        </is>
      </c>
      <c r="S699" t="n">
        <v>2</v>
      </c>
      <c r="T699" t="n">
        <v>2</v>
      </c>
      <c r="U699" t="inlineStr">
        <is>
          <t>2001-04-16</t>
        </is>
      </c>
      <c r="V699" t="inlineStr">
        <is>
          <t>2001-04-16</t>
        </is>
      </c>
      <c r="W699" t="inlineStr">
        <is>
          <t>1993-05-24</t>
        </is>
      </c>
      <c r="X699" t="inlineStr">
        <is>
          <t>1993-05-24</t>
        </is>
      </c>
      <c r="Y699" t="n">
        <v>128</v>
      </c>
      <c r="Z699" t="n">
        <v>121</v>
      </c>
      <c r="AA699" t="n">
        <v>121</v>
      </c>
      <c r="AB699" t="n">
        <v>3</v>
      </c>
      <c r="AC699" t="n">
        <v>3</v>
      </c>
      <c r="AD699" t="n">
        <v>3</v>
      </c>
      <c r="AE699" t="n">
        <v>3</v>
      </c>
      <c r="AF699" t="n">
        <v>2</v>
      </c>
      <c r="AG699" t="n">
        <v>2</v>
      </c>
      <c r="AH699" t="n">
        <v>1</v>
      </c>
      <c r="AI699" t="n">
        <v>1</v>
      </c>
      <c r="AJ699" t="n">
        <v>2</v>
      </c>
      <c r="AK699" t="n">
        <v>2</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HYPERLINK("https://creighton-primo.hosted.exlibrisgroup.com/primo-explore/search?tab=default_tab&amp;search_scope=EVERYTHING&amp;vid=01CRU&amp;lang=en_US&amp;offset=0&amp;query=any,contains,991000330869702656","Catalog Record")</f>
        <v/>
      </c>
      <c r="AT699">
        <f>HYPERLINK("http://www.worldcat.org/oclc/10203461","WorldCat Record")</f>
        <v/>
      </c>
      <c r="AU699" t="inlineStr">
        <is>
          <t>10792143225:eng</t>
        </is>
      </c>
      <c r="AV699" t="inlineStr">
        <is>
          <t>10203461</t>
        </is>
      </c>
      <c r="AW699" t="inlineStr">
        <is>
          <t>991000330869702656</t>
        </is>
      </c>
      <c r="AX699" t="inlineStr">
        <is>
          <t>991000330869702656</t>
        </is>
      </c>
      <c r="AY699" t="inlineStr">
        <is>
          <t>2268302250002656</t>
        </is>
      </c>
      <c r="AZ699" t="inlineStr">
        <is>
          <t>BOOK</t>
        </is>
      </c>
      <c r="BB699" t="inlineStr">
        <is>
          <t>9780671437596</t>
        </is>
      </c>
      <c r="BC699" t="inlineStr">
        <is>
          <t>32285001692481</t>
        </is>
      </c>
      <c r="BD699" t="inlineStr">
        <is>
          <t>893527968</t>
        </is>
      </c>
    </row>
    <row r="700">
      <c r="A700" t="inlineStr">
        <is>
          <t>No</t>
        </is>
      </c>
      <c r="B700" t="inlineStr">
        <is>
          <t>ND623.L5 S75 1970</t>
        </is>
      </c>
      <c r="C700" t="inlineStr">
        <is>
          <t>0                      ND 0623000L  5                  S  75          1970</t>
        </is>
      </c>
      <c r="D700" t="inlineStr">
        <is>
          <t>The sublimations of Leonardo da Vinci : with a translation of the Codex Trivulzianus / by Raymond S. Stites with M. Elizabeth Stites and Pierina Castiglione.</t>
        </is>
      </c>
      <c r="F700" t="inlineStr">
        <is>
          <t>No</t>
        </is>
      </c>
      <c r="G700" t="inlineStr">
        <is>
          <t>1</t>
        </is>
      </c>
      <c r="H700" t="inlineStr">
        <is>
          <t>No</t>
        </is>
      </c>
      <c r="I700" t="inlineStr">
        <is>
          <t>No</t>
        </is>
      </c>
      <c r="J700" t="inlineStr">
        <is>
          <t>0</t>
        </is>
      </c>
      <c r="K700" t="inlineStr">
        <is>
          <t>Stites, Raymond S. (Raymond Somers)</t>
        </is>
      </c>
      <c r="L700" t="inlineStr">
        <is>
          <t>Washington : Smithsonian Institution Press, 1970.</t>
        </is>
      </c>
      <c r="M700" t="inlineStr">
        <is>
          <t>1970</t>
        </is>
      </c>
      <c r="O700" t="inlineStr">
        <is>
          <t>eng</t>
        </is>
      </c>
      <c r="P700" t="inlineStr">
        <is>
          <t>dcu</t>
        </is>
      </c>
      <c r="R700" t="inlineStr">
        <is>
          <t xml:space="preserve">ND </t>
        </is>
      </c>
      <c r="S700" t="n">
        <v>5</v>
      </c>
      <c r="T700" t="n">
        <v>5</v>
      </c>
      <c r="U700" t="inlineStr">
        <is>
          <t>1999-03-22</t>
        </is>
      </c>
      <c r="V700" t="inlineStr">
        <is>
          <t>1999-03-22</t>
        </is>
      </c>
      <c r="W700" t="inlineStr">
        <is>
          <t>1992-04-08</t>
        </is>
      </c>
      <c r="X700" t="inlineStr">
        <is>
          <t>1992-04-08</t>
        </is>
      </c>
      <c r="Y700" t="n">
        <v>561</v>
      </c>
      <c r="Z700" t="n">
        <v>476</v>
      </c>
      <c r="AA700" t="n">
        <v>486</v>
      </c>
      <c r="AB700" t="n">
        <v>5</v>
      </c>
      <c r="AC700" t="n">
        <v>5</v>
      </c>
      <c r="AD700" t="n">
        <v>25</v>
      </c>
      <c r="AE700" t="n">
        <v>25</v>
      </c>
      <c r="AF700" t="n">
        <v>7</v>
      </c>
      <c r="AG700" t="n">
        <v>7</v>
      </c>
      <c r="AH700" t="n">
        <v>8</v>
      </c>
      <c r="AI700" t="n">
        <v>8</v>
      </c>
      <c r="AJ700" t="n">
        <v>10</v>
      </c>
      <c r="AK700" t="n">
        <v>10</v>
      </c>
      <c r="AL700" t="n">
        <v>4</v>
      </c>
      <c r="AM700" t="n">
        <v>4</v>
      </c>
      <c r="AN700" t="n">
        <v>0</v>
      </c>
      <c r="AO700" t="n">
        <v>0</v>
      </c>
      <c r="AP700" t="inlineStr">
        <is>
          <t>No</t>
        </is>
      </c>
      <c r="AQ700" t="inlineStr">
        <is>
          <t>Yes</t>
        </is>
      </c>
      <c r="AR700">
        <f>HYPERLINK("http://catalog.hathitrust.org/Record/000568800","HathiTrust Record")</f>
        <v/>
      </c>
      <c r="AS700">
        <f>HYPERLINK("https://creighton-primo.hosted.exlibrisgroup.com/primo-explore/search?tab=default_tab&amp;search_scope=EVERYTHING&amp;vid=01CRU&amp;lang=en_US&amp;offset=0&amp;query=any,contains,991000636219702656","Catalog Record")</f>
        <v/>
      </c>
      <c r="AT700">
        <f>HYPERLINK("http://www.worldcat.org/oclc/108000","WorldCat Record")</f>
        <v/>
      </c>
      <c r="AU700" t="inlineStr">
        <is>
          <t>1195251:eng</t>
        </is>
      </c>
      <c r="AV700" t="inlineStr">
        <is>
          <t>108000</t>
        </is>
      </c>
      <c r="AW700" t="inlineStr">
        <is>
          <t>991000636219702656</t>
        </is>
      </c>
      <c r="AX700" t="inlineStr">
        <is>
          <t>991000636219702656</t>
        </is>
      </c>
      <c r="AY700" t="inlineStr">
        <is>
          <t>2261914680002656</t>
        </is>
      </c>
      <c r="AZ700" t="inlineStr">
        <is>
          <t>BOOK</t>
        </is>
      </c>
      <c r="BB700" t="inlineStr">
        <is>
          <t>9780874741018</t>
        </is>
      </c>
      <c r="BC700" t="inlineStr">
        <is>
          <t>32285001066082</t>
        </is>
      </c>
      <c r="BD700" t="inlineStr">
        <is>
          <t>893890879</t>
        </is>
      </c>
    </row>
    <row r="701">
      <c r="A701" t="inlineStr">
        <is>
          <t>No</t>
        </is>
      </c>
      <c r="B701" t="inlineStr">
        <is>
          <t>ND623.L5 V25</t>
        </is>
      </c>
      <c r="C701" t="inlineStr">
        <is>
          <t>0                      ND 0623000L  5                  V  25</t>
        </is>
      </c>
      <c r="D701" t="inlineStr">
        <is>
          <t>Leonardo da Vinci; the tragic pursuit of perfection [by] Antonina Vallentin, translated by E. W. Dickes.</t>
        </is>
      </c>
      <c r="F701" t="inlineStr">
        <is>
          <t>No</t>
        </is>
      </c>
      <c r="G701" t="inlineStr">
        <is>
          <t>1</t>
        </is>
      </c>
      <c r="H701" t="inlineStr">
        <is>
          <t>No</t>
        </is>
      </c>
      <c r="I701" t="inlineStr">
        <is>
          <t>No</t>
        </is>
      </c>
      <c r="J701" t="inlineStr">
        <is>
          <t>0</t>
        </is>
      </c>
      <c r="K701" t="inlineStr">
        <is>
          <t>Vallentin, Antonina, 1893-1957.</t>
        </is>
      </c>
      <c r="L701" t="inlineStr">
        <is>
          <t>New York, The Viking press, 1938.</t>
        </is>
      </c>
      <c r="M701" t="inlineStr">
        <is>
          <t>1938</t>
        </is>
      </c>
      <c r="O701" t="inlineStr">
        <is>
          <t>eng</t>
        </is>
      </c>
      <c r="P701" t="inlineStr">
        <is>
          <t>nyu</t>
        </is>
      </c>
      <c r="R701" t="inlineStr">
        <is>
          <t xml:space="preserve">ND </t>
        </is>
      </c>
      <c r="S701" t="n">
        <v>2</v>
      </c>
      <c r="T701" t="n">
        <v>2</v>
      </c>
      <c r="U701" t="inlineStr">
        <is>
          <t>2006-02-01</t>
        </is>
      </c>
      <c r="V701" t="inlineStr">
        <is>
          <t>2006-02-01</t>
        </is>
      </c>
      <c r="W701" t="inlineStr">
        <is>
          <t>1997-07-30</t>
        </is>
      </c>
      <c r="X701" t="inlineStr">
        <is>
          <t>1997-07-30</t>
        </is>
      </c>
      <c r="Y701" t="n">
        <v>1708</v>
      </c>
      <c r="Z701" t="n">
        <v>1617</v>
      </c>
      <c r="AA701" t="n">
        <v>1749</v>
      </c>
      <c r="AB701" t="n">
        <v>19</v>
      </c>
      <c r="AC701" t="n">
        <v>20</v>
      </c>
      <c r="AD701" t="n">
        <v>55</v>
      </c>
      <c r="AE701" t="n">
        <v>58</v>
      </c>
      <c r="AF701" t="n">
        <v>25</v>
      </c>
      <c r="AG701" t="n">
        <v>25</v>
      </c>
      <c r="AH701" t="n">
        <v>9</v>
      </c>
      <c r="AI701" t="n">
        <v>10</v>
      </c>
      <c r="AJ701" t="n">
        <v>25</v>
      </c>
      <c r="AK701" t="n">
        <v>27</v>
      </c>
      <c r="AL701" t="n">
        <v>9</v>
      </c>
      <c r="AM701" t="n">
        <v>10</v>
      </c>
      <c r="AN701" t="n">
        <v>0</v>
      </c>
      <c r="AO701" t="n">
        <v>0</v>
      </c>
      <c r="AP701" t="inlineStr">
        <is>
          <t>No</t>
        </is>
      </c>
      <c r="AQ701" t="inlineStr">
        <is>
          <t>Yes</t>
        </is>
      </c>
      <c r="AR701">
        <f>HYPERLINK("http://catalog.hathitrust.org/Record/000728808","HathiTrust Record")</f>
        <v/>
      </c>
      <c r="AS701">
        <f>HYPERLINK("https://creighton-primo.hosted.exlibrisgroup.com/primo-explore/search?tab=default_tab&amp;search_scope=EVERYTHING&amp;vid=01CRU&amp;lang=en_US&amp;offset=0&amp;query=any,contains,991002903849702656","Catalog Record")</f>
        <v/>
      </c>
      <c r="AT701">
        <f>HYPERLINK("http://www.worldcat.org/oclc/518515","WorldCat Record")</f>
        <v/>
      </c>
      <c r="AU701" t="inlineStr">
        <is>
          <t>4922290937:eng</t>
        </is>
      </c>
      <c r="AV701" t="inlineStr">
        <is>
          <t>518515</t>
        </is>
      </c>
      <c r="AW701" t="inlineStr">
        <is>
          <t>991002903849702656</t>
        </is>
      </c>
      <c r="AX701" t="inlineStr">
        <is>
          <t>991002903849702656</t>
        </is>
      </c>
      <c r="AY701" t="inlineStr">
        <is>
          <t>2255798640002656</t>
        </is>
      </c>
      <c r="AZ701" t="inlineStr">
        <is>
          <t>BOOK</t>
        </is>
      </c>
      <c r="BC701" t="inlineStr">
        <is>
          <t>32285002968914</t>
        </is>
      </c>
      <c r="BD701" t="inlineStr">
        <is>
          <t>893774168</t>
        </is>
      </c>
    </row>
    <row r="702">
      <c r="A702" t="inlineStr">
        <is>
          <t>No</t>
        </is>
      </c>
      <c r="B702" t="inlineStr">
        <is>
          <t>ND623.L5 V425 1989</t>
        </is>
      </c>
      <c r="C702" t="inlineStr">
        <is>
          <t>0                      ND 0623000L  5                  V  425         1989</t>
        </is>
      </c>
      <c r="D702" t="inlineStr">
        <is>
          <t>Da Vinci / written and illustrated by Mike Venezia.</t>
        </is>
      </c>
      <c r="F702" t="inlineStr">
        <is>
          <t>No</t>
        </is>
      </c>
      <c r="G702" t="inlineStr">
        <is>
          <t>1</t>
        </is>
      </c>
      <c r="H702" t="inlineStr">
        <is>
          <t>No</t>
        </is>
      </c>
      <c r="I702" t="inlineStr">
        <is>
          <t>No</t>
        </is>
      </c>
      <c r="J702" t="inlineStr">
        <is>
          <t>0</t>
        </is>
      </c>
      <c r="K702" t="inlineStr">
        <is>
          <t>Venezia, Mike.</t>
        </is>
      </c>
      <c r="L702" t="inlineStr">
        <is>
          <t>Chicago : Childrens Press, c1989.</t>
        </is>
      </c>
      <c r="M702" t="inlineStr">
        <is>
          <t>1989</t>
        </is>
      </c>
      <c r="O702" t="inlineStr">
        <is>
          <t>eng</t>
        </is>
      </c>
      <c r="P702" t="inlineStr">
        <is>
          <t>ilu</t>
        </is>
      </c>
      <c r="Q702" t="inlineStr">
        <is>
          <t>Getting to know the world's greatest artists</t>
        </is>
      </c>
      <c r="R702" t="inlineStr">
        <is>
          <t xml:space="preserve">ND </t>
        </is>
      </c>
      <c r="S702" t="n">
        <v>9</v>
      </c>
      <c r="T702" t="n">
        <v>9</v>
      </c>
      <c r="U702" t="inlineStr">
        <is>
          <t>2004-03-12</t>
        </is>
      </c>
      <c r="V702" t="inlineStr">
        <is>
          <t>2004-03-12</t>
        </is>
      </c>
      <c r="W702" t="inlineStr">
        <is>
          <t>1995-10-19</t>
        </is>
      </c>
      <c r="X702" t="inlineStr">
        <is>
          <t>1995-10-19</t>
        </is>
      </c>
      <c r="Y702" t="n">
        <v>1365</v>
      </c>
      <c r="Z702" t="n">
        <v>1252</v>
      </c>
      <c r="AA702" t="n">
        <v>1428</v>
      </c>
      <c r="AB702" t="n">
        <v>11</v>
      </c>
      <c r="AC702" t="n">
        <v>13</v>
      </c>
      <c r="AD702" t="n">
        <v>5</v>
      </c>
      <c r="AE702" t="n">
        <v>6</v>
      </c>
      <c r="AF702" t="n">
        <v>5</v>
      </c>
      <c r="AG702" t="n">
        <v>5</v>
      </c>
      <c r="AH702" t="n">
        <v>0</v>
      </c>
      <c r="AI702" t="n">
        <v>0</v>
      </c>
      <c r="AJ702" t="n">
        <v>2</v>
      </c>
      <c r="AK702" t="n">
        <v>2</v>
      </c>
      <c r="AL702" t="n">
        <v>0</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HYPERLINK("https://creighton-primo.hosted.exlibrisgroup.com/primo-explore/search?tab=default_tab&amp;search_scope=EVERYTHING&amp;vid=01CRU&amp;lang=en_US&amp;offset=0&amp;query=any,contains,991004450649702656","Catalog Record")</f>
        <v/>
      </c>
      <c r="AT702">
        <f>HYPERLINK("http://www.worldcat.org/oclc/18984843","WorldCat Record")</f>
        <v/>
      </c>
      <c r="AU702" t="inlineStr">
        <is>
          <t>586954337:eng</t>
        </is>
      </c>
      <c r="AV702" t="inlineStr">
        <is>
          <t>18984843</t>
        </is>
      </c>
      <c r="AW702" t="inlineStr">
        <is>
          <t>991004450649702656</t>
        </is>
      </c>
      <c r="AX702" t="inlineStr">
        <is>
          <t>991004450649702656</t>
        </is>
      </c>
      <c r="AY702" t="inlineStr">
        <is>
          <t>2268197680002656</t>
        </is>
      </c>
      <c r="AZ702" t="inlineStr">
        <is>
          <t>BOOK</t>
        </is>
      </c>
      <c r="BB702" t="inlineStr">
        <is>
          <t>9780516022758</t>
        </is>
      </c>
      <c r="BC702" t="inlineStr">
        <is>
          <t>32285002096526</t>
        </is>
      </c>
      <c r="BD702" t="inlineStr">
        <is>
          <t>893492094</t>
        </is>
      </c>
    </row>
    <row r="703">
      <c r="A703" t="inlineStr">
        <is>
          <t>No</t>
        </is>
      </c>
      <c r="B703" t="inlineStr">
        <is>
          <t>ND623.L5 W32</t>
        </is>
      </c>
      <c r="C703" t="inlineStr">
        <is>
          <t>0                      ND 0623000L  5                  W  32</t>
        </is>
      </c>
      <c r="D703" t="inlineStr">
        <is>
          <t>The world of Leonardo, 1452-1519 / by Robert Wallace and the editors of Time-Life Books.</t>
        </is>
      </c>
      <c r="F703" t="inlineStr">
        <is>
          <t>No</t>
        </is>
      </c>
      <c r="G703" t="inlineStr">
        <is>
          <t>1</t>
        </is>
      </c>
      <c r="H703" t="inlineStr">
        <is>
          <t>No</t>
        </is>
      </c>
      <c r="I703" t="inlineStr">
        <is>
          <t>No</t>
        </is>
      </c>
      <c r="J703" t="inlineStr">
        <is>
          <t>0</t>
        </is>
      </c>
      <c r="K703" t="inlineStr">
        <is>
          <t>Wallace, Robert, 1919-</t>
        </is>
      </c>
      <c r="L703" t="inlineStr">
        <is>
          <t>New York : Time, inc., [1966]</t>
        </is>
      </c>
      <c r="M703" t="inlineStr">
        <is>
          <t>1966</t>
        </is>
      </c>
      <c r="O703" t="inlineStr">
        <is>
          <t>eng</t>
        </is>
      </c>
      <c r="P703" t="inlineStr">
        <is>
          <t>nyu</t>
        </is>
      </c>
      <c r="Q703" t="inlineStr">
        <is>
          <t>Time-Life library of art</t>
        </is>
      </c>
      <c r="R703" t="inlineStr">
        <is>
          <t xml:space="preserve">ND </t>
        </is>
      </c>
      <c r="S703" t="n">
        <v>15</v>
      </c>
      <c r="T703" t="n">
        <v>15</v>
      </c>
      <c r="U703" t="inlineStr">
        <is>
          <t>2005-03-30</t>
        </is>
      </c>
      <c r="V703" t="inlineStr">
        <is>
          <t>2005-03-30</t>
        </is>
      </c>
      <c r="W703" t="inlineStr">
        <is>
          <t>1992-04-11</t>
        </is>
      </c>
      <c r="X703" t="inlineStr">
        <is>
          <t>1992-04-11</t>
        </is>
      </c>
      <c r="Y703" t="n">
        <v>2945</v>
      </c>
      <c r="Z703" t="n">
        <v>2767</v>
      </c>
      <c r="AA703" t="n">
        <v>3050</v>
      </c>
      <c r="AB703" t="n">
        <v>23</v>
      </c>
      <c r="AC703" t="n">
        <v>27</v>
      </c>
      <c r="AD703" t="n">
        <v>44</v>
      </c>
      <c r="AE703" t="n">
        <v>47</v>
      </c>
      <c r="AF703" t="n">
        <v>19</v>
      </c>
      <c r="AG703" t="n">
        <v>21</v>
      </c>
      <c r="AH703" t="n">
        <v>7</v>
      </c>
      <c r="AI703" t="n">
        <v>7</v>
      </c>
      <c r="AJ703" t="n">
        <v>20</v>
      </c>
      <c r="AK703" t="n">
        <v>20</v>
      </c>
      <c r="AL703" t="n">
        <v>8</v>
      </c>
      <c r="AM703" t="n">
        <v>9</v>
      </c>
      <c r="AN703" t="n">
        <v>0</v>
      </c>
      <c r="AO703" t="n">
        <v>0</v>
      </c>
      <c r="AP703" t="inlineStr">
        <is>
          <t>No</t>
        </is>
      </c>
      <c r="AQ703" t="inlineStr">
        <is>
          <t>Yes</t>
        </is>
      </c>
      <c r="AR703">
        <f>HYPERLINK("http://catalog.hathitrust.org/Record/000569014","HathiTrust Record")</f>
        <v/>
      </c>
      <c r="AS703">
        <f>HYPERLINK("https://creighton-primo.hosted.exlibrisgroup.com/primo-explore/search?tab=default_tab&amp;search_scope=EVERYTHING&amp;vid=01CRU&amp;lang=en_US&amp;offset=0&amp;query=any,contains,991002261199702656","Catalog Record")</f>
        <v/>
      </c>
      <c r="AT703">
        <f>HYPERLINK("http://www.worldcat.org/oclc/304299","WorldCat Record")</f>
        <v/>
      </c>
      <c r="AU703" t="inlineStr">
        <is>
          <t>448254:eng</t>
        </is>
      </c>
      <c r="AV703" t="inlineStr">
        <is>
          <t>304299</t>
        </is>
      </c>
      <c r="AW703" t="inlineStr">
        <is>
          <t>991002261199702656</t>
        </is>
      </c>
      <c r="AX703" t="inlineStr">
        <is>
          <t>991002261199702656</t>
        </is>
      </c>
      <c r="AY703" t="inlineStr">
        <is>
          <t>2271154650002656</t>
        </is>
      </c>
      <c r="AZ703" t="inlineStr">
        <is>
          <t>BOOK</t>
        </is>
      </c>
      <c r="BC703" t="inlineStr">
        <is>
          <t>32285001058162</t>
        </is>
      </c>
      <c r="BD703" t="inlineStr">
        <is>
          <t>893251003</t>
        </is>
      </c>
    </row>
    <row r="704">
      <c r="A704" t="inlineStr">
        <is>
          <t>No</t>
        </is>
      </c>
      <c r="B704" t="inlineStr">
        <is>
          <t>ND623.L5 Z83</t>
        </is>
      </c>
      <c r="C704" t="inlineStr">
        <is>
          <t>0                      ND 0623000L  5                  Z  83</t>
        </is>
      </c>
      <c r="D704" t="inlineStr">
        <is>
          <t>Leonardo da Vinci [by] V. P. Zubov. Translated from the Russian by David H. Kraus.</t>
        </is>
      </c>
      <c r="F704" t="inlineStr">
        <is>
          <t>No</t>
        </is>
      </c>
      <c r="G704" t="inlineStr">
        <is>
          <t>1</t>
        </is>
      </c>
      <c r="H704" t="inlineStr">
        <is>
          <t>No</t>
        </is>
      </c>
      <c r="I704" t="inlineStr">
        <is>
          <t>No</t>
        </is>
      </c>
      <c r="J704" t="inlineStr">
        <is>
          <t>0</t>
        </is>
      </c>
      <c r="K704" t="inlineStr">
        <is>
          <t>Zubov, V. P. (Vasiliĭ Pavlovich)</t>
        </is>
      </c>
      <c r="L704" t="inlineStr">
        <is>
          <t>Cambridge, Harvard University Press, 1968.</t>
        </is>
      </c>
      <c r="M704" t="inlineStr">
        <is>
          <t>1968</t>
        </is>
      </c>
      <c r="O704" t="inlineStr">
        <is>
          <t>eng</t>
        </is>
      </c>
      <c r="P704" t="inlineStr">
        <is>
          <t>mau</t>
        </is>
      </c>
      <c r="R704" t="inlineStr">
        <is>
          <t xml:space="preserve">ND </t>
        </is>
      </c>
      <c r="S704" t="n">
        <v>8</v>
      </c>
      <c r="T704" t="n">
        <v>8</v>
      </c>
      <c r="U704" t="inlineStr">
        <is>
          <t>2006-10-23</t>
        </is>
      </c>
      <c r="V704" t="inlineStr">
        <is>
          <t>2006-10-23</t>
        </is>
      </c>
      <c r="W704" t="inlineStr">
        <is>
          <t>1997-07-30</t>
        </is>
      </c>
      <c r="X704" t="inlineStr">
        <is>
          <t>1997-07-30</t>
        </is>
      </c>
      <c r="Y704" t="n">
        <v>937</v>
      </c>
      <c r="Z704" t="n">
        <v>802</v>
      </c>
      <c r="AA704" t="n">
        <v>887</v>
      </c>
      <c r="AB704" t="n">
        <v>7</v>
      </c>
      <c r="AC704" t="n">
        <v>7</v>
      </c>
      <c r="AD704" t="n">
        <v>27</v>
      </c>
      <c r="AE704" t="n">
        <v>27</v>
      </c>
      <c r="AF704" t="n">
        <v>10</v>
      </c>
      <c r="AG704" t="n">
        <v>10</v>
      </c>
      <c r="AH704" t="n">
        <v>6</v>
      </c>
      <c r="AI704" t="n">
        <v>6</v>
      </c>
      <c r="AJ704" t="n">
        <v>11</v>
      </c>
      <c r="AK704" t="n">
        <v>11</v>
      </c>
      <c r="AL704" t="n">
        <v>5</v>
      </c>
      <c r="AM704" t="n">
        <v>5</v>
      </c>
      <c r="AN704" t="n">
        <v>0</v>
      </c>
      <c r="AO704" t="n">
        <v>0</v>
      </c>
      <c r="AP704" t="inlineStr">
        <is>
          <t>No</t>
        </is>
      </c>
      <c r="AQ704" t="inlineStr">
        <is>
          <t>Yes</t>
        </is>
      </c>
      <c r="AR704">
        <f>HYPERLINK("http://catalog.hathitrust.org/Record/000569202","HathiTrust Record")</f>
        <v/>
      </c>
      <c r="AS704">
        <f>HYPERLINK("https://creighton-primo.hosted.exlibrisgroup.com/primo-explore/search?tab=default_tab&amp;search_scope=EVERYTHING&amp;vid=01CRU&amp;lang=en_US&amp;offset=0&amp;query=any,contains,991000914479702656","Catalog Record")</f>
        <v/>
      </c>
      <c r="AT704">
        <f>HYPERLINK("http://www.worldcat.org/oclc/160321","WorldCat Record")</f>
        <v/>
      </c>
      <c r="AU704" t="inlineStr">
        <is>
          <t>10226860134:eng</t>
        </is>
      </c>
      <c r="AV704" t="inlineStr">
        <is>
          <t>160321</t>
        </is>
      </c>
      <c r="AW704" t="inlineStr">
        <is>
          <t>991000914479702656</t>
        </is>
      </c>
      <c r="AX704" t="inlineStr">
        <is>
          <t>991000914479702656</t>
        </is>
      </c>
      <c r="AY704" t="inlineStr">
        <is>
          <t>2267315420002656</t>
        </is>
      </c>
      <c r="AZ704" t="inlineStr">
        <is>
          <t>BOOK</t>
        </is>
      </c>
      <c r="BC704" t="inlineStr">
        <is>
          <t>32285002968922</t>
        </is>
      </c>
      <c r="BD704" t="inlineStr">
        <is>
          <t>893432420</t>
        </is>
      </c>
    </row>
    <row r="705">
      <c r="A705" t="inlineStr">
        <is>
          <t>No</t>
        </is>
      </c>
      <c r="B705" t="inlineStr">
        <is>
          <t>ND623.M3 G7 1992</t>
        </is>
      </c>
      <c r="C705" t="inlineStr">
        <is>
          <t>0                      ND 0623000M  3                  G  7           1992</t>
        </is>
      </c>
      <c r="D705" t="inlineStr">
        <is>
          <t>Mantegna and painting as historical narrative / Jack M. Greenstein.</t>
        </is>
      </c>
      <c r="F705" t="inlineStr">
        <is>
          <t>No</t>
        </is>
      </c>
      <c r="G705" t="inlineStr">
        <is>
          <t>1</t>
        </is>
      </c>
      <c r="H705" t="inlineStr">
        <is>
          <t>No</t>
        </is>
      </c>
      <c r="I705" t="inlineStr">
        <is>
          <t>No</t>
        </is>
      </c>
      <c r="J705" t="inlineStr">
        <is>
          <t>0</t>
        </is>
      </c>
      <c r="K705" t="inlineStr">
        <is>
          <t>Greenstein, Jack Matthew.</t>
        </is>
      </c>
      <c r="L705" t="inlineStr">
        <is>
          <t>Chicago : University of Chicago Press, 1992.</t>
        </is>
      </c>
      <c r="M705" t="inlineStr">
        <is>
          <t>1992</t>
        </is>
      </c>
      <c r="O705" t="inlineStr">
        <is>
          <t>eng</t>
        </is>
      </c>
      <c r="P705" t="inlineStr">
        <is>
          <t>ilu</t>
        </is>
      </c>
      <c r="R705" t="inlineStr">
        <is>
          <t xml:space="preserve">ND </t>
        </is>
      </c>
      <c r="S705" t="n">
        <v>2</v>
      </c>
      <c r="T705" t="n">
        <v>2</v>
      </c>
      <c r="U705" t="inlineStr">
        <is>
          <t>1993-02-04</t>
        </is>
      </c>
      <c r="V705" t="inlineStr">
        <is>
          <t>1993-02-04</t>
        </is>
      </c>
      <c r="W705" t="inlineStr">
        <is>
          <t>1993-01-05</t>
        </is>
      </c>
      <c r="X705" t="inlineStr">
        <is>
          <t>1993-01-05</t>
        </is>
      </c>
      <c r="Y705" t="n">
        <v>498</v>
      </c>
      <c r="Z705" t="n">
        <v>382</v>
      </c>
      <c r="AA705" t="n">
        <v>382</v>
      </c>
      <c r="AB705" t="n">
        <v>3</v>
      </c>
      <c r="AC705" t="n">
        <v>3</v>
      </c>
      <c r="AD705" t="n">
        <v>26</v>
      </c>
      <c r="AE705" t="n">
        <v>26</v>
      </c>
      <c r="AF705" t="n">
        <v>11</v>
      </c>
      <c r="AG705" t="n">
        <v>11</v>
      </c>
      <c r="AH705" t="n">
        <v>6</v>
      </c>
      <c r="AI705" t="n">
        <v>6</v>
      </c>
      <c r="AJ705" t="n">
        <v>14</v>
      </c>
      <c r="AK705" t="n">
        <v>14</v>
      </c>
      <c r="AL705" t="n">
        <v>2</v>
      </c>
      <c r="AM705" t="n">
        <v>2</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HYPERLINK("https://creighton-primo.hosted.exlibrisgroup.com/primo-explore/search?tab=default_tab&amp;search_scope=EVERYTHING&amp;vid=01CRU&amp;lang=en_US&amp;offset=0&amp;query=any,contains,991001925319702656","Catalog Record")</f>
        <v/>
      </c>
      <c r="AT705">
        <f>HYPERLINK("http://www.worldcat.org/oclc/24318822","WorldCat Record")</f>
        <v/>
      </c>
      <c r="AU705" t="inlineStr">
        <is>
          <t>118115245:eng</t>
        </is>
      </c>
      <c r="AV705" t="inlineStr">
        <is>
          <t>24318822</t>
        </is>
      </c>
      <c r="AW705" t="inlineStr">
        <is>
          <t>991001925319702656</t>
        </is>
      </c>
      <c r="AX705" t="inlineStr">
        <is>
          <t>991001925319702656</t>
        </is>
      </c>
      <c r="AY705" t="inlineStr">
        <is>
          <t>2272343660002656</t>
        </is>
      </c>
      <c r="AZ705" t="inlineStr">
        <is>
          <t>BOOK</t>
        </is>
      </c>
      <c r="BB705" t="inlineStr">
        <is>
          <t>9780226307077</t>
        </is>
      </c>
      <c r="BC705" t="inlineStr">
        <is>
          <t>32285001405009</t>
        </is>
      </c>
      <c r="BD705" t="inlineStr">
        <is>
          <t>893709650</t>
        </is>
      </c>
    </row>
    <row r="706">
      <c r="A706" t="inlineStr">
        <is>
          <t>No</t>
        </is>
      </c>
      <c r="B706" t="inlineStr">
        <is>
          <t>ND623.M43 A74 1998</t>
        </is>
      </c>
      <c r="C706" t="inlineStr">
        <is>
          <t>0                      ND 0623000M  43                 A  74          1998</t>
        </is>
      </c>
      <c r="D706" t="inlineStr">
        <is>
          <t>Masaccio's Trinity / edited by Rona Goffen.</t>
        </is>
      </c>
      <c r="F706" t="inlineStr">
        <is>
          <t>No</t>
        </is>
      </c>
      <c r="G706" t="inlineStr">
        <is>
          <t>1</t>
        </is>
      </c>
      <c r="H706" t="inlineStr">
        <is>
          <t>No</t>
        </is>
      </c>
      <c r="I706" t="inlineStr">
        <is>
          <t>No</t>
        </is>
      </c>
      <c r="J706" t="inlineStr">
        <is>
          <t>0</t>
        </is>
      </c>
      <c r="L706" t="inlineStr">
        <is>
          <t>Cambridge ; New York, NY, USA : Cambridge University Press, 1998.</t>
        </is>
      </c>
      <c r="M706" t="inlineStr">
        <is>
          <t>1998</t>
        </is>
      </c>
      <c r="O706" t="inlineStr">
        <is>
          <t>eng</t>
        </is>
      </c>
      <c r="P706" t="inlineStr">
        <is>
          <t>enk</t>
        </is>
      </c>
      <c r="Q706" t="inlineStr">
        <is>
          <t>Masterpieces of western paintings</t>
        </is>
      </c>
      <c r="R706" t="inlineStr">
        <is>
          <t xml:space="preserve">ND </t>
        </is>
      </c>
      <c r="S706" t="n">
        <v>2</v>
      </c>
      <c r="T706" t="n">
        <v>2</v>
      </c>
      <c r="U706" t="inlineStr">
        <is>
          <t>2009-03-04</t>
        </is>
      </c>
      <c r="V706" t="inlineStr">
        <is>
          <t>2009-03-04</t>
        </is>
      </c>
      <c r="W706" t="inlineStr">
        <is>
          <t>1999-03-24</t>
        </is>
      </c>
      <c r="X706" t="inlineStr">
        <is>
          <t>1999-03-24</t>
        </is>
      </c>
      <c r="Y706" t="n">
        <v>614</v>
      </c>
      <c r="Z706" t="n">
        <v>452</v>
      </c>
      <c r="AA706" t="n">
        <v>457</v>
      </c>
      <c r="AB706" t="n">
        <v>4</v>
      </c>
      <c r="AC706" t="n">
        <v>4</v>
      </c>
      <c r="AD706" t="n">
        <v>25</v>
      </c>
      <c r="AE706" t="n">
        <v>25</v>
      </c>
      <c r="AF706" t="n">
        <v>12</v>
      </c>
      <c r="AG706" t="n">
        <v>12</v>
      </c>
      <c r="AH706" t="n">
        <v>6</v>
      </c>
      <c r="AI706" t="n">
        <v>6</v>
      </c>
      <c r="AJ706" t="n">
        <v>13</v>
      </c>
      <c r="AK706" t="n">
        <v>13</v>
      </c>
      <c r="AL706" t="n">
        <v>3</v>
      </c>
      <c r="AM706" t="n">
        <v>3</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HYPERLINK("https://creighton-primo.hosted.exlibrisgroup.com/primo-explore/search?tab=default_tab&amp;search_scope=EVERYTHING&amp;vid=01CRU&amp;lang=en_US&amp;offset=0&amp;query=any,contains,991002827469702656","Catalog Record")</f>
        <v/>
      </c>
      <c r="AT706">
        <f>HYPERLINK("http://www.worldcat.org/oclc/37226909","WorldCat Record")</f>
        <v/>
      </c>
      <c r="AU706" t="inlineStr">
        <is>
          <t>5090672700:eng</t>
        </is>
      </c>
      <c r="AV706" t="inlineStr">
        <is>
          <t>37226909</t>
        </is>
      </c>
      <c r="AW706" t="inlineStr">
        <is>
          <t>991002827469702656</t>
        </is>
      </c>
      <c r="AX706" t="inlineStr">
        <is>
          <t>991002827469702656</t>
        </is>
      </c>
      <c r="AY706" t="inlineStr">
        <is>
          <t>2255031000002656</t>
        </is>
      </c>
      <c r="AZ706" t="inlineStr">
        <is>
          <t>BOOK</t>
        </is>
      </c>
      <c r="BB706" t="inlineStr">
        <is>
          <t>9780521461504</t>
        </is>
      </c>
      <c r="BC706" t="inlineStr">
        <is>
          <t>32285003545570</t>
        </is>
      </c>
      <c r="BD706" t="inlineStr">
        <is>
          <t>893710722</t>
        </is>
      </c>
    </row>
    <row r="707">
      <c r="A707" t="inlineStr">
        <is>
          <t>No</t>
        </is>
      </c>
      <c r="B707" t="inlineStr">
        <is>
          <t>ND623.M43 B43</t>
        </is>
      </c>
      <c r="C707" t="inlineStr">
        <is>
          <t>0                      ND 0623000M  43                 B  43</t>
        </is>
      </c>
      <c r="D707" t="inlineStr">
        <is>
          <t>Masaccio.</t>
        </is>
      </c>
      <c r="F707" t="inlineStr">
        <is>
          <t>No</t>
        </is>
      </c>
      <c r="G707" t="inlineStr">
        <is>
          <t>1</t>
        </is>
      </c>
      <c r="H707" t="inlineStr">
        <is>
          <t>No</t>
        </is>
      </c>
      <c r="I707" t="inlineStr">
        <is>
          <t>No</t>
        </is>
      </c>
      <c r="J707" t="inlineStr">
        <is>
          <t>0</t>
        </is>
      </c>
      <c r="K707" t="inlineStr">
        <is>
          <t>Berti, Luciano.</t>
        </is>
      </c>
      <c r="L707" t="inlineStr">
        <is>
          <t>University Park, Pennsylvania State University Press, 1967.</t>
        </is>
      </c>
      <c r="M707" t="inlineStr">
        <is>
          <t>1967</t>
        </is>
      </c>
      <c r="O707" t="inlineStr">
        <is>
          <t>eng</t>
        </is>
      </c>
      <c r="P707" t="inlineStr">
        <is>
          <t>pau</t>
        </is>
      </c>
      <c r="R707" t="inlineStr">
        <is>
          <t xml:space="preserve">ND </t>
        </is>
      </c>
      <c r="S707" t="n">
        <v>4</v>
      </c>
      <c r="T707" t="n">
        <v>4</v>
      </c>
      <c r="U707" t="inlineStr">
        <is>
          <t>2000-03-31</t>
        </is>
      </c>
      <c r="V707" t="inlineStr">
        <is>
          <t>2000-03-31</t>
        </is>
      </c>
      <c r="W707" t="inlineStr">
        <is>
          <t>1997-07-30</t>
        </is>
      </c>
      <c r="X707" t="inlineStr">
        <is>
          <t>1997-07-30</t>
        </is>
      </c>
      <c r="Y707" t="n">
        <v>849</v>
      </c>
      <c r="Z707" t="n">
        <v>733</v>
      </c>
      <c r="AA707" t="n">
        <v>738</v>
      </c>
      <c r="AB707" t="n">
        <v>7</v>
      </c>
      <c r="AC707" t="n">
        <v>7</v>
      </c>
      <c r="AD707" t="n">
        <v>29</v>
      </c>
      <c r="AE707" t="n">
        <v>29</v>
      </c>
      <c r="AF707" t="n">
        <v>10</v>
      </c>
      <c r="AG707" t="n">
        <v>10</v>
      </c>
      <c r="AH707" t="n">
        <v>6</v>
      </c>
      <c r="AI707" t="n">
        <v>6</v>
      </c>
      <c r="AJ707" t="n">
        <v>11</v>
      </c>
      <c r="AK707" t="n">
        <v>11</v>
      </c>
      <c r="AL707" t="n">
        <v>6</v>
      </c>
      <c r="AM707" t="n">
        <v>6</v>
      </c>
      <c r="AN707" t="n">
        <v>0</v>
      </c>
      <c r="AO707" t="n">
        <v>0</v>
      </c>
      <c r="AP707" t="inlineStr">
        <is>
          <t>No</t>
        </is>
      </c>
      <c r="AQ707" t="inlineStr">
        <is>
          <t>Yes</t>
        </is>
      </c>
      <c r="AR707">
        <f>HYPERLINK("http://catalog.hathitrust.org/Record/000572713","HathiTrust Record")</f>
        <v/>
      </c>
      <c r="AS707">
        <f>HYPERLINK("https://creighton-primo.hosted.exlibrisgroup.com/primo-explore/search?tab=default_tab&amp;search_scope=EVERYTHING&amp;vid=01CRU&amp;lang=en_US&amp;offset=0&amp;query=any,contains,991002832019702656","Catalog Record")</f>
        <v/>
      </c>
      <c r="AT707">
        <f>HYPERLINK("http://www.worldcat.org/oclc/478002","WorldCat Record")</f>
        <v/>
      </c>
      <c r="AU707" t="inlineStr">
        <is>
          <t>10141914392:eng</t>
        </is>
      </c>
      <c r="AV707" t="inlineStr">
        <is>
          <t>478002</t>
        </is>
      </c>
      <c r="AW707" t="inlineStr">
        <is>
          <t>991002832019702656</t>
        </is>
      </c>
      <c r="AX707" t="inlineStr">
        <is>
          <t>991002832019702656</t>
        </is>
      </c>
      <c r="AY707" t="inlineStr">
        <is>
          <t>2264283400002656</t>
        </is>
      </c>
      <c r="AZ707" t="inlineStr">
        <is>
          <t>BOOK</t>
        </is>
      </c>
      <c r="BC707" t="inlineStr">
        <is>
          <t>32285002968955</t>
        </is>
      </c>
      <c r="BD707" t="inlineStr">
        <is>
          <t>893434346</t>
        </is>
      </c>
    </row>
    <row r="708">
      <c r="A708" t="inlineStr">
        <is>
          <t>No</t>
        </is>
      </c>
      <c r="B708" t="inlineStr">
        <is>
          <t>ND623.M43 C36 2002</t>
        </is>
      </c>
      <c r="C708" t="inlineStr">
        <is>
          <t>0                      ND 0623000M  43                 C  36          2002</t>
        </is>
      </c>
      <c r="D708" t="inlineStr">
        <is>
          <t>The Cambridge companion to Masaccio / edited by Diane Cole Ahl.</t>
        </is>
      </c>
      <c r="F708" t="inlineStr">
        <is>
          <t>No</t>
        </is>
      </c>
      <c r="G708" t="inlineStr">
        <is>
          <t>1</t>
        </is>
      </c>
      <c r="H708" t="inlineStr">
        <is>
          <t>No</t>
        </is>
      </c>
      <c r="I708" t="inlineStr">
        <is>
          <t>No</t>
        </is>
      </c>
      <c r="J708" t="inlineStr">
        <is>
          <t>0</t>
        </is>
      </c>
      <c r="L708" t="inlineStr">
        <is>
          <t>New York : Cambridge University Press, 2002.</t>
        </is>
      </c>
      <c r="M708" t="inlineStr">
        <is>
          <t>2002</t>
        </is>
      </c>
      <c r="O708" t="inlineStr">
        <is>
          <t>eng</t>
        </is>
      </c>
      <c r="P708" t="inlineStr">
        <is>
          <t>nyu</t>
        </is>
      </c>
      <c r="R708" t="inlineStr">
        <is>
          <t xml:space="preserve">ND </t>
        </is>
      </c>
      <c r="S708" t="n">
        <v>1</v>
      </c>
      <c r="T708" t="n">
        <v>1</v>
      </c>
      <c r="U708" t="inlineStr">
        <is>
          <t>2006-02-08</t>
        </is>
      </c>
      <c r="V708" t="inlineStr">
        <is>
          <t>2006-02-08</t>
        </is>
      </c>
      <c r="W708" t="inlineStr">
        <is>
          <t>2006-02-08</t>
        </is>
      </c>
      <c r="X708" t="inlineStr">
        <is>
          <t>2006-02-08</t>
        </is>
      </c>
      <c r="Y708" t="n">
        <v>513</v>
      </c>
      <c r="Z708" t="n">
        <v>404</v>
      </c>
      <c r="AA708" t="n">
        <v>426</v>
      </c>
      <c r="AB708" t="n">
        <v>2</v>
      </c>
      <c r="AC708" t="n">
        <v>2</v>
      </c>
      <c r="AD708" t="n">
        <v>20</v>
      </c>
      <c r="AE708" t="n">
        <v>20</v>
      </c>
      <c r="AF708" t="n">
        <v>7</v>
      </c>
      <c r="AG708" t="n">
        <v>7</v>
      </c>
      <c r="AH708" t="n">
        <v>5</v>
      </c>
      <c r="AI708" t="n">
        <v>5</v>
      </c>
      <c r="AJ708" t="n">
        <v>11</v>
      </c>
      <c r="AK708" t="n">
        <v>11</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HYPERLINK("https://creighton-primo.hosted.exlibrisgroup.com/primo-explore/search?tab=default_tab&amp;search_scope=EVERYTHING&amp;vid=01CRU&amp;lang=en_US&amp;offset=0&amp;query=any,contains,991004718859702656","Catalog Record")</f>
        <v/>
      </c>
      <c r="AT708">
        <f>HYPERLINK("http://www.worldcat.org/oclc/47126771","WorldCat Record")</f>
        <v/>
      </c>
      <c r="AU708" t="inlineStr">
        <is>
          <t>56686784:eng</t>
        </is>
      </c>
      <c r="AV708" t="inlineStr">
        <is>
          <t>47126771</t>
        </is>
      </c>
      <c r="AW708" t="inlineStr">
        <is>
          <t>991004718859702656</t>
        </is>
      </c>
      <c r="AX708" t="inlineStr">
        <is>
          <t>991004718859702656</t>
        </is>
      </c>
      <c r="AY708" t="inlineStr">
        <is>
          <t>2269347800002656</t>
        </is>
      </c>
      <c r="AZ708" t="inlineStr">
        <is>
          <t>BOOK</t>
        </is>
      </c>
      <c r="BB708" t="inlineStr">
        <is>
          <t>9780521660457</t>
        </is>
      </c>
      <c r="BC708" t="inlineStr">
        <is>
          <t>32285005157846</t>
        </is>
      </c>
      <c r="BD708" t="inlineStr">
        <is>
          <t>893353509</t>
        </is>
      </c>
    </row>
    <row r="709">
      <c r="A709" t="inlineStr">
        <is>
          <t>No</t>
        </is>
      </c>
      <c r="B709" t="inlineStr">
        <is>
          <t>ND623.M43 P763</t>
        </is>
      </c>
      <c r="C709" t="inlineStr">
        <is>
          <t>0                      ND 0623000M  43                 P  763</t>
        </is>
      </c>
      <c r="D709" t="inlineStr">
        <is>
          <t>All the paintings of Masaccio. Text by Ugo Procacci. Translated by Paul Colacicchi.</t>
        </is>
      </c>
      <c r="F709" t="inlineStr">
        <is>
          <t>No</t>
        </is>
      </c>
      <c r="G709" t="inlineStr">
        <is>
          <t>1</t>
        </is>
      </c>
      <c r="H709" t="inlineStr">
        <is>
          <t>No</t>
        </is>
      </c>
      <c r="I709" t="inlineStr">
        <is>
          <t>No</t>
        </is>
      </c>
      <c r="J709" t="inlineStr">
        <is>
          <t>0</t>
        </is>
      </c>
      <c r="K709" t="inlineStr">
        <is>
          <t>Masaccio, 1401-1428.</t>
        </is>
      </c>
      <c r="L709" t="inlineStr">
        <is>
          <t>New York, Hawthorne Books [1962]</t>
        </is>
      </c>
      <c r="M709" t="inlineStr">
        <is>
          <t>1962</t>
        </is>
      </c>
      <c r="O709" t="inlineStr">
        <is>
          <t>eng</t>
        </is>
      </c>
      <c r="P709" t="inlineStr">
        <is>
          <t>nyu</t>
        </is>
      </c>
      <c r="Q709" t="inlineStr">
        <is>
          <t>The Complete library of world art, v. 6</t>
        </is>
      </c>
      <c r="R709" t="inlineStr">
        <is>
          <t xml:space="preserve">ND </t>
        </is>
      </c>
      <c r="S709" t="n">
        <v>3</v>
      </c>
      <c r="T709" t="n">
        <v>3</v>
      </c>
      <c r="U709" t="inlineStr">
        <is>
          <t>2000-03-31</t>
        </is>
      </c>
      <c r="V709" t="inlineStr">
        <is>
          <t>2000-03-31</t>
        </is>
      </c>
      <c r="W709" t="inlineStr">
        <is>
          <t>1997-07-30</t>
        </is>
      </c>
      <c r="X709" t="inlineStr">
        <is>
          <t>1997-07-30</t>
        </is>
      </c>
      <c r="Y709" t="n">
        <v>566</v>
      </c>
      <c r="Z709" t="n">
        <v>541</v>
      </c>
      <c r="AA709" t="n">
        <v>579</v>
      </c>
      <c r="AB709" t="n">
        <v>4</v>
      </c>
      <c r="AC709" t="n">
        <v>4</v>
      </c>
      <c r="AD709" t="n">
        <v>19</v>
      </c>
      <c r="AE709" t="n">
        <v>19</v>
      </c>
      <c r="AF709" t="n">
        <v>6</v>
      </c>
      <c r="AG709" t="n">
        <v>6</v>
      </c>
      <c r="AH709" t="n">
        <v>3</v>
      </c>
      <c r="AI709" t="n">
        <v>3</v>
      </c>
      <c r="AJ709" t="n">
        <v>11</v>
      </c>
      <c r="AK709" t="n">
        <v>11</v>
      </c>
      <c r="AL709" t="n">
        <v>3</v>
      </c>
      <c r="AM709" t="n">
        <v>3</v>
      </c>
      <c r="AN709" t="n">
        <v>0</v>
      </c>
      <c r="AO709" t="n">
        <v>0</v>
      </c>
      <c r="AP709" t="inlineStr">
        <is>
          <t>No</t>
        </is>
      </c>
      <c r="AQ709" t="inlineStr">
        <is>
          <t>No</t>
        </is>
      </c>
      <c r="AR709">
        <f>HYPERLINK("http://catalog.hathitrust.org/Record/000573359","HathiTrust Record")</f>
        <v/>
      </c>
      <c r="AS709">
        <f>HYPERLINK("https://creighton-primo.hosted.exlibrisgroup.com/primo-explore/search?tab=default_tab&amp;search_scope=EVERYTHING&amp;vid=01CRU&amp;lang=en_US&amp;offset=0&amp;query=any,contains,991003774719702656","Catalog Record")</f>
        <v/>
      </c>
      <c r="AT709">
        <f>HYPERLINK("http://www.worldcat.org/oclc/1478363","WorldCat Record")</f>
        <v/>
      </c>
      <c r="AU709" t="inlineStr">
        <is>
          <t>2371717:eng</t>
        </is>
      </c>
      <c r="AV709" t="inlineStr">
        <is>
          <t>1478363</t>
        </is>
      </c>
      <c r="AW709" t="inlineStr">
        <is>
          <t>991003774719702656</t>
        </is>
      </c>
      <c r="AX709" t="inlineStr">
        <is>
          <t>991003774719702656</t>
        </is>
      </c>
      <c r="AY709" t="inlineStr">
        <is>
          <t>2258752650002656</t>
        </is>
      </c>
      <c r="AZ709" t="inlineStr">
        <is>
          <t>BOOK</t>
        </is>
      </c>
      <c r="BC709" t="inlineStr">
        <is>
          <t>32285002968963</t>
        </is>
      </c>
      <c r="BD709" t="inlineStr">
        <is>
          <t>893512350</t>
        </is>
      </c>
    </row>
    <row r="710">
      <c r="A710" t="inlineStr">
        <is>
          <t>No</t>
        </is>
      </c>
      <c r="B710" t="inlineStr">
        <is>
          <t>ND623.M67 F53</t>
        </is>
      </c>
      <c r="C710" t="inlineStr">
        <is>
          <t>0                      ND 0623000M  67                 F  53</t>
        </is>
      </c>
      <c r="D710" t="inlineStr">
        <is>
          <t>Modigliani / by William Fifield.</t>
        </is>
      </c>
      <c r="F710" t="inlineStr">
        <is>
          <t>No</t>
        </is>
      </c>
      <c r="G710" t="inlineStr">
        <is>
          <t>1</t>
        </is>
      </c>
      <c r="H710" t="inlineStr">
        <is>
          <t>No</t>
        </is>
      </c>
      <c r="I710" t="inlineStr">
        <is>
          <t>No</t>
        </is>
      </c>
      <c r="J710" t="inlineStr">
        <is>
          <t>0</t>
        </is>
      </c>
      <c r="K710" t="inlineStr">
        <is>
          <t>Fifield, William, 1916-1987.</t>
        </is>
      </c>
      <c r="L710" t="inlineStr">
        <is>
          <t>New York : Morrow, 1976.</t>
        </is>
      </c>
      <c r="M710" t="inlineStr">
        <is>
          <t>1976</t>
        </is>
      </c>
      <c r="O710" t="inlineStr">
        <is>
          <t>eng</t>
        </is>
      </c>
      <c r="P710" t="inlineStr">
        <is>
          <t>nyu</t>
        </is>
      </c>
      <c r="R710" t="inlineStr">
        <is>
          <t xml:space="preserve">ND </t>
        </is>
      </c>
      <c r="S710" t="n">
        <v>4</v>
      </c>
      <c r="T710" t="n">
        <v>4</v>
      </c>
      <c r="U710" t="inlineStr">
        <is>
          <t>2003-12-22</t>
        </is>
      </c>
      <c r="V710" t="inlineStr">
        <is>
          <t>2003-12-22</t>
        </is>
      </c>
      <c r="W710" t="inlineStr">
        <is>
          <t>1993-05-24</t>
        </is>
      </c>
      <c r="X710" t="inlineStr">
        <is>
          <t>1993-05-24</t>
        </is>
      </c>
      <c r="Y710" t="n">
        <v>609</v>
      </c>
      <c r="Z710" t="n">
        <v>532</v>
      </c>
      <c r="AA710" t="n">
        <v>551</v>
      </c>
      <c r="AB710" t="n">
        <v>4</v>
      </c>
      <c r="AC710" t="n">
        <v>4</v>
      </c>
      <c r="AD710" t="n">
        <v>15</v>
      </c>
      <c r="AE710" t="n">
        <v>17</v>
      </c>
      <c r="AF710" t="n">
        <v>4</v>
      </c>
      <c r="AG710" t="n">
        <v>5</v>
      </c>
      <c r="AH710" t="n">
        <v>5</v>
      </c>
      <c r="AI710" t="n">
        <v>6</v>
      </c>
      <c r="AJ710" t="n">
        <v>6</v>
      </c>
      <c r="AK710" t="n">
        <v>6</v>
      </c>
      <c r="AL710" t="n">
        <v>3</v>
      </c>
      <c r="AM710" t="n">
        <v>3</v>
      </c>
      <c r="AN710" t="n">
        <v>0</v>
      </c>
      <c r="AO710" t="n">
        <v>0</v>
      </c>
      <c r="AP710" t="inlineStr">
        <is>
          <t>No</t>
        </is>
      </c>
      <c r="AQ710" t="inlineStr">
        <is>
          <t>Yes</t>
        </is>
      </c>
      <c r="AR710">
        <f>HYPERLINK("http://catalog.hathitrust.org/Record/008513201","HathiTrust Record")</f>
        <v/>
      </c>
      <c r="AS710">
        <f>HYPERLINK("https://creighton-primo.hosted.exlibrisgroup.com/primo-explore/search?tab=default_tab&amp;search_scope=EVERYTHING&amp;vid=01CRU&amp;lang=en_US&amp;offset=0&amp;query=any,contains,991003952049702656","Catalog Record")</f>
        <v/>
      </c>
      <c r="AT710">
        <f>HYPERLINK("http://www.worldcat.org/oclc/1958469","WorldCat Record")</f>
        <v/>
      </c>
      <c r="AU710" t="inlineStr">
        <is>
          <t>763552607:eng</t>
        </is>
      </c>
      <c r="AV710" t="inlineStr">
        <is>
          <t>1958469</t>
        </is>
      </c>
      <c r="AW710" t="inlineStr">
        <is>
          <t>991003952049702656</t>
        </is>
      </c>
      <c r="AX710" t="inlineStr">
        <is>
          <t>991003952049702656</t>
        </is>
      </c>
      <c r="AY710" t="inlineStr">
        <is>
          <t>2263054510002656</t>
        </is>
      </c>
      <c r="AZ710" t="inlineStr">
        <is>
          <t>BOOK</t>
        </is>
      </c>
      <c r="BB710" t="inlineStr">
        <is>
          <t>9780688030391</t>
        </is>
      </c>
      <c r="BC710" t="inlineStr">
        <is>
          <t>32285001692515</t>
        </is>
      </c>
      <c r="BD710" t="inlineStr">
        <is>
          <t>893705824</t>
        </is>
      </c>
    </row>
    <row r="711">
      <c r="A711" t="inlineStr">
        <is>
          <t>No</t>
        </is>
      </c>
      <c r="B711" t="inlineStr">
        <is>
          <t>ND623.M67 N4 1972</t>
        </is>
      </c>
      <c r="C711" t="inlineStr">
        <is>
          <t>0                      ND 0623000M  67                 N  4           1972</t>
        </is>
      </c>
      <c r="D711" t="inlineStr">
        <is>
          <t>Modigliani : paintings, drawings, sculpture / with an introd. by James Thrall Soby. The Museum of Modern Art, New York in collaboration with the Cleveland Museum of Art.</t>
        </is>
      </c>
      <c r="F711" t="inlineStr">
        <is>
          <t>No</t>
        </is>
      </c>
      <c r="G711" t="inlineStr">
        <is>
          <t>1</t>
        </is>
      </c>
      <c r="H711" t="inlineStr">
        <is>
          <t>No</t>
        </is>
      </c>
      <c r="I711" t="inlineStr">
        <is>
          <t>No</t>
        </is>
      </c>
      <c r="J711" t="inlineStr">
        <is>
          <t>0</t>
        </is>
      </c>
      <c r="K711" t="inlineStr">
        <is>
          <t>Museum of Modern Art (New York, N.Y.)</t>
        </is>
      </c>
      <c r="L711" t="inlineStr">
        <is>
          <t>[New York] Published for the Museum of Modern Art by Arno Press, 1972 [c1951]</t>
        </is>
      </c>
      <c r="M711" t="inlineStr">
        <is>
          <t>1972</t>
        </is>
      </c>
      <c r="O711" t="inlineStr">
        <is>
          <t>eng</t>
        </is>
      </c>
      <c r="P711" t="inlineStr">
        <is>
          <t>nyu</t>
        </is>
      </c>
      <c r="R711" t="inlineStr">
        <is>
          <t xml:space="preserve">ND </t>
        </is>
      </c>
      <c r="S711" t="n">
        <v>3</v>
      </c>
      <c r="T711" t="n">
        <v>3</v>
      </c>
      <c r="U711" t="inlineStr">
        <is>
          <t>2003-12-22</t>
        </is>
      </c>
      <c r="V711" t="inlineStr">
        <is>
          <t>2003-12-22</t>
        </is>
      </c>
      <c r="W711" t="inlineStr">
        <is>
          <t>1997-05-28</t>
        </is>
      </c>
      <c r="X711" t="inlineStr">
        <is>
          <t>1997-05-28</t>
        </is>
      </c>
      <c r="Y711" t="n">
        <v>151</v>
      </c>
      <c r="Z711" t="n">
        <v>134</v>
      </c>
      <c r="AA711" t="n">
        <v>137</v>
      </c>
      <c r="AB711" t="n">
        <v>2</v>
      </c>
      <c r="AC711" t="n">
        <v>2</v>
      </c>
      <c r="AD711" t="n">
        <v>3</v>
      </c>
      <c r="AE711" t="n">
        <v>3</v>
      </c>
      <c r="AF711" t="n">
        <v>0</v>
      </c>
      <c r="AG711" t="n">
        <v>0</v>
      </c>
      <c r="AH711" t="n">
        <v>1</v>
      </c>
      <c r="AI711" t="n">
        <v>1</v>
      </c>
      <c r="AJ711" t="n">
        <v>1</v>
      </c>
      <c r="AK711" t="n">
        <v>1</v>
      </c>
      <c r="AL711" t="n">
        <v>1</v>
      </c>
      <c r="AM711" t="n">
        <v>1</v>
      </c>
      <c r="AN711" t="n">
        <v>0</v>
      </c>
      <c r="AO711" t="n">
        <v>0</v>
      </c>
      <c r="AP711" t="inlineStr">
        <is>
          <t>No</t>
        </is>
      </c>
      <c r="AQ711" t="inlineStr">
        <is>
          <t>Yes</t>
        </is>
      </c>
      <c r="AR711">
        <f>HYPERLINK("http://catalog.hathitrust.org/Record/004504656","HathiTrust Record")</f>
        <v/>
      </c>
      <c r="AS711">
        <f>HYPERLINK("https://creighton-primo.hosted.exlibrisgroup.com/primo-explore/search?tab=default_tab&amp;search_scope=EVERYTHING&amp;vid=01CRU&amp;lang=en_US&amp;offset=0&amp;query=any,contains,991002343239702656","Catalog Record")</f>
        <v/>
      </c>
      <c r="AT711">
        <f>HYPERLINK("http://www.worldcat.org/oclc/324133","WorldCat Record")</f>
        <v/>
      </c>
      <c r="AU711" t="inlineStr">
        <is>
          <t>890506537:eng</t>
        </is>
      </c>
      <c r="AV711" t="inlineStr">
        <is>
          <t>324133</t>
        </is>
      </c>
      <c r="AW711" t="inlineStr">
        <is>
          <t>991002343239702656</t>
        </is>
      </c>
      <c r="AX711" t="inlineStr">
        <is>
          <t>991002343239702656</t>
        </is>
      </c>
      <c r="AY711" t="inlineStr">
        <is>
          <t>2255059060002656</t>
        </is>
      </c>
      <c r="AZ711" t="inlineStr">
        <is>
          <t>BOOK</t>
        </is>
      </c>
      <c r="BB711" t="inlineStr">
        <is>
          <t>9780405015762</t>
        </is>
      </c>
      <c r="BC711" t="inlineStr">
        <is>
          <t>32285002698545</t>
        </is>
      </c>
      <c r="BD711" t="inlineStr">
        <is>
          <t>893232847</t>
        </is>
      </c>
    </row>
    <row r="712">
      <c r="A712" t="inlineStr">
        <is>
          <t>No</t>
        </is>
      </c>
      <c r="B712" t="inlineStr">
        <is>
          <t>ND623.M67 R6</t>
        </is>
      </c>
      <c r="C712" t="inlineStr">
        <is>
          <t>0                      ND 0623000M  67                 R  6</t>
        </is>
      </c>
      <c r="D712" t="inlineStr">
        <is>
          <t>Modigliani. Translated by James Emmons and Stuart Gilbert.</t>
        </is>
      </c>
      <c r="F712" t="inlineStr">
        <is>
          <t>No</t>
        </is>
      </c>
      <c r="G712" t="inlineStr">
        <is>
          <t>1</t>
        </is>
      </c>
      <c r="H712" t="inlineStr">
        <is>
          <t>No</t>
        </is>
      </c>
      <c r="I712" t="inlineStr">
        <is>
          <t>No</t>
        </is>
      </c>
      <c r="J712" t="inlineStr">
        <is>
          <t>0</t>
        </is>
      </c>
      <c r="K712" t="inlineStr">
        <is>
          <t>Roy, Claude, 1915-1997.</t>
        </is>
      </c>
      <c r="L712" t="inlineStr">
        <is>
          <t>[New York?] Skira [1958]</t>
        </is>
      </c>
      <c r="M712" t="inlineStr">
        <is>
          <t>1958</t>
        </is>
      </c>
      <c r="O712" t="inlineStr">
        <is>
          <t>eng</t>
        </is>
      </c>
      <c r="P712" t="inlineStr">
        <is>
          <t>nyu</t>
        </is>
      </c>
      <c r="Q712" t="inlineStr">
        <is>
          <t>The Taste of our time, 23</t>
        </is>
      </c>
      <c r="R712" t="inlineStr">
        <is>
          <t xml:space="preserve">ND </t>
        </is>
      </c>
      <c r="S712" t="n">
        <v>15</v>
      </c>
      <c r="T712" t="n">
        <v>15</v>
      </c>
      <c r="U712" t="inlineStr">
        <is>
          <t>2009-10-23</t>
        </is>
      </c>
      <c r="V712" t="inlineStr">
        <is>
          <t>2009-10-23</t>
        </is>
      </c>
      <c r="W712" t="inlineStr">
        <is>
          <t>1997-07-30</t>
        </is>
      </c>
      <c r="X712" t="inlineStr">
        <is>
          <t>1997-07-30</t>
        </is>
      </c>
      <c r="Y712" t="n">
        <v>673</v>
      </c>
      <c r="Z712" t="n">
        <v>601</v>
      </c>
      <c r="AA712" t="n">
        <v>602</v>
      </c>
      <c r="AB712" t="n">
        <v>6</v>
      </c>
      <c r="AC712" t="n">
        <v>6</v>
      </c>
      <c r="AD712" t="n">
        <v>20</v>
      </c>
      <c r="AE712" t="n">
        <v>20</v>
      </c>
      <c r="AF712" t="n">
        <v>6</v>
      </c>
      <c r="AG712" t="n">
        <v>6</v>
      </c>
      <c r="AH712" t="n">
        <v>4</v>
      </c>
      <c r="AI712" t="n">
        <v>4</v>
      </c>
      <c r="AJ712" t="n">
        <v>10</v>
      </c>
      <c r="AK712" t="n">
        <v>10</v>
      </c>
      <c r="AL712" t="n">
        <v>4</v>
      </c>
      <c r="AM712" t="n">
        <v>4</v>
      </c>
      <c r="AN712" t="n">
        <v>0</v>
      </c>
      <c r="AO712" t="n">
        <v>0</v>
      </c>
      <c r="AP712" t="inlineStr">
        <is>
          <t>No</t>
        </is>
      </c>
      <c r="AQ712" t="inlineStr">
        <is>
          <t>Yes</t>
        </is>
      </c>
      <c r="AR712">
        <f>HYPERLINK("http://catalog.hathitrust.org/Record/000003531","HathiTrust Record")</f>
        <v/>
      </c>
      <c r="AS712">
        <f>HYPERLINK("https://creighton-primo.hosted.exlibrisgroup.com/primo-explore/search?tab=default_tab&amp;search_scope=EVERYTHING&amp;vid=01CRU&amp;lang=en_US&amp;offset=0&amp;query=any,contains,991001915379702656","Catalog Record")</f>
        <v/>
      </c>
      <c r="AT712">
        <f>HYPERLINK("http://www.worldcat.org/oclc/243498","WorldCat Record")</f>
        <v/>
      </c>
      <c r="AU712" t="inlineStr">
        <is>
          <t>10596749795:eng</t>
        </is>
      </c>
      <c r="AV712" t="inlineStr">
        <is>
          <t>243498</t>
        </is>
      </c>
      <c r="AW712" t="inlineStr">
        <is>
          <t>991001915379702656</t>
        </is>
      </c>
      <c r="AX712" t="inlineStr">
        <is>
          <t>991001915379702656</t>
        </is>
      </c>
      <c r="AY712" t="inlineStr">
        <is>
          <t>2270573960002656</t>
        </is>
      </c>
      <c r="AZ712" t="inlineStr">
        <is>
          <t>BOOK</t>
        </is>
      </c>
      <c r="BC712" t="inlineStr">
        <is>
          <t>32285004855978</t>
        </is>
      </c>
      <c r="BD712" t="inlineStr">
        <is>
          <t>893316158</t>
        </is>
      </c>
    </row>
    <row r="713">
      <c r="A713" t="inlineStr">
        <is>
          <t>No</t>
        </is>
      </c>
      <c r="B713" t="inlineStr">
        <is>
          <t>ND623.M67 S5</t>
        </is>
      </c>
      <c r="C713" t="inlineStr">
        <is>
          <t>0                      ND 0623000M  67                 S  5</t>
        </is>
      </c>
      <c r="D713" t="inlineStr">
        <is>
          <t>Modigliani; a biography of Amedeo Modigliani.</t>
        </is>
      </c>
      <c r="F713" t="inlineStr">
        <is>
          <t>No</t>
        </is>
      </c>
      <c r="G713" t="inlineStr">
        <is>
          <t>1</t>
        </is>
      </c>
      <c r="H713" t="inlineStr">
        <is>
          <t>No</t>
        </is>
      </c>
      <c r="I713" t="inlineStr">
        <is>
          <t>No</t>
        </is>
      </c>
      <c r="J713" t="inlineStr">
        <is>
          <t>0</t>
        </is>
      </c>
      <c r="K713" t="inlineStr">
        <is>
          <t>Sichel, Pierre, 1915-2004.</t>
        </is>
      </c>
      <c r="L713" t="inlineStr">
        <is>
          <t>New York, Dutton, 1967.</t>
        </is>
      </c>
      <c r="M713" t="inlineStr">
        <is>
          <t>1967</t>
        </is>
      </c>
      <c r="N713" t="inlineStr">
        <is>
          <t>[1st ed.]</t>
        </is>
      </c>
      <c r="O713" t="inlineStr">
        <is>
          <t>eng</t>
        </is>
      </c>
      <c r="P713" t="inlineStr">
        <is>
          <t>nyu</t>
        </is>
      </c>
      <c r="R713" t="inlineStr">
        <is>
          <t xml:space="preserve">ND </t>
        </is>
      </c>
      <c r="S713" t="n">
        <v>4</v>
      </c>
      <c r="T713" t="n">
        <v>4</v>
      </c>
      <c r="U713" t="inlineStr">
        <is>
          <t>2009-05-27</t>
        </is>
      </c>
      <c r="V713" t="inlineStr">
        <is>
          <t>2009-05-27</t>
        </is>
      </c>
      <c r="W713" t="inlineStr">
        <is>
          <t>1997-08-04</t>
        </is>
      </c>
      <c r="X713" t="inlineStr">
        <is>
          <t>1997-08-04</t>
        </is>
      </c>
      <c r="Y713" t="n">
        <v>995</v>
      </c>
      <c r="Z713" t="n">
        <v>943</v>
      </c>
      <c r="AA713" t="n">
        <v>978</v>
      </c>
      <c r="AB713" t="n">
        <v>7</v>
      </c>
      <c r="AC713" t="n">
        <v>7</v>
      </c>
      <c r="AD713" t="n">
        <v>25</v>
      </c>
      <c r="AE713" t="n">
        <v>25</v>
      </c>
      <c r="AF713" t="n">
        <v>9</v>
      </c>
      <c r="AG713" t="n">
        <v>9</v>
      </c>
      <c r="AH713" t="n">
        <v>5</v>
      </c>
      <c r="AI713" t="n">
        <v>5</v>
      </c>
      <c r="AJ713" t="n">
        <v>11</v>
      </c>
      <c r="AK713" t="n">
        <v>11</v>
      </c>
      <c r="AL713" t="n">
        <v>5</v>
      </c>
      <c r="AM713" t="n">
        <v>5</v>
      </c>
      <c r="AN713" t="n">
        <v>0</v>
      </c>
      <c r="AO713" t="n">
        <v>0</v>
      </c>
      <c r="AP713" t="inlineStr">
        <is>
          <t>No</t>
        </is>
      </c>
      <c r="AQ713" t="inlineStr">
        <is>
          <t>Yes</t>
        </is>
      </c>
      <c r="AR713">
        <f>HYPERLINK("http://catalog.hathitrust.org/Record/000568947","HathiTrust Record")</f>
        <v/>
      </c>
      <c r="AS713">
        <f>HYPERLINK("https://creighton-primo.hosted.exlibrisgroup.com/primo-explore/search?tab=default_tab&amp;search_scope=EVERYTHING&amp;vid=01CRU&amp;lang=en_US&amp;offset=0&amp;query=any,contains,991002891609702656","Catalog Record")</f>
        <v/>
      </c>
      <c r="AT713">
        <f>HYPERLINK("http://www.worldcat.org/oclc/511951","WorldCat Record")</f>
        <v/>
      </c>
      <c r="AU713" t="inlineStr">
        <is>
          <t>2050121196:eng</t>
        </is>
      </c>
      <c r="AV713" t="inlineStr">
        <is>
          <t>511951</t>
        </is>
      </c>
      <c r="AW713" t="inlineStr">
        <is>
          <t>991002891609702656</t>
        </is>
      </c>
      <c r="AX713" t="inlineStr">
        <is>
          <t>991002891609702656</t>
        </is>
      </c>
      <c r="AY713" t="inlineStr">
        <is>
          <t>2263734310002656</t>
        </is>
      </c>
      <c r="AZ713" t="inlineStr">
        <is>
          <t>BOOK</t>
        </is>
      </c>
      <c r="BB713" t="inlineStr">
        <is>
          <t>9780491001205</t>
        </is>
      </c>
      <c r="BC713" t="inlineStr">
        <is>
          <t>32285002969003</t>
        </is>
      </c>
      <c r="BD713" t="inlineStr">
        <is>
          <t>893341988</t>
        </is>
      </c>
    </row>
    <row r="714">
      <c r="A714" t="inlineStr">
        <is>
          <t>No</t>
        </is>
      </c>
      <c r="B714" t="inlineStr">
        <is>
          <t>ND623.P4 A4 1997</t>
        </is>
      </c>
      <c r="C714" t="inlineStr">
        <is>
          <t>0                      ND 0623000P  4                  A  4           1997</t>
        </is>
      </c>
      <c r="D714" t="inlineStr">
        <is>
          <t>Pietro Perugino : master of the Italian Renaissance / Joseph Antenucci Becherer, with contributions by Katherine R. Smith Abbott ... [et al.].</t>
        </is>
      </c>
      <c r="F714" t="inlineStr">
        <is>
          <t>No</t>
        </is>
      </c>
      <c r="G714" t="inlineStr">
        <is>
          <t>1</t>
        </is>
      </c>
      <c r="H714" t="inlineStr">
        <is>
          <t>No</t>
        </is>
      </c>
      <c r="I714" t="inlineStr">
        <is>
          <t>No</t>
        </is>
      </c>
      <c r="J714" t="inlineStr">
        <is>
          <t>0</t>
        </is>
      </c>
      <c r="K714" t="inlineStr">
        <is>
          <t>Becherer, Joseph Antenucci.</t>
        </is>
      </c>
      <c r="L714" t="inlineStr">
        <is>
          <t>New York : Rizzoli International ; Grand Rapids, Mich. : Grand Rapids Art Museum, 1997.</t>
        </is>
      </c>
      <c r="M714" t="inlineStr">
        <is>
          <t>1997</t>
        </is>
      </c>
      <c r="O714" t="inlineStr">
        <is>
          <t>eng</t>
        </is>
      </c>
      <c r="P714" t="inlineStr">
        <is>
          <t>nyu</t>
        </is>
      </c>
      <c r="R714" t="inlineStr">
        <is>
          <t xml:space="preserve">ND </t>
        </is>
      </c>
      <c r="S714" t="n">
        <v>1</v>
      </c>
      <c r="T714" t="n">
        <v>1</v>
      </c>
      <c r="U714" t="inlineStr">
        <is>
          <t>2005-09-15</t>
        </is>
      </c>
      <c r="V714" t="inlineStr">
        <is>
          <t>2005-09-15</t>
        </is>
      </c>
      <c r="W714" t="inlineStr">
        <is>
          <t>1998-08-20</t>
        </is>
      </c>
      <c r="X714" t="inlineStr">
        <is>
          <t>1998-08-20</t>
        </is>
      </c>
      <c r="Y714" t="n">
        <v>718</v>
      </c>
      <c r="Z714" t="n">
        <v>637</v>
      </c>
      <c r="AA714" t="n">
        <v>645</v>
      </c>
      <c r="AB714" t="n">
        <v>3</v>
      </c>
      <c r="AC714" t="n">
        <v>3</v>
      </c>
      <c r="AD714" t="n">
        <v>29</v>
      </c>
      <c r="AE714" t="n">
        <v>29</v>
      </c>
      <c r="AF714" t="n">
        <v>12</v>
      </c>
      <c r="AG714" t="n">
        <v>12</v>
      </c>
      <c r="AH714" t="n">
        <v>8</v>
      </c>
      <c r="AI714" t="n">
        <v>8</v>
      </c>
      <c r="AJ714" t="n">
        <v>16</v>
      </c>
      <c r="AK714" t="n">
        <v>16</v>
      </c>
      <c r="AL714" t="n">
        <v>1</v>
      </c>
      <c r="AM714" t="n">
        <v>1</v>
      </c>
      <c r="AN714" t="n">
        <v>0</v>
      </c>
      <c r="AO714" t="n">
        <v>0</v>
      </c>
      <c r="AP714" t="inlineStr">
        <is>
          <t>No</t>
        </is>
      </c>
      <c r="AQ714" t="inlineStr">
        <is>
          <t>Yes</t>
        </is>
      </c>
      <c r="AR714">
        <f>HYPERLINK("http://catalog.hathitrust.org/Record/003963396","HathiTrust Record")</f>
        <v/>
      </c>
      <c r="AS714">
        <f>HYPERLINK("https://creighton-primo.hosted.exlibrisgroup.com/primo-explore/search?tab=default_tab&amp;search_scope=EVERYTHING&amp;vid=01CRU&amp;lang=en_US&amp;offset=0&amp;query=any,contains,991002837589702656","Catalog Record")</f>
        <v/>
      </c>
      <c r="AT714">
        <f>HYPERLINK("http://www.worldcat.org/oclc/37370277","WorldCat Record")</f>
        <v/>
      </c>
      <c r="AU714" t="inlineStr">
        <is>
          <t>480558446:eng</t>
        </is>
      </c>
      <c r="AV714" t="inlineStr">
        <is>
          <t>37370277</t>
        </is>
      </c>
      <c r="AW714" t="inlineStr">
        <is>
          <t>991002837589702656</t>
        </is>
      </c>
      <c r="AX714" t="inlineStr">
        <is>
          <t>991002837589702656</t>
        </is>
      </c>
      <c r="AY714" t="inlineStr">
        <is>
          <t>2267606790002656</t>
        </is>
      </c>
      <c r="AZ714" t="inlineStr">
        <is>
          <t>BOOK</t>
        </is>
      </c>
      <c r="BB714" t="inlineStr">
        <is>
          <t>9780847820764</t>
        </is>
      </c>
      <c r="BC714" t="inlineStr">
        <is>
          <t>32285003460416</t>
        </is>
      </c>
      <c r="BD714" t="inlineStr">
        <is>
          <t>893409608</t>
        </is>
      </c>
    </row>
    <row r="715">
      <c r="A715" t="inlineStr">
        <is>
          <t>No</t>
        </is>
      </c>
      <c r="B715" t="inlineStr">
        <is>
          <t>ND623.R2 A3</t>
        </is>
      </c>
      <c r="C715" t="inlineStr">
        <is>
          <t>0                      ND 0623000R  2                  A  3</t>
        </is>
      </c>
      <c r="D715" t="inlineStr">
        <is>
          <t>Raphael, by Julia Cartwright (Mrs. Ady) ...</t>
        </is>
      </c>
      <c r="F715" t="inlineStr">
        <is>
          <t>No</t>
        </is>
      </c>
      <c r="G715" t="inlineStr">
        <is>
          <t>1</t>
        </is>
      </c>
      <c r="H715" t="inlineStr">
        <is>
          <t>No</t>
        </is>
      </c>
      <c r="I715" t="inlineStr">
        <is>
          <t>No</t>
        </is>
      </c>
      <c r="J715" t="inlineStr">
        <is>
          <t>0</t>
        </is>
      </c>
      <c r="K715" t="inlineStr">
        <is>
          <t>Cartwright, Julia, 1851-1924.</t>
        </is>
      </c>
      <c r="L715" t="inlineStr">
        <is>
          <t>London, Duckworth &amp; Co.; New York, E.P. Dutton &amp; Co. [1905]</t>
        </is>
      </c>
      <c r="M715" t="inlineStr">
        <is>
          <t>1905</t>
        </is>
      </c>
      <c r="O715" t="inlineStr">
        <is>
          <t>eng</t>
        </is>
      </c>
      <c r="P715" t="inlineStr">
        <is>
          <t>enk</t>
        </is>
      </c>
      <c r="Q715" t="inlineStr">
        <is>
          <t>The popular library of art</t>
        </is>
      </c>
      <c r="R715" t="inlineStr">
        <is>
          <t xml:space="preserve">ND </t>
        </is>
      </c>
      <c r="S715" t="n">
        <v>1</v>
      </c>
      <c r="T715" t="n">
        <v>1</v>
      </c>
      <c r="U715" t="inlineStr">
        <is>
          <t>2000-11-09</t>
        </is>
      </c>
      <c r="V715" t="inlineStr">
        <is>
          <t>2000-11-09</t>
        </is>
      </c>
      <c r="W715" t="inlineStr">
        <is>
          <t>1997-08-05</t>
        </is>
      </c>
      <c r="X715" t="inlineStr">
        <is>
          <t>1997-08-05</t>
        </is>
      </c>
      <c r="Y715" t="n">
        <v>78</v>
      </c>
      <c r="Z715" t="n">
        <v>63</v>
      </c>
      <c r="AA715" t="n">
        <v>184</v>
      </c>
      <c r="AB715" t="n">
        <v>1</v>
      </c>
      <c r="AC715" t="n">
        <v>5</v>
      </c>
      <c r="AD715" t="n">
        <v>2</v>
      </c>
      <c r="AE715" t="n">
        <v>12</v>
      </c>
      <c r="AF715" t="n">
        <v>1</v>
      </c>
      <c r="AG715" t="n">
        <v>3</v>
      </c>
      <c r="AH715" t="n">
        <v>0</v>
      </c>
      <c r="AI715" t="n">
        <v>2</v>
      </c>
      <c r="AJ715" t="n">
        <v>1</v>
      </c>
      <c r="AK715" t="n">
        <v>6</v>
      </c>
      <c r="AL715" t="n">
        <v>0</v>
      </c>
      <c r="AM715" t="n">
        <v>3</v>
      </c>
      <c r="AN715" t="n">
        <v>0</v>
      </c>
      <c r="AO715" t="n">
        <v>0</v>
      </c>
      <c r="AP715" t="inlineStr">
        <is>
          <t>Yes</t>
        </is>
      </c>
      <c r="AQ715" t="inlineStr">
        <is>
          <t>No</t>
        </is>
      </c>
      <c r="AR715">
        <f>HYPERLINK("http://catalog.hathitrust.org/Record/100641698","HathiTrust Record")</f>
        <v/>
      </c>
      <c r="AS715">
        <f>HYPERLINK("https://creighton-primo.hosted.exlibrisgroup.com/primo-explore/search?tab=default_tab&amp;search_scope=EVERYTHING&amp;vid=01CRU&amp;lang=en_US&amp;offset=0&amp;query=any,contains,991003602729702656","Catalog Record")</f>
        <v/>
      </c>
      <c r="AT715">
        <f>HYPERLINK("http://www.worldcat.org/oclc/1181372","WorldCat Record")</f>
        <v/>
      </c>
      <c r="AU715" t="inlineStr">
        <is>
          <t>3943474458:eng</t>
        </is>
      </c>
      <c r="AV715" t="inlineStr">
        <is>
          <t>1181372</t>
        </is>
      </c>
      <c r="AW715" t="inlineStr">
        <is>
          <t>991003602729702656</t>
        </is>
      </c>
      <c r="AX715" t="inlineStr">
        <is>
          <t>991003602729702656</t>
        </is>
      </c>
      <c r="AY715" t="inlineStr">
        <is>
          <t>2259034230002656</t>
        </is>
      </c>
      <c r="AZ715" t="inlineStr">
        <is>
          <t>BOOK</t>
        </is>
      </c>
      <c r="BC715" t="inlineStr">
        <is>
          <t>32285002969029</t>
        </is>
      </c>
      <c r="BD715" t="inlineStr">
        <is>
          <t>893617518</t>
        </is>
      </c>
    </row>
    <row r="716">
      <c r="A716" t="inlineStr">
        <is>
          <t>No</t>
        </is>
      </c>
      <c r="B716" t="inlineStr">
        <is>
          <t>ND623.R2 F5313 1964</t>
        </is>
      </c>
      <c r="C716" t="inlineStr">
        <is>
          <t>0                      ND 0623000R  2                  F  5313        1964</t>
        </is>
      </c>
      <c r="D716" t="inlineStr">
        <is>
          <t>Raphael / Oskar Fischel ; translated from the German by Bernard Rackham.</t>
        </is>
      </c>
      <c r="F716" t="inlineStr">
        <is>
          <t>No</t>
        </is>
      </c>
      <c r="G716" t="inlineStr">
        <is>
          <t>1</t>
        </is>
      </c>
      <c r="H716" t="inlineStr">
        <is>
          <t>No</t>
        </is>
      </c>
      <c r="I716" t="inlineStr">
        <is>
          <t>No</t>
        </is>
      </c>
      <c r="J716" t="inlineStr">
        <is>
          <t>0</t>
        </is>
      </c>
      <c r="K716" t="inlineStr">
        <is>
          <t>Fischel, Oskar, 1870-1939.</t>
        </is>
      </c>
      <c r="L716" t="inlineStr">
        <is>
          <t>London : Spring Books, [1964]</t>
        </is>
      </c>
      <c r="M716" t="inlineStr">
        <is>
          <t>1964</t>
        </is>
      </c>
      <c r="O716" t="inlineStr">
        <is>
          <t>eng</t>
        </is>
      </c>
      <c r="P716" t="inlineStr">
        <is>
          <t xml:space="preserve">xx </t>
        </is>
      </c>
      <c r="R716" t="inlineStr">
        <is>
          <t xml:space="preserve">ND </t>
        </is>
      </c>
      <c r="S716" t="n">
        <v>3</v>
      </c>
      <c r="T716" t="n">
        <v>3</v>
      </c>
      <c r="U716" t="inlineStr">
        <is>
          <t>1997-06-25</t>
        </is>
      </c>
      <c r="V716" t="inlineStr">
        <is>
          <t>1997-06-25</t>
        </is>
      </c>
      <c r="W716" t="inlineStr">
        <is>
          <t>1994-06-20</t>
        </is>
      </c>
      <c r="X716" t="inlineStr">
        <is>
          <t>1994-06-20</t>
        </is>
      </c>
      <c r="Y716" t="n">
        <v>447</v>
      </c>
      <c r="Z716" t="n">
        <v>395</v>
      </c>
      <c r="AA716" t="n">
        <v>413</v>
      </c>
      <c r="AB716" t="n">
        <v>4</v>
      </c>
      <c r="AC716" t="n">
        <v>4</v>
      </c>
      <c r="AD716" t="n">
        <v>16</v>
      </c>
      <c r="AE716" t="n">
        <v>16</v>
      </c>
      <c r="AF716" t="n">
        <v>4</v>
      </c>
      <c r="AG716" t="n">
        <v>4</v>
      </c>
      <c r="AH716" t="n">
        <v>4</v>
      </c>
      <c r="AI716" t="n">
        <v>4</v>
      </c>
      <c r="AJ716" t="n">
        <v>9</v>
      </c>
      <c r="AK716" t="n">
        <v>9</v>
      </c>
      <c r="AL716" t="n">
        <v>3</v>
      </c>
      <c r="AM716" t="n">
        <v>3</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HYPERLINK("https://creighton-primo.hosted.exlibrisgroup.com/primo-explore/search?tab=default_tab&amp;search_scope=EVERYTHING&amp;vid=01CRU&amp;lang=en_US&amp;offset=0&amp;query=any,contains,991001974879702656","Catalog Record")</f>
        <v/>
      </c>
      <c r="AT716">
        <f>HYPERLINK("http://www.worldcat.org/oclc/254320","WorldCat Record")</f>
        <v/>
      </c>
      <c r="AU716" t="inlineStr">
        <is>
          <t>9430118288:eng</t>
        </is>
      </c>
      <c r="AV716" t="inlineStr">
        <is>
          <t>254320</t>
        </is>
      </c>
      <c r="AW716" t="inlineStr">
        <is>
          <t>991001974879702656</t>
        </is>
      </c>
      <c r="AX716" t="inlineStr">
        <is>
          <t>991001974879702656</t>
        </is>
      </c>
      <c r="AY716" t="inlineStr">
        <is>
          <t>2269437380002656</t>
        </is>
      </c>
      <c r="AZ716" t="inlineStr">
        <is>
          <t>BOOK</t>
        </is>
      </c>
      <c r="BC716" t="inlineStr">
        <is>
          <t>32285001916476</t>
        </is>
      </c>
      <c r="BD716" t="inlineStr">
        <is>
          <t>893322419</t>
        </is>
      </c>
    </row>
    <row r="717">
      <c r="A717" t="inlineStr">
        <is>
          <t>No</t>
        </is>
      </c>
      <c r="B717" t="inlineStr">
        <is>
          <t>ND623.R2 G58</t>
        </is>
      </c>
      <c r="C717" t="inlineStr">
        <is>
          <t>0                      ND 0623000R  2                  G  58</t>
        </is>
      </c>
      <c r="D717" t="inlineStr">
        <is>
          <t>The Raphael Bible / [compiled by] Rumer Godden.</t>
        </is>
      </c>
      <c r="F717" t="inlineStr">
        <is>
          <t>No</t>
        </is>
      </c>
      <c r="G717" t="inlineStr">
        <is>
          <t>1</t>
        </is>
      </c>
      <c r="H717" t="inlineStr">
        <is>
          <t>No</t>
        </is>
      </c>
      <c r="I717" t="inlineStr">
        <is>
          <t>No</t>
        </is>
      </c>
      <c r="J717" t="inlineStr">
        <is>
          <t>0</t>
        </is>
      </c>
      <c r="K717" t="inlineStr">
        <is>
          <t>Godden, Rumer, 1907-1998.</t>
        </is>
      </c>
      <c r="L717" t="inlineStr">
        <is>
          <t>New York : Viking Press, [1970]</t>
        </is>
      </c>
      <c r="M717" t="inlineStr">
        <is>
          <t>1970</t>
        </is>
      </c>
      <c r="O717" t="inlineStr">
        <is>
          <t>eng</t>
        </is>
      </c>
      <c r="P717" t="inlineStr">
        <is>
          <t>nyu</t>
        </is>
      </c>
      <c r="Q717" t="inlineStr">
        <is>
          <t>A Studio book</t>
        </is>
      </c>
      <c r="R717" t="inlineStr">
        <is>
          <t xml:space="preserve">ND </t>
        </is>
      </c>
      <c r="S717" t="n">
        <v>3</v>
      </c>
      <c r="T717" t="n">
        <v>3</v>
      </c>
      <c r="U717" t="inlineStr">
        <is>
          <t>2004-03-16</t>
        </is>
      </c>
      <c r="V717" t="inlineStr">
        <is>
          <t>2004-03-16</t>
        </is>
      </c>
      <c r="W717" t="inlineStr">
        <is>
          <t>1995-05-16</t>
        </is>
      </c>
      <c r="X717" t="inlineStr">
        <is>
          <t>1995-05-16</t>
        </is>
      </c>
      <c r="Y717" t="n">
        <v>422</v>
      </c>
      <c r="Z717" t="n">
        <v>393</v>
      </c>
      <c r="AA717" t="n">
        <v>461</v>
      </c>
      <c r="AB717" t="n">
        <v>3</v>
      </c>
      <c r="AC717" t="n">
        <v>3</v>
      </c>
      <c r="AD717" t="n">
        <v>15</v>
      </c>
      <c r="AE717" t="n">
        <v>17</v>
      </c>
      <c r="AF717" t="n">
        <v>5</v>
      </c>
      <c r="AG717" t="n">
        <v>6</v>
      </c>
      <c r="AH717" t="n">
        <v>3</v>
      </c>
      <c r="AI717" t="n">
        <v>3</v>
      </c>
      <c r="AJ717" t="n">
        <v>9</v>
      </c>
      <c r="AK717" t="n">
        <v>11</v>
      </c>
      <c r="AL717" t="n">
        <v>2</v>
      </c>
      <c r="AM717" t="n">
        <v>2</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HYPERLINK("https://creighton-primo.hosted.exlibrisgroup.com/primo-explore/search?tab=default_tab&amp;search_scope=EVERYTHING&amp;vid=01CRU&amp;lang=en_US&amp;offset=0&amp;query=any,contains,991000625079702656","Catalog Record")</f>
        <v/>
      </c>
      <c r="AT717">
        <f>HYPERLINK("http://www.worldcat.org/oclc/103947","WorldCat Record")</f>
        <v/>
      </c>
      <c r="AU717" t="inlineStr">
        <is>
          <t>762653557:eng</t>
        </is>
      </c>
      <c r="AV717" t="inlineStr">
        <is>
          <t>103947</t>
        </is>
      </c>
      <c r="AW717" t="inlineStr">
        <is>
          <t>991000625079702656</t>
        </is>
      </c>
      <c r="AX717" t="inlineStr">
        <is>
          <t>991000625079702656</t>
        </is>
      </c>
      <c r="AY717" t="inlineStr">
        <is>
          <t>2260279290002656</t>
        </is>
      </c>
      <c r="AZ717" t="inlineStr">
        <is>
          <t>BOOK</t>
        </is>
      </c>
      <c r="BB717" t="inlineStr">
        <is>
          <t>9780670589432</t>
        </is>
      </c>
      <c r="BC717" t="inlineStr">
        <is>
          <t>32285002034279</t>
        </is>
      </c>
      <c r="BD717" t="inlineStr">
        <is>
          <t>893502650</t>
        </is>
      </c>
    </row>
    <row r="718">
      <c r="A718" t="inlineStr">
        <is>
          <t>No</t>
        </is>
      </c>
      <c r="B718" t="inlineStr">
        <is>
          <t>ND623.R2 P26</t>
        </is>
      </c>
      <c r="C718" t="inlineStr">
        <is>
          <t>0                      ND 0623000R  2                  P  26</t>
        </is>
      </c>
      <c r="D718" t="inlineStr">
        <is>
          <t>A Renaissance likeness : art and culture in Raphael's Julius II / Loren Partridge and Randolph Starn.</t>
        </is>
      </c>
      <c r="F718" t="inlineStr">
        <is>
          <t>No</t>
        </is>
      </c>
      <c r="G718" t="inlineStr">
        <is>
          <t>1</t>
        </is>
      </c>
      <c r="H718" t="inlineStr">
        <is>
          <t>No</t>
        </is>
      </c>
      <c r="I718" t="inlineStr">
        <is>
          <t>No</t>
        </is>
      </c>
      <c r="J718" t="inlineStr">
        <is>
          <t>0</t>
        </is>
      </c>
      <c r="K718" t="inlineStr">
        <is>
          <t>Partridge, Loren W.</t>
        </is>
      </c>
      <c r="L718" t="inlineStr">
        <is>
          <t>Berkeley : University of California Press, c1980.</t>
        </is>
      </c>
      <c r="M718" t="inlineStr">
        <is>
          <t>1980</t>
        </is>
      </c>
      <c r="O718" t="inlineStr">
        <is>
          <t>eng</t>
        </is>
      </c>
      <c r="P718" t="inlineStr">
        <is>
          <t>cau</t>
        </is>
      </c>
      <c r="R718" t="inlineStr">
        <is>
          <t xml:space="preserve">ND </t>
        </is>
      </c>
      <c r="S718" t="n">
        <v>3</v>
      </c>
      <c r="T718" t="n">
        <v>3</v>
      </c>
      <c r="U718" t="inlineStr">
        <is>
          <t>2004-03-26</t>
        </is>
      </c>
      <c r="V718" t="inlineStr">
        <is>
          <t>2004-03-26</t>
        </is>
      </c>
      <c r="W718" t="inlineStr">
        <is>
          <t>1993-03-29</t>
        </is>
      </c>
      <c r="X718" t="inlineStr">
        <is>
          <t>1993-03-29</t>
        </is>
      </c>
      <c r="Y718" t="n">
        <v>554</v>
      </c>
      <c r="Z718" t="n">
        <v>434</v>
      </c>
      <c r="AA718" t="n">
        <v>447</v>
      </c>
      <c r="AB718" t="n">
        <v>4</v>
      </c>
      <c r="AC718" t="n">
        <v>4</v>
      </c>
      <c r="AD718" t="n">
        <v>21</v>
      </c>
      <c r="AE718" t="n">
        <v>22</v>
      </c>
      <c r="AF718" t="n">
        <v>8</v>
      </c>
      <c r="AG718" t="n">
        <v>8</v>
      </c>
      <c r="AH718" t="n">
        <v>5</v>
      </c>
      <c r="AI718" t="n">
        <v>6</v>
      </c>
      <c r="AJ718" t="n">
        <v>12</v>
      </c>
      <c r="AK718" t="n">
        <v>13</v>
      </c>
      <c r="AL718" t="n">
        <v>2</v>
      </c>
      <c r="AM718" t="n">
        <v>2</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HYPERLINK("https://creighton-primo.hosted.exlibrisgroup.com/primo-explore/search?tab=default_tab&amp;search_scope=EVERYTHING&amp;vid=01CRU&amp;lang=en_US&amp;offset=0&amp;query=any,contains,991004822179702656","Catalog Record")</f>
        <v/>
      </c>
      <c r="AT718">
        <f>HYPERLINK("http://www.worldcat.org/oclc/5336738","WorldCat Record")</f>
        <v/>
      </c>
      <c r="AU718" t="inlineStr">
        <is>
          <t>198474748:eng</t>
        </is>
      </c>
      <c r="AV718" t="inlineStr">
        <is>
          <t>5336738</t>
        </is>
      </c>
      <c r="AW718" t="inlineStr">
        <is>
          <t>991004822179702656</t>
        </is>
      </c>
      <c r="AX718" t="inlineStr">
        <is>
          <t>991004822179702656</t>
        </is>
      </c>
      <c r="AY718" t="inlineStr">
        <is>
          <t>2265355120002656</t>
        </is>
      </c>
      <c r="AZ718" t="inlineStr">
        <is>
          <t>BOOK</t>
        </is>
      </c>
      <c r="BB718" t="inlineStr">
        <is>
          <t>9780520039018</t>
        </is>
      </c>
      <c r="BC718" t="inlineStr">
        <is>
          <t>32285001591931</t>
        </is>
      </c>
      <c r="BD718" t="inlineStr">
        <is>
          <t>893789138</t>
        </is>
      </c>
    </row>
    <row r="719">
      <c r="A719" t="inlineStr">
        <is>
          <t>No</t>
        </is>
      </c>
      <c r="B719" t="inlineStr">
        <is>
          <t>ND623.R2 P677</t>
        </is>
      </c>
      <c r="C719" t="inlineStr">
        <is>
          <t>0                      ND 0623000R  2                  P  677</t>
        </is>
      </c>
      <c r="D719" t="inlineStr">
        <is>
          <t>Raphael / [by] John Pope-Hennessy.</t>
        </is>
      </c>
      <c r="F719" t="inlineStr">
        <is>
          <t>No</t>
        </is>
      </c>
      <c r="G719" t="inlineStr">
        <is>
          <t>1</t>
        </is>
      </c>
      <c r="H719" t="inlineStr">
        <is>
          <t>No</t>
        </is>
      </c>
      <c r="I719" t="inlineStr">
        <is>
          <t>No</t>
        </is>
      </c>
      <c r="J719" t="inlineStr">
        <is>
          <t>0</t>
        </is>
      </c>
      <c r="K719" t="inlineStr">
        <is>
          <t>Pope-Hennessy, John Wyndham, Sir, 1913-1994.</t>
        </is>
      </c>
      <c r="L719" t="inlineStr">
        <is>
          <t>[New York] : New York University Press, [c1970]</t>
        </is>
      </c>
      <c r="M719" t="inlineStr">
        <is>
          <t>1970</t>
        </is>
      </c>
      <c r="O719" t="inlineStr">
        <is>
          <t>eng</t>
        </is>
      </c>
      <c r="P719" t="inlineStr">
        <is>
          <t>nyu</t>
        </is>
      </c>
      <c r="Q719" t="inlineStr">
        <is>
          <t>The Wrightsman lectures, 4th</t>
        </is>
      </c>
      <c r="R719" t="inlineStr">
        <is>
          <t xml:space="preserve">ND </t>
        </is>
      </c>
      <c r="S719" t="n">
        <v>5</v>
      </c>
      <c r="T719" t="n">
        <v>5</v>
      </c>
      <c r="U719" t="inlineStr">
        <is>
          <t>2000-11-09</t>
        </is>
      </c>
      <c r="V719" t="inlineStr">
        <is>
          <t>2000-11-09</t>
        </is>
      </c>
      <c r="W719" t="inlineStr">
        <is>
          <t>1995-05-16</t>
        </is>
      </c>
      <c r="X719" t="inlineStr">
        <is>
          <t>1995-05-16</t>
        </is>
      </c>
      <c r="Y719" t="n">
        <v>1052</v>
      </c>
      <c r="Z719" t="n">
        <v>955</v>
      </c>
      <c r="AA719" t="n">
        <v>987</v>
      </c>
      <c r="AB719" t="n">
        <v>7</v>
      </c>
      <c r="AC719" t="n">
        <v>7</v>
      </c>
      <c r="AD719" t="n">
        <v>41</v>
      </c>
      <c r="AE719" t="n">
        <v>41</v>
      </c>
      <c r="AF719" t="n">
        <v>19</v>
      </c>
      <c r="AG719" t="n">
        <v>19</v>
      </c>
      <c r="AH719" t="n">
        <v>10</v>
      </c>
      <c r="AI719" t="n">
        <v>10</v>
      </c>
      <c r="AJ719" t="n">
        <v>16</v>
      </c>
      <c r="AK719" t="n">
        <v>16</v>
      </c>
      <c r="AL719" t="n">
        <v>5</v>
      </c>
      <c r="AM719" t="n">
        <v>5</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HYPERLINK("https://creighton-primo.hosted.exlibrisgroup.com/primo-explore/search?tab=default_tab&amp;search_scope=EVERYTHING&amp;vid=01CRU&amp;lang=en_US&amp;offset=0&amp;query=any,contains,991000894359702656","Catalog Record")</f>
        <v/>
      </c>
      <c r="AT719">
        <f>HYPERLINK("http://www.worldcat.org/oclc/155361","WorldCat Record")</f>
        <v/>
      </c>
      <c r="AU719" t="inlineStr">
        <is>
          <t>1932592182:eng</t>
        </is>
      </c>
      <c r="AV719" t="inlineStr">
        <is>
          <t>155361</t>
        </is>
      </c>
      <c r="AW719" t="inlineStr">
        <is>
          <t>991000894359702656</t>
        </is>
      </c>
      <c r="AX719" t="inlineStr">
        <is>
          <t>991000894359702656</t>
        </is>
      </c>
      <c r="AY719" t="inlineStr">
        <is>
          <t>2256742580002656</t>
        </is>
      </c>
      <c r="AZ719" t="inlineStr">
        <is>
          <t>BOOK</t>
        </is>
      </c>
      <c r="BB719" t="inlineStr">
        <is>
          <t>9780814704769</t>
        </is>
      </c>
      <c r="BC719" t="inlineStr">
        <is>
          <t>32285002034253</t>
        </is>
      </c>
      <c r="BD719" t="inlineStr">
        <is>
          <t>893509204</t>
        </is>
      </c>
    </row>
    <row r="720">
      <c r="A720" t="inlineStr">
        <is>
          <t>No</t>
        </is>
      </c>
      <c r="B720" t="inlineStr">
        <is>
          <t>ND623.R2 R37 1986</t>
        </is>
      </c>
      <c r="C720" t="inlineStr">
        <is>
          <t>0                      ND 0623000R  2                  R  37          1986</t>
        </is>
      </c>
      <c r="D720" t="inlineStr">
        <is>
          <t>Raphael before Rome / edited by James Beck.</t>
        </is>
      </c>
      <c r="F720" t="inlineStr">
        <is>
          <t>No</t>
        </is>
      </c>
      <c r="G720" t="inlineStr">
        <is>
          <t>1</t>
        </is>
      </c>
      <c r="H720" t="inlineStr">
        <is>
          <t>No</t>
        </is>
      </c>
      <c r="I720" t="inlineStr">
        <is>
          <t>No</t>
        </is>
      </c>
      <c r="J720" t="inlineStr">
        <is>
          <t>0</t>
        </is>
      </c>
      <c r="L720" t="inlineStr">
        <is>
          <t>Washington : National Gallery of Art ; Hanover : Distributed by the University Press of New England, c1986.</t>
        </is>
      </c>
      <c r="M720" t="inlineStr">
        <is>
          <t>1986</t>
        </is>
      </c>
      <c r="O720" t="inlineStr">
        <is>
          <t>eng</t>
        </is>
      </c>
      <c r="P720" t="inlineStr">
        <is>
          <t>dcu</t>
        </is>
      </c>
      <c r="Q720" t="inlineStr">
        <is>
          <t>Studies in the history of art, 0091-7338 ; v. 17. Symposium series ; 5</t>
        </is>
      </c>
      <c r="R720" t="inlineStr">
        <is>
          <t xml:space="preserve">ND </t>
        </is>
      </c>
      <c r="S720" t="n">
        <v>1</v>
      </c>
      <c r="T720" t="n">
        <v>1</v>
      </c>
      <c r="U720" t="inlineStr">
        <is>
          <t>2003-09-03</t>
        </is>
      </c>
      <c r="V720" t="inlineStr">
        <is>
          <t>2003-09-03</t>
        </is>
      </c>
      <c r="W720" t="inlineStr">
        <is>
          <t>2003-09-03</t>
        </is>
      </c>
      <c r="X720" t="inlineStr">
        <is>
          <t>2003-09-03</t>
        </is>
      </c>
      <c r="Y720" t="n">
        <v>345</v>
      </c>
      <c r="Z720" t="n">
        <v>274</v>
      </c>
      <c r="AA720" t="n">
        <v>277</v>
      </c>
      <c r="AB720" t="n">
        <v>2</v>
      </c>
      <c r="AC720" t="n">
        <v>2</v>
      </c>
      <c r="AD720" t="n">
        <v>17</v>
      </c>
      <c r="AE720" t="n">
        <v>17</v>
      </c>
      <c r="AF720" t="n">
        <v>7</v>
      </c>
      <c r="AG720" t="n">
        <v>7</v>
      </c>
      <c r="AH720" t="n">
        <v>5</v>
      </c>
      <c r="AI720" t="n">
        <v>5</v>
      </c>
      <c r="AJ720" t="n">
        <v>9</v>
      </c>
      <c r="AK720" t="n">
        <v>9</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HYPERLINK("https://creighton-primo.hosted.exlibrisgroup.com/primo-explore/search?tab=default_tab&amp;search_scope=EVERYTHING&amp;vid=01CRU&amp;lang=en_US&amp;offset=0&amp;query=any,contains,991004113509702656","Catalog Record")</f>
        <v/>
      </c>
      <c r="AT720">
        <f>HYPERLINK("http://www.worldcat.org/oclc/14165034","WorldCat Record")</f>
        <v/>
      </c>
      <c r="AU720" t="inlineStr">
        <is>
          <t>7154237:eng</t>
        </is>
      </c>
      <c r="AV720" t="inlineStr">
        <is>
          <t>14165034</t>
        </is>
      </c>
      <c r="AW720" t="inlineStr">
        <is>
          <t>991004113509702656</t>
        </is>
      </c>
      <c r="AX720" t="inlineStr">
        <is>
          <t>991004113509702656</t>
        </is>
      </c>
      <c r="AY720" t="inlineStr">
        <is>
          <t>2268997610002656</t>
        </is>
      </c>
      <c r="AZ720" t="inlineStr">
        <is>
          <t>BOOK</t>
        </is>
      </c>
      <c r="BC720" t="inlineStr">
        <is>
          <t>32285004781281</t>
        </is>
      </c>
      <c r="BD720" t="inlineStr">
        <is>
          <t>893900812</t>
        </is>
      </c>
    </row>
    <row r="721">
      <c r="A721" t="inlineStr">
        <is>
          <t>No</t>
        </is>
      </c>
      <c r="B721" t="inlineStr">
        <is>
          <t>ND623.R2 S8</t>
        </is>
      </c>
      <c r="C721" t="inlineStr">
        <is>
          <t>0                      ND 0623000R  2                  S  8</t>
        </is>
      </c>
      <c r="D721" t="inlineStr">
        <is>
          <t>Raphael / by Henry Strachey.</t>
        </is>
      </c>
      <c r="F721" t="inlineStr">
        <is>
          <t>No</t>
        </is>
      </c>
      <c r="G721" t="inlineStr">
        <is>
          <t>1</t>
        </is>
      </c>
      <c r="H721" t="inlineStr">
        <is>
          <t>No</t>
        </is>
      </c>
      <c r="I721" t="inlineStr">
        <is>
          <t>No</t>
        </is>
      </c>
      <c r="J721" t="inlineStr">
        <is>
          <t>0</t>
        </is>
      </c>
      <c r="K721" t="inlineStr">
        <is>
          <t>Strachey, Henry.</t>
        </is>
      </c>
      <c r="L721" t="inlineStr">
        <is>
          <t>London : G. Bell &amp; Sons, 1902.</t>
        </is>
      </c>
      <c r="M721" t="inlineStr">
        <is>
          <t>1902</t>
        </is>
      </c>
      <c r="O721" t="inlineStr">
        <is>
          <t>eng</t>
        </is>
      </c>
      <c r="P721" t="inlineStr">
        <is>
          <t xml:space="preserve">xx </t>
        </is>
      </c>
      <c r="Q721" t="inlineStr">
        <is>
          <t>The great masters in painting and sculpture</t>
        </is>
      </c>
      <c r="R721" t="inlineStr">
        <is>
          <t xml:space="preserve">ND </t>
        </is>
      </c>
      <c r="S721" t="n">
        <v>3</v>
      </c>
      <c r="T721" t="n">
        <v>3</v>
      </c>
      <c r="U721" t="inlineStr">
        <is>
          <t>2002-10-21</t>
        </is>
      </c>
      <c r="V721" t="inlineStr">
        <is>
          <t>2002-10-21</t>
        </is>
      </c>
      <c r="W721" t="inlineStr">
        <is>
          <t>1993-12-08</t>
        </is>
      </c>
      <c r="X721" t="inlineStr">
        <is>
          <t>1993-12-08</t>
        </is>
      </c>
      <c r="Y721" t="n">
        <v>49</v>
      </c>
      <c r="Z721" t="n">
        <v>42</v>
      </c>
      <c r="AA721" t="n">
        <v>179</v>
      </c>
      <c r="AB721" t="n">
        <v>1</v>
      </c>
      <c r="AC721" t="n">
        <v>3</v>
      </c>
      <c r="AD721" t="n">
        <v>0</v>
      </c>
      <c r="AE721" t="n">
        <v>6</v>
      </c>
      <c r="AF721" t="n">
        <v>0</v>
      </c>
      <c r="AG721" t="n">
        <v>1</v>
      </c>
      <c r="AH721" t="n">
        <v>0</v>
      </c>
      <c r="AI721" t="n">
        <v>2</v>
      </c>
      <c r="AJ721" t="n">
        <v>0</v>
      </c>
      <c r="AK721" t="n">
        <v>4</v>
      </c>
      <c r="AL721" t="n">
        <v>0</v>
      </c>
      <c r="AM721" t="n">
        <v>1</v>
      </c>
      <c r="AN721" t="n">
        <v>0</v>
      </c>
      <c r="AO721" t="n">
        <v>0</v>
      </c>
      <c r="AP721" t="inlineStr">
        <is>
          <t>Yes</t>
        </is>
      </c>
      <c r="AQ721" t="inlineStr">
        <is>
          <t>No</t>
        </is>
      </c>
      <c r="AR721">
        <f>HYPERLINK("http://catalog.hathitrust.org/Record/009021238","HathiTrust Record")</f>
        <v/>
      </c>
      <c r="AS721">
        <f>HYPERLINK("https://creighton-primo.hosted.exlibrisgroup.com/primo-explore/search?tab=default_tab&amp;search_scope=EVERYTHING&amp;vid=01CRU&amp;lang=en_US&amp;offset=0&amp;query=any,contains,991003602759702656","Catalog Record")</f>
        <v/>
      </c>
      <c r="AT721">
        <f>HYPERLINK("http://www.worldcat.org/oclc/1181386","WorldCat Record")</f>
        <v/>
      </c>
      <c r="AU721" t="inlineStr">
        <is>
          <t>2131868:eng</t>
        </is>
      </c>
      <c r="AV721" t="inlineStr">
        <is>
          <t>1181386</t>
        </is>
      </c>
      <c r="AW721" t="inlineStr">
        <is>
          <t>991003602759702656</t>
        </is>
      </c>
      <c r="AX721" t="inlineStr">
        <is>
          <t>991003602759702656</t>
        </is>
      </c>
      <c r="AY721" t="inlineStr">
        <is>
          <t>2259030270002656</t>
        </is>
      </c>
      <c r="AZ721" t="inlineStr">
        <is>
          <t>BOOK</t>
        </is>
      </c>
      <c r="BC721" t="inlineStr">
        <is>
          <t>32285001806776</t>
        </is>
      </c>
      <c r="BD721" t="inlineStr">
        <is>
          <t>893810064</t>
        </is>
      </c>
    </row>
    <row r="722">
      <c r="A722" t="inlineStr">
        <is>
          <t>No</t>
        </is>
      </c>
      <c r="B722" t="inlineStr">
        <is>
          <t>ND623.R7 S45 1995</t>
        </is>
      </c>
      <c r="C722" t="inlineStr">
        <is>
          <t>0                      ND 0623000R  7                  S  45          1995</t>
        </is>
      </c>
      <c r="D722" t="inlineStr">
        <is>
          <t>Salvator Rosa : his life and times / Jonathan Scott.</t>
        </is>
      </c>
      <c r="F722" t="inlineStr">
        <is>
          <t>No</t>
        </is>
      </c>
      <c r="G722" t="inlineStr">
        <is>
          <t>1</t>
        </is>
      </c>
      <c r="H722" t="inlineStr">
        <is>
          <t>No</t>
        </is>
      </c>
      <c r="I722" t="inlineStr">
        <is>
          <t>No</t>
        </is>
      </c>
      <c r="J722" t="inlineStr">
        <is>
          <t>0</t>
        </is>
      </c>
      <c r="K722" t="inlineStr">
        <is>
          <t>Scott, Jonathan, 1940-</t>
        </is>
      </c>
      <c r="L722" t="inlineStr">
        <is>
          <t>New Haven : Yale University Press, c1995.</t>
        </is>
      </c>
      <c r="M722" t="inlineStr">
        <is>
          <t>1995</t>
        </is>
      </c>
      <c r="O722" t="inlineStr">
        <is>
          <t>eng</t>
        </is>
      </c>
      <c r="P722" t="inlineStr">
        <is>
          <t>ctu</t>
        </is>
      </c>
      <c r="R722" t="inlineStr">
        <is>
          <t xml:space="preserve">ND </t>
        </is>
      </c>
      <c r="S722" t="n">
        <v>1</v>
      </c>
      <c r="T722" t="n">
        <v>1</v>
      </c>
      <c r="U722" t="inlineStr">
        <is>
          <t>2003-12-06</t>
        </is>
      </c>
      <c r="V722" t="inlineStr">
        <is>
          <t>2003-12-06</t>
        </is>
      </c>
      <c r="W722" t="inlineStr">
        <is>
          <t>1997-11-14</t>
        </is>
      </c>
      <c r="X722" t="inlineStr">
        <is>
          <t>1997-11-14</t>
        </is>
      </c>
      <c r="Y722" t="n">
        <v>457</v>
      </c>
      <c r="Z722" t="n">
        <v>349</v>
      </c>
      <c r="AA722" t="n">
        <v>350</v>
      </c>
      <c r="AB722" t="n">
        <v>3</v>
      </c>
      <c r="AC722" t="n">
        <v>3</v>
      </c>
      <c r="AD722" t="n">
        <v>18</v>
      </c>
      <c r="AE722" t="n">
        <v>18</v>
      </c>
      <c r="AF722" t="n">
        <v>4</v>
      </c>
      <c r="AG722" t="n">
        <v>4</v>
      </c>
      <c r="AH722" t="n">
        <v>6</v>
      </c>
      <c r="AI722" t="n">
        <v>6</v>
      </c>
      <c r="AJ722" t="n">
        <v>10</v>
      </c>
      <c r="AK722" t="n">
        <v>10</v>
      </c>
      <c r="AL722" t="n">
        <v>2</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HYPERLINK("https://creighton-primo.hosted.exlibrisgroup.com/primo-explore/search?tab=default_tab&amp;search_scope=EVERYTHING&amp;vid=01CRU&amp;lang=en_US&amp;offset=0&amp;query=any,contains,991002467609702656","Catalog Record")</f>
        <v/>
      </c>
      <c r="AT722">
        <f>HYPERLINK("http://www.worldcat.org/oclc/32133885","WorldCat Record")</f>
        <v/>
      </c>
      <c r="AU722" t="inlineStr">
        <is>
          <t>837036824:eng</t>
        </is>
      </c>
      <c r="AV722" t="inlineStr">
        <is>
          <t>32133885</t>
        </is>
      </c>
      <c r="AW722" t="inlineStr">
        <is>
          <t>991002467609702656</t>
        </is>
      </c>
      <c r="AX722" t="inlineStr">
        <is>
          <t>991002467609702656</t>
        </is>
      </c>
      <c r="AY722" t="inlineStr">
        <is>
          <t>2264015210002656</t>
        </is>
      </c>
      <c r="AZ722" t="inlineStr">
        <is>
          <t>BOOK</t>
        </is>
      </c>
      <c r="BB722" t="inlineStr">
        <is>
          <t>9780300064162</t>
        </is>
      </c>
      <c r="BC722" t="inlineStr">
        <is>
          <t>32285003270161</t>
        </is>
      </c>
      <c r="BD722" t="inlineStr">
        <is>
          <t>893879974</t>
        </is>
      </c>
    </row>
    <row r="723">
      <c r="A723" t="inlineStr">
        <is>
          <t>No</t>
        </is>
      </c>
      <c r="B723" t="inlineStr">
        <is>
          <t>ND623.T5 B37 1989</t>
        </is>
      </c>
      <c r="C723" t="inlineStr">
        <is>
          <t>0                      ND 0623000T  5                  B  37          1989</t>
        </is>
      </c>
      <c r="D723" t="inlineStr">
        <is>
          <t>The religious paintings of Giambattista Tiepolo : piety and tradition in eighteenth-century Venice / William L. Barcham.</t>
        </is>
      </c>
      <c r="F723" t="inlineStr">
        <is>
          <t>No</t>
        </is>
      </c>
      <c r="G723" t="inlineStr">
        <is>
          <t>1</t>
        </is>
      </c>
      <c r="H723" t="inlineStr">
        <is>
          <t>No</t>
        </is>
      </c>
      <c r="I723" t="inlineStr">
        <is>
          <t>No</t>
        </is>
      </c>
      <c r="J723" t="inlineStr">
        <is>
          <t>0</t>
        </is>
      </c>
      <c r="K723" t="inlineStr">
        <is>
          <t>Barcham, William L.</t>
        </is>
      </c>
      <c r="L723" t="inlineStr">
        <is>
          <t>Oxford [Oxfordshire] ; New York : Oxford University Press, c1989.</t>
        </is>
      </c>
      <c r="M723" t="inlineStr">
        <is>
          <t>1989</t>
        </is>
      </c>
      <c r="O723" t="inlineStr">
        <is>
          <t>eng</t>
        </is>
      </c>
      <c r="P723" t="inlineStr">
        <is>
          <t>enk</t>
        </is>
      </c>
      <c r="Q723" t="inlineStr">
        <is>
          <t>The Clarendon studies in the history of art</t>
        </is>
      </c>
      <c r="R723" t="inlineStr">
        <is>
          <t xml:space="preserve">ND </t>
        </is>
      </c>
      <c r="S723" t="n">
        <v>7</v>
      </c>
      <c r="T723" t="n">
        <v>7</v>
      </c>
      <c r="U723" t="inlineStr">
        <is>
          <t>2005-10-21</t>
        </is>
      </c>
      <c r="V723" t="inlineStr">
        <is>
          <t>2005-10-21</t>
        </is>
      </c>
      <c r="W723" t="inlineStr">
        <is>
          <t>1992-04-13</t>
        </is>
      </c>
      <c r="X723" t="inlineStr">
        <is>
          <t>1992-04-13</t>
        </is>
      </c>
      <c r="Y723" t="n">
        <v>358</v>
      </c>
      <c r="Z723" t="n">
        <v>254</v>
      </c>
      <c r="AA723" t="n">
        <v>255</v>
      </c>
      <c r="AB723" t="n">
        <v>4</v>
      </c>
      <c r="AC723" t="n">
        <v>4</v>
      </c>
      <c r="AD723" t="n">
        <v>18</v>
      </c>
      <c r="AE723" t="n">
        <v>18</v>
      </c>
      <c r="AF723" t="n">
        <v>5</v>
      </c>
      <c r="AG723" t="n">
        <v>5</v>
      </c>
      <c r="AH723" t="n">
        <v>4</v>
      </c>
      <c r="AI723" t="n">
        <v>4</v>
      </c>
      <c r="AJ723" t="n">
        <v>11</v>
      </c>
      <c r="AK723" t="n">
        <v>11</v>
      </c>
      <c r="AL723" t="n">
        <v>3</v>
      </c>
      <c r="AM723" t="n">
        <v>3</v>
      </c>
      <c r="AN723" t="n">
        <v>0</v>
      </c>
      <c r="AO723" t="n">
        <v>0</v>
      </c>
      <c r="AP723" t="inlineStr">
        <is>
          <t>No</t>
        </is>
      </c>
      <c r="AQ723" t="inlineStr">
        <is>
          <t>Yes</t>
        </is>
      </c>
      <c r="AR723">
        <f>HYPERLINK("http://catalog.hathitrust.org/Record/002054016","HathiTrust Record")</f>
        <v/>
      </c>
      <c r="AS723">
        <f>HYPERLINK("https://creighton-primo.hosted.exlibrisgroup.com/primo-explore/search?tab=default_tab&amp;search_scope=EVERYTHING&amp;vid=01CRU&amp;lang=en_US&amp;offset=0&amp;query=any,contains,991001262099702656","Catalog Record")</f>
        <v/>
      </c>
      <c r="AT723">
        <f>HYPERLINK("http://www.worldcat.org/oclc/17773847","WorldCat Record")</f>
        <v/>
      </c>
      <c r="AU723" t="inlineStr">
        <is>
          <t>308583633:eng</t>
        </is>
      </c>
      <c r="AV723" t="inlineStr">
        <is>
          <t>17773847</t>
        </is>
      </c>
      <c r="AW723" t="inlineStr">
        <is>
          <t>991001262099702656</t>
        </is>
      </c>
      <c r="AX723" t="inlineStr">
        <is>
          <t>991001262099702656</t>
        </is>
      </c>
      <c r="AY723" t="inlineStr">
        <is>
          <t>2272620710002656</t>
        </is>
      </c>
      <c r="AZ723" t="inlineStr">
        <is>
          <t>BOOK</t>
        </is>
      </c>
      <c r="BB723" t="inlineStr">
        <is>
          <t>9780198175018</t>
        </is>
      </c>
      <c r="BC723" t="inlineStr">
        <is>
          <t>32285001009777</t>
        </is>
      </c>
      <c r="BD723" t="inlineStr">
        <is>
          <t>893715313</t>
        </is>
      </c>
    </row>
    <row r="724">
      <c r="A724" t="inlineStr">
        <is>
          <t>No</t>
        </is>
      </c>
      <c r="B724" t="inlineStr">
        <is>
          <t>ND623.T6 N44 1972</t>
        </is>
      </c>
      <c r="C724" t="inlineStr">
        <is>
          <t>0                      ND 0623000T  6                  N  44          1972</t>
        </is>
      </c>
      <c r="D724" t="inlineStr">
        <is>
          <t>Tintoretto.</t>
        </is>
      </c>
      <c r="F724" t="inlineStr">
        <is>
          <t>No</t>
        </is>
      </c>
      <c r="G724" t="inlineStr">
        <is>
          <t>1</t>
        </is>
      </c>
      <c r="H724" t="inlineStr">
        <is>
          <t>No</t>
        </is>
      </c>
      <c r="I724" t="inlineStr">
        <is>
          <t>No</t>
        </is>
      </c>
      <c r="J724" t="inlineStr">
        <is>
          <t>0</t>
        </is>
      </c>
      <c r="K724" t="inlineStr">
        <is>
          <t>Newton, Eric, 1893-1965.</t>
        </is>
      </c>
      <c r="L724" t="inlineStr">
        <is>
          <t>Westport, Conn. : Greenwood Press, [1972, c1952]</t>
        </is>
      </c>
      <c r="M724" t="inlineStr">
        <is>
          <t>1972</t>
        </is>
      </c>
      <c r="O724" t="inlineStr">
        <is>
          <t>eng</t>
        </is>
      </c>
      <c r="P724" t="inlineStr">
        <is>
          <t>ctu</t>
        </is>
      </c>
      <c r="R724" t="inlineStr">
        <is>
          <t xml:space="preserve">ND </t>
        </is>
      </c>
      <c r="S724" t="n">
        <v>6</v>
      </c>
      <c r="T724" t="n">
        <v>6</v>
      </c>
      <c r="U724" t="inlineStr">
        <is>
          <t>2002-11-14</t>
        </is>
      </c>
      <c r="V724" t="inlineStr">
        <is>
          <t>2002-11-14</t>
        </is>
      </c>
      <c r="W724" t="inlineStr">
        <is>
          <t>1992-10-07</t>
        </is>
      </c>
      <c r="X724" t="inlineStr">
        <is>
          <t>1992-10-07</t>
        </is>
      </c>
      <c r="Y724" t="n">
        <v>231</v>
      </c>
      <c r="Z724" t="n">
        <v>182</v>
      </c>
      <c r="AA724" t="n">
        <v>357</v>
      </c>
      <c r="AB724" t="n">
        <v>3</v>
      </c>
      <c r="AC724" t="n">
        <v>4</v>
      </c>
      <c r="AD724" t="n">
        <v>11</v>
      </c>
      <c r="AE724" t="n">
        <v>16</v>
      </c>
      <c r="AF724" t="n">
        <v>1</v>
      </c>
      <c r="AG724" t="n">
        <v>2</v>
      </c>
      <c r="AH724" t="n">
        <v>4</v>
      </c>
      <c r="AI724" t="n">
        <v>5</v>
      </c>
      <c r="AJ724" t="n">
        <v>6</v>
      </c>
      <c r="AK724" t="n">
        <v>11</v>
      </c>
      <c r="AL724" t="n">
        <v>2</v>
      </c>
      <c r="AM724" t="n">
        <v>2</v>
      </c>
      <c r="AN724" t="n">
        <v>0</v>
      </c>
      <c r="AO724" t="n">
        <v>0</v>
      </c>
      <c r="AP724" t="inlineStr">
        <is>
          <t>No</t>
        </is>
      </c>
      <c r="AQ724" t="inlineStr">
        <is>
          <t>Yes</t>
        </is>
      </c>
      <c r="AR724">
        <f>HYPERLINK("http://catalog.hathitrust.org/Record/008513216","HathiTrust Record")</f>
        <v/>
      </c>
      <c r="AS724">
        <f>HYPERLINK("https://creighton-primo.hosted.exlibrisgroup.com/primo-explore/search?tab=default_tab&amp;search_scope=EVERYTHING&amp;vid=01CRU&amp;lang=en_US&amp;offset=0&amp;query=any,contains,991001276009702656","Catalog Record")</f>
        <v/>
      </c>
      <c r="AT724">
        <f>HYPERLINK("http://www.worldcat.org/oclc/214846","WorldCat Record")</f>
        <v/>
      </c>
      <c r="AU724" t="inlineStr">
        <is>
          <t>1842659890:eng</t>
        </is>
      </c>
      <c r="AV724" t="inlineStr">
        <is>
          <t>214846</t>
        </is>
      </c>
      <c r="AW724" t="inlineStr">
        <is>
          <t>991001276009702656</t>
        </is>
      </c>
      <c r="AX724" t="inlineStr">
        <is>
          <t>991001276009702656</t>
        </is>
      </c>
      <c r="AY724" t="inlineStr">
        <is>
          <t>2254805790002656</t>
        </is>
      </c>
      <c r="AZ724" t="inlineStr">
        <is>
          <t>BOOK</t>
        </is>
      </c>
      <c r="BB724" t="inlineStr">
        <is>
          <t>9780837145013</t>
        </is>
      </c>
      <c r="BC724" t="inlineStr">
        <is>
          <t>32285001327971</t>
        </is>
      </c>
      <c r="BD724" t="inlineStr">
        <is>
          <t>893315663</t>
        </is>
      </c>
    </row>
    <row r="725">
      <c r="A725" t="inlineStr">
        <is>
          <t>No</t>
        </is>
      </c>
      <c r="B725" t="inlineStr">
        <is>
          <t>ND623.T7 A4 1990a</t>
        </is>
      </c>
      <c r="C725" t="inlineStr">
        <is>
          <t>0                      ND 0623000T  7                  A  4           1990a</t>
        </is>
      </c>
      <c r="D725" t="inlineStr">
        <is>
          <t>Titian : prince of painters / [editor of the catalogue, Susanna Biadene, assisted by Mary Yakush].</t>
        </is>
      </c>
      <c r="F725" t="inlineStr">
        <is>
          <t>No</t>
        </is>
      </c>
      <c r="G725" t="inlineStr">
        <is>
          <t>1</t>
        </is>
      </c>
      <c r="H725" t="inlineStr">
        <is>
          <t>No</t>
        </is>
      </c>
      <c r="I725" t="inlineStr">
        <is>
          <t>No</t>
        </is>
      </c>
      <c r="J725" t="inlineStr">
        <is>
          <t>0</t>
        </is>
      </c>
      <c r="K725" t="inlineStr">
        <is>
          <t>Titian, approximately 1488-1576.</t>
        </is>
      </c>
      <c r="L725" t="inlineStr">
        <is>
          <t>Munich : Prestel, c1990.</t>
        </is>
      </c>
      <c r="M725" t="inlineStr">
        <is>
          <t>1990</t>
        </is>
      </c>
      <c r="O725" t="inlineStr">
        <is>
          <t>eng</t>
        </is>
      </c>
      <c r="P725" t="inlineStr">
        <is>
          <t xml:space="preserve">gw </t>
        </is>
      </c>
      <c r="R725" t="inlineStr">
        <is>
          <t xml:space="preserve">ND </t>
        </is>
      </c>
      <c r="S725" t="n">
        <v>9</v>
      </c>
      <c r="T725" t="n">
        <v>9</v>
      </c>
      <c r="U725" t="inlineStr">
        <is>
          <t>2009-05-11</t>
        </is>
      </c>
      <c r="V725" t="inlineStr">
        <is>
          <t>2009-05-11</t>
        </is>
      </c>
      <c r="W725" t="inlineStr">
        <is>
          <t>1999-04-27</t>
        </is>
      </c>
      <c r="X725" t="inlineStr">
        <is>
          <t>1999-04-27</t>
        </is>
      </c>
      <c r="Y725" t="n">
        <v>871</v>
      </c>
      <c r="Z725" t="n">
        <v>718</v>
      </c>
      <c r="AA725" t="n">
        <v>866</v>
      </c>
      <c r="AB725" t="n">
        <v>3</v>
      </c>
      <c r="AC725" t="n">
        <v>4</v>
      </c>
      <c r="AD725" t="n">
        <v>24</v>
      </c>
      <c r="AE725" t="n">
        <v>29</v>
      </c>
      <c r="AF725" t="n">
        <v>11</v>
      </c>
      <c r="AG725" t="n">
        <v>13</v>
      </c>
      <c r="AH725" t="n">
        <v>5</v>
      </c>
      <c r="AI725" t="n">
        <v>7</v>
      </c>
      <c r="AJ725" t="n">
        <v>13</v>
      </c>
      <c r="AK725" t="n">
        <v>16</v>
      </c>
      <c r="AL725" t="n">
        <v>1</v>
      </c>
      <c r="AM725" t="n">
        <v>2</v>
      </c>
      <c r="AN725" t="n">
        <v>0</v>
      </c>
      <c r="AO725" t="n">
        <v>0</v>
      </c>
      <c r="AP725" t="inlineStr">
        <is>
          <t>No</t>
        </is>
      </c>
      <c r="AQ725" t="inlineStr">
        <is>
          <t>Yes</t>
        </is>
      </c>
      <c r="AR725">
        <f>HYPERLINK("http://catalog.hathitrust.org/Record/002371181","HathiTrust Record")</f>
        <v/>
      </c>
      <c r="AS725">
        <f>HYPERLINK("https://creighton-primo.hosted.exlibrisgroup.com/primo-explore/search?tab=default_tab&amp;search_scope=EVERYTHING&amp;vid=01CRU&amp;lang=en_US&amp;offset=0&amp;query=any,contains,991002271059702656","Catalog Record")</f>
        <v/>
      </c>
      <c r="AT725">
        <f>HYPERLINK("http://www.worldcat.org/oclc/29474517","WorldCat Record")</f>
        <v/>
      </c>
      <c r="AU725" t="inlineStr">
        <is>
          <t>1406663315:eng</t>
        </is>
      </c>
      <c r="AV725" t="inlineStr">
        <is>
          <t>29474517</t>
        </is>
      </c>
      <c r="AW725" t="inlineStr">
        <is>
          <t>991002271059702656</t>
        </is>
      </c>
      <c r="AX725" t="inlineStr">
        <is>
          <t>991002271059702656</t>
        </is>
      </c>
      <c r="AY725" t="inlineStr">
        <is>
          <t>2271105680002656</t>
        </is>
      </c>
      <c r="AZ725" t="inlineStr">
        <is>
          <t>BOOK</t>
        </is>
      </c>
      <c r="BB725" t="inlineStr">
        <is>
          <t>9783791311029</t>
        </is>
      </c>
      <c r="BC725" t="inlineStr">
        <is>
          <t>32285003556783</t>
        </is>
      </c>
      <c r="BD725" t="inlineStr">
        <is>
          <t>893710087</t>
        </is>
      </c>
    </row>
    <row r="726">
      <c r="A726" t="inlineStr">
        <is>
          <t>No</t>
        </is>
      </c>
      <c r="B726" t="inlineStr">
        <is>
          <t>ND623.T7 P3</t>
        </is>
      </c>
      <c r="C726" t="inlineStr">
        <is>
          <t>0                      ND 0623000T  7                  P  3</t>
        </is>
      </c>
      <c r="D726" t="inlineStr">
        <is>
          <t>Problems in Titian, mostly iconographic.</t>
        </is>
      </c>
      <c r="F726" t="inlineStr">
        <is>
          <t>No</t>
        </is>
      </c>
      <c r="G726" t="inlineStr">
        <is>
          <t>1</t>
        </is>
      </c>
      <c r="H726" t="inlineStr">
        <is>
          <t>No</t>
        </is>
      </c>
      <c r="I726" t="inlineStr">
        <is>
          <t>No</t>
        </is>
      </c>
      <c r="J726" t="inlineStr">
        <is>
          <t>0</t>
        </is>
      </c>
      <c r="K726" t="inlineStr">
        <is>
          <t>Panofsky, Erwin, 1892-1968.</t>
        </is>
      </c>
      <c r="L726" t="inlineStr">
        <is>
          <t>[New York] New York University Press [1969]</t>
        </is>
      </c>
      <c r="M726" t="inlineStr">
        <is>
          <t>1969</t>
        </is>
      </c>
      <c r="O726" t="inlineStr">
        <is>
          <t>eng</t>
        </is>
      </c>
      <c r="P726" t="inlineStr">
        <is>
          <t>nyu</t>
        </is>
      </c>
      <c r="Q726" t="inlineStr">
        <is>
          <t>The Wrightsman lectures, 2</t>
        </is>
      </c>
      <c r="R726" t="inlineStr">
        <is>
          <t xml:space="preserve">ND </t>
        </is>
      </c>
      <c r="S726" t="n">
        <v>5</v>
      </c>
      <c r="T726" t="n">
        <v>5</v>
      </c>
      <c r="U726" t="inlineStr">
        <is>
          <t>2004-03-12</t>
        </is>
      </c>
      <c r="V726" t="inlineStr">
        <is>
          <t>2004-03-12</t>
        </is>
      </c>
      <c r="W726" t="inlineStr">
        <is>
          <t>1997-12-03</t>
        </is>
      </c>
      <c r="X726" t="inlineStr">
        <is>
          <t>1997-12-03</t>
        </is>
      </c>
      <c r="Y726" t="n">
        <v>789</v>
      </c>
      <c r="Z726" t="n">
        <v>716</v>
      </c>
      <c r="AA726" t="n">
        <v>716</v>
      </c>
      <c r="AB726" t="n">
        <v>8</v>
      </c>
      <c r="AC726" t="n">
        <v>8</v>
      </c>
      <c r="AD726" t="n">
        <v>39</v>
      </c>
      <c r="AE726" t="n">
        <v>39</v>
      </c>
      <c r="AF726" t="n">
        <v>17</v>
      </c>
      <c r="AG726" t="n">
        <v>17</v>
      </c>
      <c r="AH726" t="n">
        <v>6</v>
      </c>
      <c r="AI726" t="n">
        <v>6</v>
      </c>
      <c r="AJ726" t="n">
        <v>19</v>
      </c>
      <c r="AK726" t="n">
        <v>19</v>
      </c>
      <c r="AL726" t="n">
        <v>6</v>
      </c>
      <c r="AM726" t="n">
        <v>6</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HYPERLINK("https://creighton-primo.hosted.exlibrisgroup.com/primo-explore/search?tab=default_tab&amp;search_scope=EVERYTHING&amp;vid=01CRU&amp;lang=en_US&amp;offset=0&amp;query=any,contains,991002899089702656","Catalog Record")</f>
        <v/>
      </c>
      <c r="AT726">
        <f>HYPERLINK("http://www.worldcat.org/oclc/516069","WorldCat Record")</f>
        <v/>
      </c>
      <c r="AU726" t="inlineStr">
        <is>
          <t>5615364935:eng</t>
        </is>
      </c>
      <c r="AV726" t="inlineStr">
        <is>
          <t>516069</t>
        </is>
      </c>
      <c r="AW726" t="inlineStr">
        <is>
          <t>991002899089702656</t>
        </is>
      </c>
      <c r="AX726" t="inlineStr">
        <is>
          <t>991002899089702656</t>
        </is>
      </c>
      <c r="AY726" t="inlineStr">
        <is>
          <t>2256618550002656</t>
        </is>
      </c>
      <c r="AZ726" t="inlineStr">
        <is>
          <t>BOOK</t>
        </is>
      </c>
      <c r="BB726" t="inlineStr">
        <is>
          <t>9780714813257</t>
        </is>
      </c>
      <c r="BC726" t="inlineStr">
        <is>
          <t>32285002969052</t>
        </is>
      </c>
      <c r="BD726" t="inlineStr">
        <is>
          <t>893598036</t>
        </is>
      </c>
    </row>
    <row r="727">
      <c r="A727" t="inlineStr">
        <is>
          <t>No</t>
        </is>
      </c>
      <c r="B727" t="inlineStr">
        <is>
          <t>ND623.T7 W5</t>
        </is>
      </c>
      <c r="C727" t="inlineStr">
        <is>
          <t>0                      ND 0623000T  7                  W  5</t>
        </is>
      </c>
      <c r="D727" t="inlineStr">
        <is>
          <t>The world of Titian, c. 1488-1576 / by Jay Williams and the editors of Time-Life Books.</t>
        </is>
      </c>
      <c r="F727" t="inlineStr">
        <is>
          <t>No</t>
        </is>
      </c>
      <c r="G727" t="inlineStr">
        <is>
          <t>1</t>
        </is>
      </c>
      <c r="H727" t="inlineStr">
        <is>
          <t>No</t>
        </is>
      </c>
      <c r="I727" t="inlineStr">
        <is>
          <t>No</t>
        </is>
      </c>
      <c r="J727" t="inlineStr">
        <is>
          <t>0</t>
        </is>
      </c>
      <c r="K727" t="inlineStr">
        <is>
          <t>Williams, Jay, 1914-1978.</t>
        </is>
      </c>
      <c r="L727" t="inlineStr">
        <is>
          <t>New York : Time-Life Books, [1968]</t>
        </is>
      </c>
      <c r="M727" t="inlineStr">
        <is>
          <t>1968</t>
        </is>
      </c>
      <c r="O727" t="inlineStr">
        <is>
          <t>eng</t>
        </is>
      </c>
      <c r="P727" t="inlineStr">
        <is>
          <t>nyu</t>
        </is>
      </c>
      <c r="Q727" t="inlineStr">
        <is>
          <t>Time-Life library of art</t>
        </is>
      </c>
      <c r="R727" t="inlineStr">
        <is>
          <t xml:space="preserve">ND </t>
        </is>
      </c>
      <c r="S727" t="n">
        <v>7</v>
      </c>
      <c r="T727" t="n">
        <v>7</v>
      </c>
      <c r="U727" t="inlineStr">
        <is>
          <t>2002-09-28</t>
        </is>
      </c>
      <c r="V727" t="inlineStr">
        <is>
          <t>2002-09-28</t>
        </is>
      </c>
      <c r="W727" t="inlineStr">
        <is>
          <t>1993-10-12</t>
        </is>
      </c>
      <c r="X727" t="inlineStr">
        <is>
          <t>1993-10-12</t>
        </is>
      </c>
      <c r="Y727" t="n">
        <v>2656</v>
      </c>
      <c r="Z727" t="n">
        <v>2491</v>
      </c>
      <c r="AA727" t="n">
        <v>2581</v>
      </c>
      <c r="AB727" t="n">
        <v>19</v>
      </c>
      <c r="AC727" t="n">
        <v>20</v>
      </c>
      <c r="AD727" t="n">
        <v>41</v>
      </c>
      <c r="AE727" t="n">
        <v>41</v>
      </c>
      <c r="AF727" t="n">
        <v>15</v>
      </c>
      <c r="AG727" t="n">
        <v>15</v>
      </c>
      <c r="AH727" t="n">
        <v>8</v>
      </c>
      <c r="AI727" t="n">
        <v>8</v>
      </c>
      <c r="AJ727" t="n">
        <v>20</v>
      </c>
      <c r="AK727" t="n">
        <v>20</v>
      </c>
      <c r="AL727" t="n">
        <v>8</v>
      </c>
      <c r="AM727" t="n">
        <v>8</v>
      </c>
      <c r="AN727" t="n">
        <v>0</v>
      </c>
      <c r="AO727" t="n">
        <v>0</v>
      </c>
      <c r="AP727" t="inlineStr">
        <is>
          <t>No</t>
        </is>
      </c>
      <c r="AQ727" t="inlineStr">
        <is>
          <t>Yes</t>
        </is>
      </c>
      <c r="AR727">
        <f>HYPERLINK("http://catalog.hathitrust.org/Record/000610004","HathiTrust Record")</f>
        <v/>
      </c>
      <c r="AS727">
        <f>HYPERLINK("https://creighton-primo.hosted.exlibrisgroup.com/primo-explore/search?tab=default_tab&amp;search_scope=EVERYTHING&amp;vid=01CRU&amp;lang=en_US&amp;offset=0&amp;query=any,contains,991002803969702656","Catalog Record")</f>
        <v/>
      </c>
      <c r="AT727">
        <f>HYPERLINK("http://www.worldcat.org/oclc/448870","WorldCat Record")</f>
        <v/>
      </c>
      <c r="AU727" t="inlineStr">
        <is>
          <t>4916276872:eng</t>
        </is>
      </c>
      <c r="AV727" t="inlineStr">
        <is>
          <t>448870</t>
        </is>
      </c>
      <c r="AW727" t="inlineStr">
        <is>
          <t>991002803969702656</t>
        </is>
      </c>
      <c r="AX727" t="inlineStr">
        <is>
          <t>991002803969702656</t>
        </is>
      </c>
      <c r="AY727" t="inlineStr">
        <is>
          <t>2266678580002656</t>
        </is>
      </c>
      <c r="AZ727" t="inlineStr">
        <is>
          <t>BOOK</t>
        </is>
      </c>
      <c r="BC727" t="inlineStr">
        <is>
          <t>32285001790574</t>
        </is>
      </c>
      <c r="BD727" t="inlineStr">
        <is>
          <t>893805062</t>
        </is>
      </c>
    </row>
    <row r="728">
      <c r="A728" t="inlineStr">
        <is>
          <t>No</t>
        </is>
      </c>
      <c r="B728" t="inlineStr">
        <is>
          <t>ND625 .K94 1898</t>
        </is>
      </c>
      <c r="C728" t="inlineStr">
        <is>
          <t>0                      ND 0625000K  94          1898</t>
        </is>
      </c>
      <c r="D728" t="inlineStr">
        <is>
          <t>Handbook of painting. German, Fleming, and Dutch schools. Based on the Handbook of Kugler. Re-modelled by the late Prof. Dr. Waagen, and thoroughly rev. and in part re-written by the late Sir Joseph A. Crowe.</t>
        </is>
      </c>
      <c r="E728" t="inlineStr">
        <is>
          <t>V.2</t>
        </is>
      </c>
      <c r="F728" t="inlineStr">
        <is>
          <t>Yes</t>
        </is>
      </c>
      <c r="G728" t="inlineStr">
        <is>
          <t>1</t>
        </is>
      </c>
      <c r="H728" t="inlineStr">
        <is>
          <t>No</t>
        </is>
      </c>
      <c r="I728" t="inlineStr">
        <is>
          <t>No</t>
        </is>
      </c>
      <c r="J728" t="inlineStr">
        <is>
          <t>0</t>
        </is>
      </c>
      <c r="K728" t="inlineStr">
        <is>
          <t>Kugler, Franz, 1808-1858.</t>
        </is>
      </c>
      <c r="L728" t="inlineStr">
        <is>
          <t>London, J. Murray, 1898.</t>
        </is>
      </c>
      <c r="M728" t="inlineStr">
        <is>
          <t>1898</t>
        </is>
      </c>
      <c r="N728" t="inlineStr">
        <is>
          <t>6th impression. 3d ed.</t>
        </is>
      </c>
      <c r="O728" t="inlineStr">
        <is>
          <t>eng</t>
        </is>
      </c>
      <c r="P728" t="inlineStr">
        <is>
          <t>enk</t>
        </is>
      </c>
      <c r="R728" t="inlineStr">
        <is>
          <t xml:space="preserve">ND </t>
        </is>
      </c>
      <c r="S728" t="n">
        <v>0</v>
      </c>
      <c r="T728" t="n">
        <v>3</v>
      </c>
      <c r="V728" t="inlineStr">
        <is>
          <t>1999-03-11</t>
        </is>
      </c>
      <c r="W728" t="inlineStr">
        <is>
          <t>1997-08-05</t>
        </is>
      </c>
      <c r="X728" t="inlineStr">
        <is>
          <t>1997-08-05</t>
        </is>
      </c>
      <c r="Y728" t="n">
        <v>44</v>
      </c>
      <c r="Z728" t="n">
        <v>42</v>
      </c>
      <c r="AA728" t="n">
        <v>207</v>
      </c>
      <c r="AB728" t="n">
        <v>1</v>
      </c>
      <c r="AC728" t="n">
        <v>3</v>
      </c>
      <c r="AD728" t="n">
        <v>0</v>
      </c>
      <c r="AE728" t="n">
        <v>5</v>
      </c>
      <c r="AF728" t="n">
        <v>0</v>
      </c>
      <c r="AG728" t="n">
        <v>1</v>
      </c>
      <c r="AH728" t="n">
        <v>0</v>
      </c>
      <c r="AI728" t="n">
        <v>1</v>
      </c>
      <c r="AJ728" t="n">
        <v>0</v>
      </c>
      <c r="AK728" t="n">
        <v>2</v>
      </c>
      <c r="AL728" t="n">
        <v>0</v>
      </c>
      <c r="AM728" t="n">
        <v>1</v>
      </c>
      <c r="AN728" t="n">
        <v>0</v>
      </c>
      <c r="AO728" t="n">
        <v>0</v>
      </c>
      <c r="AP728" t="inlineStr">
        <is>
          <t>Yes</t>
        </is>
      </c>
      <c r="AQ728" t="inlineStr">
        <is>
          <t>No</t>
        </is>
      </c>
      <c r="AR728">
        <f>HYPERLINK("http://catalog.hathitrust.org/Record/100334080","HathiTrust Record")</f>
        <v/>
      </c>
      <c r="AS728">
        <f>HYPERLINK("https://creighton-primo.hosted.exlibrisgroup.com/primo-explore/search?tab=default_tab&amp;search_scope=EVERYTHING&amp;vid=01CRU&amp;lang=en_US&amp;offset=0&amp;query=any,contains,991004133919702656","Catalog Record")</f>
        <v/>
      </c>
      <c r="AT728">
        <f>HYPERLINK("http://www.worldcat.org/oclc/2480148","WorldCat Record")</f>
        <v/>
      </c>
      <c r="AU728" t="inlineStr">
        <is>
          <t>4919614316:eng</t>
        </is>
      </c>
      <c r="AV728" t="inlineStr">
        <is>
          <t>2480148</t>
        </is>
      </c>
      <c r="AW728" t="inlineStr">
        <is>
          <t>991004133919702656</t>
        </is>
      </c>
      <c r="AX728" t="inlineStr">
        <is>
          <t>991004133919702656</t>
        </is>
      </c>
      <c r="AY728" t="inlineStr">
        <is>
          <t>2257147610002656</t>
        </is>
      </c>
      <c r="AZ728" t="inlineStr">
        <is>
          <t>BOOK</t>
        </is>
      </c>
      <c r="BC728" t="inlineStr">
        <is>
          <t>32285002969110</t>
        </is>
      </c>
      <c r="BD728" t="inlineStr">
        <is>
          <t>893781890</t>
        </is>
      </c>
    </row>
    <row r="729">
      <c r="A729" t="inlineStr">
        <is>
          <t>No</t>
        </is>
      </c>
      <c r="B729" t="inlineStr">
        <is>
          <t>ND625 .K94 1898</t>
        </is>
      </c>
      <c r="C729" t="inlineStr">
        <is>
          <t>0                      ND 0625000K  94          1898</t>
        </is>
      </c>
      <c r="D729" t="inlineStr">
        <is>
          <t>Handbook of painting. German, Fleming, and Dutch schools. Based on the Handbook of Kugler. Re-modelled by the late Prof. Dr. Waagen, and thoroughly rev. and in part re-written by the late Sir Joseph A. Crowe.</t>
        </is>
      </c>
      <c r="E729" t="inlineStr">
        <is>
          <t>V.1</t>
        </is>
      </c>
      <c r="F729" t="inlineStr">
        <is>
          <t>Yes</t>
        </is>
      </c>
      <c r="G729" t="inlineStr">
        <is>
          <t>1</t>
        </is>
      </c>
      <c r="H729" t="inlineStr">
        <is>
          <t>No</t>
        </is>
      </c>
      <c r="I729" t="inlineStr">
        <is>
          <t>No</t>
        </is>
      </c>
      <c r="J729" t="inlineStr">
        <is>
          <t>0</t>
        </is>
      </c>
      <c r="K729" t="inlineStr">
        <is>
          <t>Kugler, Franz, 1808-1858.</t>
        </is>
      </c>
      <c r="L729" t="inlineStr">
        <is>
          <t>London, J. Murray, 1898.</t>
        </is>
      </c>
      <c r="M729" t="inlineStr">
        <is>
          <t>1898</t>
        </is>
      </c>
      <c r="N729" t="inlineStr">
        <is>
          <t>6th impression. 3d ed.</t>
        </is>
      </c>
      <c r="O729" t="inlineStr">
        <is>
          <t>eng</t>
        </is>
      </c>
      <c r="P729" t="inlineStr">
        <is>
          <t>enk</t>
        </is>
      </c>
      <c r="R729" t="inlineStr">
        <is>
          <t xml:space="preserve">ND </t>
        </is>
      </c>
      <c r="S729" t="n">
        <v>3</v>
      </c>
      <c r="T729" t="n">
        <v>3</v>
      </c>
      <c r="U729" t="inlineStr">
        <is>
          <t>1999-03-11</t>
        </is>
      </c>
      <c r="V729" t="inlineStr">
        <is>
          <t>1999-03-11</t>
        </is>
      </c>
      <c r="W729" t="inlineStr">
        <is>
          <t>1997-08-05</t>
        </is>
      </c>
      <c r="X729" t="inlineStr">
        <is>
          <t>1997-08-05</t>
        </is>
      </c>
      <c r="Y729" t="n">
        <v>44</v>
      </c>
      <c r="Z729" t="n">
        <v>42</v>
      </c>
      <c r="AA729" t="n">
        <v>207</v>
      </c>
      <c r="AB729" t="n">
        <v>1</v>
      </c>
      <c r="AC729" t="n">
        <v>3</v>
      </c>
      <c r="AD729" t="n">
        <v>0</v>
      </c>
      <c r="AE729" t="n">
        <v>5</v>
      </c>
      <c r="AF729" t="n">
        <v>0</v>
      </c>
      <c r="AG729" t="n">
        <v>1</v>
      </c>
      <c r="AH729" t="n">
        <v>0</v>
      </c>
      <c r="AI729" t="n">
        <v>1</v>
      </c>
      <c r="AJ729" t="n">
        <v>0</v>
      </c>
      <c r="AK729" t="n">
        <v>2</v>
      </c>
      <c r="AL729" t="n">
        <v>0</v>
      </c>
      <c r="AM729" t="n">
        <v>1</v>
      </c>
      <c r="AN729" t="n">
        <v>0</v>
      </c>
      <c r="AO729" t="n">
        <v>0</v>
      </c>
      <c r="AP729" t="inlineStr">
        <is>
          <t>Yes</t>
        </is>
      </c>
      <c r="AQ729" t="inlineStr">
        <is>
          <t>No</t>
        </is>
      </c>
      <c r="AR729">
        <f>HYPERLINK("http://catalog.hathitrust.org/Record/100334080","HathiTrust Record")</f>
        <v/>
      </c>
      <c r="AS729">
        <f>HYPERLINK("https://creighton-primo.hosted.exlibrisgroup.com/primo-explore/search?tab=default_tab&amp;search_scope=EVERYTHING&amp;vid=01CRU&amp;lang=en_US&amp;offset=0&amp;query=any,contains,991004133919702656","Catalog Record")</f>
        <v/>
      </c>
      <c r="AT729">
        <f>HYPERLINK("http://www.worldcat.org/oclc/2480148","WorldCat Record")</f>
        <v/>
      </c>
      <c r="AU729" t="inlineStr">
        <is>
          <t>4919614316:eng</t>
        </is>
      </c>
      <c r="AV729" t="inlineStr">
        <is>
          <t>2480148</t>
        </is>
      </c>
      <c r="AW729" t="inlineStr">
        <is>
          <t>991004133919702656</t>
        </is>
      </c>
      <c r="AX729" t="inlineStr">
        <is>
          <t>991004133919702656</t>
        </is>
      </c>
      <c r="AY729" t="inlineStr">
        <is>
          <t>2257147610002656</t>
        </is>
      </c>
      <c r="AZ729" t="inlineStr">
        <is>
          <t>BOOK</t>
        </is>
      </c>
      <c r="BC729" t="inlineStr">
        <is>
          <t>32285002969102</t>
        </is>
      </c>
      <c r="BD729" t="inlineStr">
        <is>
          <t>893775671</t>
        </is>
      </c>
    </row>
    <row r="730">
      <c r="A730" t="inlineStr">
        <is>
          <t>No</t>
        </is>
      </c>
      <c r="B730" t="inlineStr">
        <is>
          <t>ND625 .M3 1964</t>
        </is>
      </c>
      <c r="C730" t="inlineStr">
        <is>
          <t>0                      ND 0625000M  3           1964</t>
        </is>
      </c>
      <c r="D730" t="inlineStr">
        <is>
          <t>Flemish painting / Gregory Martin.</t>
        </is>
      </c>
      <c r="F730" t="inlineStr">
        <is>
          <t>No</t>
        </is>
      </c>
      <c r="G730" t="inlineStr">
        <is>
          <t>1</t>
        </is>
      </c>
      <c r="H730" t="inlineStr">
        <is>
          <t>No</t>
        </is>
      </c>
      <c r="I730" t="inlineStr">
        <is>
          <t>No</t>
        </is>
      </c>
      <c r="J730" t="inlineStr">
        <is>
          <t>0</t>
        </is>
      </c>
      <c r="K730" t="inlineStr">
        <is>
          <t>Martin, Gregory.</t>
        </is>
      </c>
      <c r="L730" t="inlineStr">
        <is>
          <t>London : Paul Hamlyn, [1964]</t>
        </is>
      </c>
      <c r="M730" t="inlineStr">
        <is>
          <t>1964</t>
        </is>
      </c>
      <c r="O730" t="inlineStr">
        <is>
          <t>eng</t>
        </is>
      </c>
      <c r="P730" t="inlineStr">
        <is>
          <t xml:space="preserve">xx </t>
        </is>
      </c>
      <c r="Q730" t="inlineStr">
        <is>
          <t>Art of the western world</t>
        </is>
      </c>
      <c r="R730" t="inlineStr">
        <is>
          <t xml:space="preserve">ND </t>
        </is>
      </c>
      <c r="S730" t="n">
        <v>8</v>
      </c>
      <c r="T730" t="n">
        <v>8</v>
      </c>
      <c r="U730" t="inlineStr">
        <is>
          <t>2002-11-05</t>
        </is>
      </c>
      <c r="V730" t="inlineStr">
        <is>
          <t>2002-11-05</t>
        </is>
      </c>
      <c r="W730" t="inlineStr">
        <is>
          <t>1994-06-06</t>
        </is>
      </c>
      <c r="X730" t="inlineStr">
        <is>
          <t>1994-06-06</t>
        </is>
      </c>
      <c r="Y730" t="n">
        <v>263</v>
      </c>
      <c r="Z730" t="n">
        <v>231</v>
      </c>
      <c r="AA730" t="n">
        <v>235</v>
      </c>
      <c r="AB730" t="n">
        <v>2</v>
      </c>
      <c r="AC730" t="n">
        <v>2</v>
      </c>
      <c r="AD730" t="n">
        <v>9</v>
      </c>
      <c r="AE730" t="n">
        <v>9</v>
      </c>
      <c r="AF730" t="n">
        <v>4</v>
      </c>
      <c r="AG730" t="n">
        <v>4</v>
      </c>
      <c r="AH730" t="n">
        <v>2</v>
      </c>
      <c r="AI730" t="n">
        <v>2</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HYPERLINK("https://creighton-primo.hosted.exlibrisgroup.com/primo-explore/search?tab=default_tab&amp;search_scope=EVERYTHING&amp;vid=01CRU&amp;lang=en_US&amp;offset=0&amp;query=any,contains,991002677039702656","Catalog Record")</f>
        <v/>
      </c>
      <c r="AT730">
        <f>HYPERLINK("http://www.worldcat.org/oclc/397227","WorldCat Record")</f>
        <v/>
      </c>
      <c r="AU730" t="inlineStr">
        <is>
          <t>1543623:eng</t>
        </is>
      </c>
      <c r="AV730" t="inlineStr">
        <is>
          <t>397227</t>
        </is>
      </c>
      <c r="AW730" t="inlineStr">
        <is>
          <t>991002677039702656</t>
        </is>
      </c>
      <c r="AX730" t="inlineStr">
        <is>
          <t>991002677039702656</t>
        </is>
      </c>
      <c r="AY730" t="inlineStr">
        <is>
          <t>2261519970002656</t>
        </is>
      </c>
      <c r="AZ730" t="inlineStr">
        <is>
          <t>BOOK</t>
        </is>
      </c>
      <c r="BC730" t="inlineStr">
        <is>
          <t>32285001915932</t>
        </is>
      </c>
      <c r="BD730" t="inlineStr">
        <is>
          <t>893323223</t>
        </is>
      </c>
    </row>
    <row r="731">
      <c r="A731" t="inlineStr">
        <is>
          <t>No</t>
        </is>
      </c>
      <c r="B731" t="inlineStr">
        <is>
          <t>ND635 .F713 1981</t>
        </is>
      </c>
      <c r="C731" t="inlineStr">
        <is>
          <t>0                      ND 0635000F  713         1981</t>
        </is>
      </c>
      <c r="D731" t="inlineStr">
        <is>
          <t>From Van Eyck to Bruegel / Max J. Friedländer ; edited and annotated by F. Grossmann ; translated from the German by Marguerite Kay.</t>
        </is>
      </c>
      <c r="F731" t="inlineStr">
        <is>
          <t>No</t>
        </is>
      </c>
      <c r="G731" t="inlineStr">
        <is>
          <t>1</t>
        </is>
      </c>
      <c r="H731" t="inlineStr">
        <is>
          <t>No</t>
        </is>
      </c>
      <c r="I731" t="inlineStr">
        <is>
          <t>No</t>
        </is>
      </c>
      <c r="J731" t="inlineStr">
        <is>
          <t>0</t>
        </is>
      </c>
      <c r="K731" t="inlineStr">
        <is>
          <t>Friedländer, Max J., 1867-1958.</t>
        </is>
      </c>
      <c r="L731" t="inlineStr">
        <is>
          <t>Oxford [England] : Phaidon, 1981.</t>
        </is>
      </c>
      <c r="M731" t="inlineStr">
        <is>
          <t>1981</t>
        </is>
      </c>
      <c r="N731" t="inlineStr">
        <is>
          <t>4th ed.</t>
        </is>
      </c>
      <c r="O731" t="inlineStr">
        <is>
          <t>eng</t>
        </is>
      </c>
      <c r="P731" t="inlineStr">
        <is>
          <t>enk</t>
        </is>
      </c>
      <c r="Q731" t="inlineStr">
        <is>
          <t>Landmarks in art history</t>
        </is>
      </c>
      <c r="R731" t="inlineStr">
        <is>
          <t xml:space="preserve">ND </t>
        </is>
      </c>
      <c r="S731" t="n">
        <v>3</v>
      </c>
      <c r="T731" t="n">
        <v>3</v>
      </c>
      <c r="U731" t="inlineStr">
        <is>
          <t>1999-03-11</t>
        </is>
      </c>
      <c r="V731" t="inlineStr">
        <is>
          <t>1999-03-11</t>
        </is>
      </c>
      <c r="W731" t="inlineStr">
        <is>
          <t>1993-05-24</t>
        </is>
      </c>
      <c r="X731" t="inlineStr">
        <is>
          <t>1993-05-24</t>
        </is>
      </c>
      <c r="Y731" t="n">
        <v>69</v>
      </c>
      <c r="Z731" t="n">
        <v>13</v>
      </c>
      <c r="AA731" t="n">
        <v>551</v>
      </c>
      <c r="AB731" t="n">
        <v>2</v>
      </c>
      <c r="AC731" t="n">
        <v>8</v>
      </c>
      <c r="AD731" t="n">
        <v>1</v>
      </c>
      <c r="AE731" t="n">
        <v>29</v>
      </c>
      <c r="AF731" t="n">
        <v>0</v>
      </c>
      <c r="AG731" t="n">
        <v>9</v>
      </c>
      <c r="AH731" t="n">
        <v>0</v>
      </c>
      <c r="AI731" t="n">
        <v>9</v>
      </c>
      <c r="AJ731" t="n">
        <v>0</v>
      </c>
      <c r="AK731" t="n">
        <v>10</v>
      </c>
      <c r="AL731" t="n">
        <v>1</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HYPERLINK("https://creighton-primo.hosted.exlibrisgroup.com/primo-explore/search?tab=default_tab&amp;search_scope=EVERYTHING&amp;vid=01CRU&amp;lang=en_US&amp;offset=0&amp;query=any,contains,991005184329702656","Catalog Record")</f>
        <v/>
      </c>
      <c r="AT731">
        <f>HYPERLINK("http://www.worldcat.org/oclc/7957640","WorldCat Record")</f>
        <v/>
      </c>
      <c r="AU731" t="inlineStr">
        <is>
          <t>10568060397:eng</t>
        </is>
      </c>
      <c r="AV731" t="inlineStr">
        <is>
          <t>7957640</t>
        </is>
      </c>
      <c r="AW731" t="inlineStr">
        <is>
          <t>991005184329702656</t>
        </is>
      </c>
      <c r="AX731" t="inlineStr">
        <is>
          <t>991005184329702656</t>
        </is>
      </c>
      <c r="AY731" t="inlineStr">
        <is>
          <t>2269672420002656</t>
        </is>
      </c>
      <c r="AZ731" t="inlineStr">
        <is>
          <t>BOOK</t>
        </is>
      </c>
      <c r="BB731" t="inlineStr">
        <is>
          <t>9780714821399</t>
        </is>
      </c>
      <c r="BC731" t="inlineStr">
        <is>
          <t>32285001692523</t>
        </is>
      </c>
      <c r="BD731" t="inlineStr">
        <is>
          <t>893883469</t>
        </is>
      </c>
    </row>
    <row r="732">
      <c r="A732" t="inlineStr">
        <is>
          <t>No</t>
        </is>
      </c>
      <c r="B732" t="inlineStr">
        <is>
          <t>ND635 .L36 1984</t>
        </is>
      </c>
      <c r="C732" t="inlineStr">
        <is>
          <t>0                      ND 0635000L  36          1984</t>
        </is>
      </c>
      <c r="D732" t="inlineStr">
        <is>
          <t>The altar and the altarpiece : sacramental themes in early Netherlandish painting / Barbara G. Lane.</t>
        </is>
      </c>
      <c r="F732" t="inlineStr">
        <is>
          <t>No</t>
        </is>
      </c>
      <c r="G732" t="inlineStr">
        <is>
          <t>1</t>
        </is>
      </c>
      <c r="H732" t="inlineStr">
        <is>
          <t>No</t>
        </is>
      </c>
      <c r="I732" t="inlineStr">
        <is>
          <t>No</t>
        </is>
      </c>
      <c r="J732" t="inlineStr">
        <is>
          <t>0</t>
        </is>
      </c>
      <c r="K732" t="inlineStr">
        <is>
          <t>Lane, Barbara G.</t>
        </is>
      </c>
      <c r="L732" t="inlineStr">
        <is>
          <t>New York : Harper &amp; Row, c1984.</t>
        </is>
      </c>
      <c r="M732" t="inlineStr">
        <is>
          <t>1984</t>
        </is>
      </c>
      <c r="N732" t="inlineStr">
        <is>
          <t>1st ed.</t>
        </is>
      </c>
      <c r="O732" t="inlineStr">
        <is>
          <t>eng</t>
        </is>
      </c>
      <c r="P732" t="inlineStr">
        <is>
          <t>nyu</t>
        </is>
      </c>
      <c r="Q732" t="inlineStr">
        <is>
          <t>Icon editions</t>
        </is>
      </c>
      <c r="R732" t="inlineStr">
        <is>
          <t xml:space="preserve">ND </t>
        </is>
      </c>
      <c r="S732" t="n">
        <v>7</v>
      </c>
      <c r="T732" t="n">
        <v>7</v>
      </c>
      <c r="U732" t="inlineStr">
        <is>
          <t>1999-02-16</t>
        </is>
      </c>
      <c r="V732" t="inlineStr">
        <is>
          <t>1999-02-16</t>
        </is>
      </c>
      <c r="W732" t="inlineStr">
        <is>
          <t>1993-05-24</t>
        </is>
      </c>
      <c r="X732" t="inlineStr">
        <is>
          <t>1993-05-24</t>
        </is>
      </c>
      <c r="Y732" t="n">
        <v>690</v>
      </c>
      <c r="Z732" t="n">
        <v>583</v>
      </c>
      <c r="AA732" t="n">
        <v>589</v>
      </c>
      <c r="AB732" t="n">
        <v>5</v>
      </c>
      <c r="AC732" t="n">
        <v>5</v>
      </c>
      <c r="AD732" t="n">
        <v>27</v>
      </c>
      <c r="AE732" t="n">
        <v>27</v>
      </c>
      <c r="AF732" t="n">
        <v>11</v>
      </c>
      <c r="AG732" t="n">
        <v>11</v>
      </c>
      <c r="AH732" t="n">
        <v>7</v>
      </c>
      <c r="AI732" t="n">
        <v>7</v>
      </c>
      <c r="AJ732" t="n">
        <v>15</v>
      </c>
      <c r="AK732" t="n">
        <v>15</v>
      </c>
      <c r="AL732" t="n">
        <v>3</v>
      </c>
      <c r="AM732" t="n">
        <v>3</v>
      </c>
      <c r="AN732" t="n">
        <v>0</v>
      </c>
      <c r="AO732" t="n">
        <v>0</v>
      </c>
      <c r="AP732" t="inlineStr">
        <is>
          <t>No</t>
        </is>
      </c>
      <c r="AQ732" t="inlineStr">
        <is>
          <t>Yes</t>
        </is>
      </c>
      <c r="AR732">
        <f>HYPERLINK("http://catalog.hathitrust.org/Record/000121820","HathiTrust Record")</f>
        <v/>
      </c>
      <c r="AS732">
        <f>HYPERLINK("https://creighton-primo.hosted.exlibrisgroup.com/primo-explore/search?tab=default_tab&amp;search_scope=EVERYTHING&amp;vid=01CRU&amp;lang=en_US&amp;offset=0&amp;query=any,contains,991000252259702656","Catalog Record")</f>
        <v/>
      </c>
      <c r="AT732">
        <f>HYPERLINK("http://www.worldcat.org/oclc/9758797","WorldCat Record")</f>
        <v/>
      </c>
      <c r="AU732" t="inlineStr">
        <is>
          <t>836625593:eng</t>
        </is>
      </c>
      <c r="AV732" t="inlineStr">
        <is>
          <t>9758797</t>
        </is>
      </c>
      <c r="AW732" t="inlineStr">
        <is>
          <t>991000252259702656</t>
        </is>
      </c>
      <c r="AX732" t="inlineStr">
        <is>
          <t>991000252259702656</t>
        </is>
      </c>
      <c r="AY732" t="inlineStr">
        <is>
          <t>2256927100002656</t>
        </is>
      </c>
      <c r="AZ732" t="inlineStr">
        <is>
          <t>BOOK</t>
        </is>
      </c>
      <c r="BB732" t="inlineStr">
        <is>
          <t>9780064301336</t>
        </is>
      </c>
      <c r="BC732" t="inlineStr">
        <is>
          <t>32285001692531</t>
        </is>
      </c>
      <c r="BD732" t="inlineStr">
        <is>
          <t>893249208</t>
        </is>
      </c>
    </row>
    <row r="733">
      <c r="A733" t="inlineStr">
        <is>
          <t>No</t>
        </is>
      </c>
      <c r="B733" t="inlineStr">
        <is>
          <t>ND635 .P3 1971</t>
        </is>
      </c>
      <c r="C733" t="inlineStr">
        <is>
          <t>0                      ND 0635000P  3           1971</t>
        </is>
      </c>
      <c r="D733" t="inlineStr">
        <is>
          <t>Early Netherlandish painting : its origins and character / by Erwin Panofsky.</t>
        </is>
      </c>
      <c r="E733" t="inlineStr">
        <is>
          <t>V.2</t>
        </is>
      </c>
      <c r="F733" t="inlineStr">
        <is>
          <t>Yes</t>
        </is>
      </c>
      <c r="G733" t="inlineStr">
        <is>
          <t>1</t>
        </is>
      </c>
      <c r="H733" t="inlineStr">
        <is>
          <t>No</t>
        </is>
      </c>
      <c r="I733" t="inlineStr">
        <is>
          <t>No</t>
        </is>
      </c>
      <c r="J733" t="inlineStr">
        <is>
          <t>0</t>
        </is>
      </c>
      <c r="K733" t="inlineStr">
        <is>
          <t>Panofsky, Erwin, 1892-1968.</t>
        </is>
      </c>
      <c r="L733" t="inlineStr">
        <is>
          <t>New York : Harper &amp; Row, 1971.</t>
        </is>
      </c>
      <c r="M733" t="inlineStr">
        <is>
          <t>1971</t>
        </is>
      </c>
      <c r="O733" t="inlineStr">
        <is>
          <t>eng</t>
        </is>
      </c>
      <c r="P733" t="inlineStr">
        <is>
          <t>nyu</t>
        </is>
      </c>
      <c r="Q733" t="inlineStr">
        <is>
          <t>Icon editions ; In-2</t>
        </is>
      </c>
      <c r="R733" t="inlineStr">
        <is>
          <t xml:space="preserve">ND </t>
        </is>
      </c>
      <c r="S733" t="n">
        <v>6</v>
      </c>
      <c r="T733" t="n">
        <v>17</v>
      </c>
      <c r="U733" t="inlineStr">
        <is>
          <t>1999-02-18</t>
        </is>
      </c>
      <c r="V733" t="inlineStr">
        <is>
          <t>1999-02-18</t>
        </is>
      </c>
      <c r="W733" t="inlineStr">
        <is>
          <t>1990-06-22</t>
        </is>
      </c>
      <c r="X733" t="inlineStr">
        <is>
          <t>1990-06-22</t>
        </is>
      </c>
      <c r="Y733" t="n">
        <v>320</v>
      </c>
      <c r="Z733" t="n">
        <v>300</v>
      </c>
      <c r="AA733" t="n">
        <v>1119</v>
      </c>
      <c r="AB733" t="n">
        <v>3</v>
      </c>
      <c r="AC733" t="n">
        <v>8</v>
      </c>
      <c r="AD733" t="n">
        <v>13</v>
      </c>
      <c r="AE733" t="n">
        <v>48</v>
      </c>
      <c r="AF733" t="n">
        <v>7</v>
      </c>
      <c r="AG733" t="n">
        <v>23</v>
      </c>
      <c r="AH733" t="n">
        <v>4</v>
      </c>
      <c r="AI733" t="n">
        <v>10</v>
      </c>
      <c r="AJ733" t="n">
        <v>4</v>
      </c>
      <c r="AK733" t="n">
        <v>20</v>
      </c>
      <c r="AL733" t="n">
        <v>1</v>
      </c>
      <c r="AM733" t="n">
        <v>6</v>
      </c>
      <c r="AN733" t="n">
        <v>0</v>
      </c>
      <c r="AO733" t="n">
        <v>0</v>
      </c>
      <c r="AP733" t="inlineStr">
        <is>
          <t>No</t>
        </is>
      </c>
      <c r="AQ733" t="inlineStr">
        <is>
          <t>Yes</t>
        </is>
      </c>
      <c r="AR733">
        <f>HYPERLINK("http://catalog.hathitrust.org/Record/002598227","HathiTrust Record")</f>
        <v/>
      </c>
      <c r="AS733">
        <f>HYPERLINK("https://creighton-primo.hosted.exlibrisgroup.com/primo-explore/search?tab=default_tab&amp;search_scope=EVERYTHING&amp;vid=01CRU&amp;lang=en_US&amp;offset=0&amp;query=any,contains,991004961869702656","Catalog Record")</f>
        <v/>
      </c>
      <c r="AT733">
        <f>HYPERLINK("http://www.worldcat.org/oclc/6311534","WorldCat Record")</f>
        <v/>
      </c>
      <c r="AU733" t="inlineStr">
        <is>
          <t>5385093:eng</t>
        </is>
      </c>
      <c r="AV733" t="inlineStr">
        <is>
          <t>6311534</t>
        </is>
      </c>
      <c r="AW733" t="inlineStr">
        <is>
          <t>991004961869702656</t>
        </is>
      </c>
      <c r="AX733" t="inlineStr">
        <is>
          <t>991004961869702656</t>
        </is>
      </c>
      <c r="AY733" t="inlineStr">
        <is>
          <t>2264286790002656</t>
        </is>
      </c>
      <c r="AZ733" t="inlineStr">
        <is>
          <t>BOOK</t>
        </is>
      </c>
      <c r="BC733" t="inlineStr">
        <is>
          <t>32285000179589</t>
        </is>
      </c>
      <c r="BD733" t="inlineStr">
        <is>
          <t>893606642</t>
        </is>
      </c>
    </row>
    <row r="734">
      <c r="A734" t="inlineStr">
        <is>
          <t>No</t>
        </is>
      </c>
      <c r="B734" t="inlineStr">
        <is>
          <t>ND635 .P3 1971</t>
        </is>
      </c>
      <c r="C734" t="inlineStr">
        <is>
          <t>0                      ND 0635000P  3           1971</t>
        </is>
      </c>
      <c r="D734" t="inlineStr">
        <is>
          <t>Early Netherlandish painting : its origins and character / by Erwin Panofsky.</t>
        </is>
      </c>
      <c r="E734" t="inlineStr">
        <is>
          <t>V.1</t>
        </is>
      </c>
      <c r="F734" t="inlineStr">
        <is>
          <t>Yes</t>
        </is>
      </c>
      <c r="G734" t="inlineStr">
        <is>
          <t>1</t>
        </is>
      </c>
      <c r="H734" t="inlineStr">
        <is>
          <t>No</t>
        </is>
      </c>
      <c r="I734" t="inlineStr">
        <is>
          <t>No</t>
        </is>
      </c>
      <c r="J734" t="inlineStr">
        <is>
          <t>0</t>
        </is>
      </c>
      <c r="K734" t="inlineStr">
        <is>
          <t>Panofsky, Erwin, 1892-1968.</t>
        </is>
      </c>
      <c r="L734" t="inlineStr">
        <is>
          <t>New York : Harper &amp; Row, 1971.</t>
        </is>
      </c>
      <c r="M734" t="inlineStr">
        <is>
          <t>1971</t>
        </is>
      </c>
      <c r="O734" t="inlineStr">
        <is>
          <t>eng</t>
        </is>
      </c>
      <c r="P734" t="inlineStr">
        <is>
          <t>nyu</t>
        </is>
      </c>
      <c r="Q734" t="inlineStr">
        <is>
          <t>Icon editions ; In-2</t>
        </is>
      </c>
      <c r="R734" t="inlineStr">
        <is>
          <t xml:space="preserve">ND </t>
        </is>
      </c>
      <c r="S734" t="n">
        <v>11</v>
      </c>
      <c r="T734" t="n">
        <v>17</v>
      </c>
      <c r="U734" t="inlineStr">
        <is>
          <t>1999-02-18</t>
        </is>
      </c>
      <c r="V734" t="inlineStr">
        <is>
          <t>1999-02-18</t>
        </is>
      </c>
      <c r="W734" t="inlineStr">
        <is>
          <t>1990-06-22</t>
        </is>
      </c>
      <c r="X734" t="inlineStr">
        <is>
          <t>1990-06-22</t>
        </is>
      </c>
      <c r="Y734" t="n">
        <v>320</v>
      </c>
      <c r="Z734" t="n">
        <v>300</v>
      </c>
      <c r="AA734" t="n">
        <v>1119</v>
      </c>
      <c r="AB734" t="n">
        <v>3</v>
      </c>
      <c r="AC734" t="n">
        <v>8</v>
      </c>
      <c r="AD734" t="n">
        <v>13</v>
      </c>
      <c r="AE734" t="n">
        <v>48</v>
      </c>
      <c r="AF734" t="n">
        <v>7</v>
      </c>
      <c r="AG734" t="n">
        <v>23</v>
      </c>
      <c r="AH734" t="n">
        <v>4</v>
      </c>
      <c r="AI734" t="n">
        <v>10</v>
      </c>
      <c r="AJ734" t="n">
        <v>4</v>
      </c>
      <c r="AK734" t="n">
        <v>20</v>
      </c>
      <c r="AL734" t="n">
        <v>1</v>
      </c>
      <c r="AM734" t="n">
        <v>6</v>
      </c>
      <c r="AN734" t="n">
        <v>0</v>
      </c>
      <c r="AO734" t="n">
        <v>0</v>
      </c>
      <c r="AP734" t="inlineStr">
        <is>
          <t>No</t>
        </is>
      </c>
      <c r="AQ734" t="inlineStr">
        <is>
          <t>Yes</t>
        </is>
      </c>
      <c r="AR734">
        <f>HYPERLINK("http://catalog.hathitrust.org/Record/002598227","HathiTrust Record")</f>
        <v/>
      </c>
      <c r="AS734">
        <f>HYPERLINK("https://creighton-primo.hosted.exlibrisgroup.com/primo-explore/search?tab=default_tab&amp;search_scope=EVERYTHING&amp;vid=01CRU&amp;lang=en_US&amp;offset=0&amp;query=any,contains,991004961869702656","Catalog Record")</f>
        <v/>
      </c>
      <c r="AT734">
        <f>HYPERLINK("http://www.worldcat.org/oclc/6311534","WorldCat Record")</f>
        <v/>
      </c>
      <c r="AU734" t="inlineStr">
        <is>
          <t>5385093:eng</t>
        </is>
      </c>
      <c r="AV734" t="inlineStr">
        <is>
          <t>6311534</t>
        </is>
      </c>
      <c r="AW734" t="inlineStr">
        <is>
          <t>991004961869702656</t>
        </is>
      </c>
      <c r="AX734" t="inlineStr">
        <is>
          <t>991004961869702656</t>
        </is>
      </c>
      <c r="AY734" t="inlineStr">
        <is>
          <t>2264286790002656</t>
        </is>
      </c>
      <c r="AZ734" t="inlineStr">
        <is>
          <t>BOOK</t>
        </is>
      </c>
      <c r="BC734" t="inlineStr">
        <is>
          <t>32285000179571</t>
        </is>
      </c>
      <c r="BD734" t="inlineStr">
        <is>
          <t>893606643</t>
        </is>
      </c>
    </row>
    <row r="735">
      <c r="A735" t="inlineStr">
        <is>
          <t>No</t>
        </is>
      </c>
      <c r="B735" t="inlineStr">
        <is>
          <t>ND635 .W64 1989</t>
        </is>
      </c>
      <c r="C735" t="inlineStr">
        <is>
          <t>0                      ND 0635000W  64          1989</t>
        </is>
      </c>
      <c r="D735" t="inlineStr">
        <is>
          <t>The beginnings of Netherlandish canvas painting, 1400-1530 / Diane Wolfthal.</t>
        </is>
      </c>
      <c r="F735" t="inlineStr">
        <is>
          <t>No</t>
        </is>
      </c>
      <c r="G735" t="inlineStr">
        <is>
          <t>1</t>
        </is>
      </c>
      <c r="H735" t="inlineStr">
        <is>
          <t>No</t>
        </is>
      </c>
      <c r="I735" t="inlineStr">
        <is>
          <t>No</t>
        </is>
      </c>
      <c r="J735" t="inlineStr">
        <is>
          <t>0</t>
        </is>
      </c>
      <c r="K735" t="inlineStr">
        <is>
          <t>Wolfthal, Diane.</t>
        </is>
      </c>
      <c r="L735" t="inlineStr">
        <is>
          <t>Cambridge, CB ; New York, NY, USA : Cambridge University Press, 1989.</t>
        </is>
      </c>
      <c r="M735" t="inlineStr">
        <is>
          <t>1989</t>
        </is>
      </c>
      <c r="O735" t="inlineStr">
        <is>
          <t>eng</t>
        </is>
      </c>
      <c r="P735" t="inlineStr">
        <is>
          <t>enk</t>
        </is>
      </c>
      <c r="R735" t="inlineStr">
        <is>
          <t xml:space="preserve">ND </t>
        </is>
      </c>
      <c r="S735" t="n">
        <v>3</v>
      </c>
      <c r="T735" t="n">
        <v>3</v>
      </c>
      <c r="U735" t="inlineStr">
        <is>
          <t>1999-04-12</t>
        </is>
      </c>
      <c r="V735" t="inlineStr">
        <is>
          <t>1999-04-12</t>
        </is>
      </c>
      <c r="W735" t="inlineStr">
        <is>
          <t>1990-01-16</t>
        </is>
      </c>
      <c r="X735" t="inlineStr">
        <is>
          <t>1990-01-16</t>
        </is>
      </c>
      <c r="Y735" t="n">
        <v>500</v>
      </c>
      <c r="Z735" t="n">
        <v>368</v>
      </c>
      <c r="AA735" t="n">
        <v>377</v>
      </c>
      <c r="AB735" t="n">
        <v>2</v>
      </c>
      <c r="AC735" t="n">
        <v>2</v>
      </c>
      <c r="AD735" t="n">
        <v>17</v>
      </c>
      <c r="AE735" t="n">
        <v>17</v>
      </c>
      <c r="AF735" t="n">
        <v>6</v>
      </c>
      <c r="AG735" t="n">
        <v>6</v>
      </c>
      <c r="AH735" t="n">
        <v>4</v>
      </c>
      <c r="AI735" t="n">
        <v>4</v>
      </c>
      <c r="AJ735" t="n">
        <v>10</v>
      </c>
      <c r="AK735" t="n">
        <v>10</v>
      </c>
      <c r="AL735" t="n">
        <v>1</v>
      </c>
      <c r="AM735" t="n">
        <v>1</v>
      </c>
      <c r="AN735" t="n">
        <v>0</v>
      </c>
      <c r="AO735" t="n">
        <v>0</v>
      </c>
      <c r="AP735" t="inlineStr">
        <is>
          <t>No</t>
        </is>
      </c>
      <c r="AQ735" t="inlineStr">
        <is>
          <t>Yes</t>
        </is>
      </c>
      <c r="AR735">
        <f>HYPERLINK("http://catalog.hathitrust.org/Record/001087291","HathiTrust Record")</f>
        <v/>
      </c>
      <c r="AS735">
        <f>HYPERLINK("https://creighton-primo.hosted.exlibrisgroup.com/primo-explore/search?tab=default_tab&amp;search_scope=EVERYTHING&amp;vid=01CRU&amp;lang=en_US&amp;offset=0&amp;query=any,contains,991001225169702656","Catalog Record")</f>
        <v/>
      </c>
      <c r="AT735">
        <f>HYPERLINK("http://www.worldcat.org/oclc/17506348","WorldCat Record")</f>
        <v/>
      </c>
      <c r="AU735" t="inlineStr">
        <is>
          <t>22456:eng</t>
        </is>
      </c>
      <c r="AV735" t="inlineStr">
        <is>
          <t>17506348</t>
        </is>
      </c>
      <c r="AW735" t="inlineStr">
        <is>
          <t>991001225169702656</t>
        </is>
      </c>
      <c r="AX735" t="inlineStr">
        <is>
          <t>991001225169702656</t>
        </is>
      </c>
      <c r="AY735" t="inlineStr">
        <is>
          <t>2271657390002656</t>
        </is>
      </c>
      <c r="AZ735" t="inlineStr">
        <is>
          <t>BOOK</t>
        </is>
      </c>
      <c r="BB735" t="inlineStr">
        <is>
          <t>9780521342599</t>
        </is>
      </c>
      <c r="BC735" t="inlineStr">
        <is>
          <t>32285000029081</t>
        </is>
      </c>
      <c r="BD735" t="inlineStr">
        <is>
          <t>893432703</t>
        </is>
      </c>
    </row>
    <row r="736">
      <c r="A736" t="inlineStr">
        <is>
          <t>No</t>
        </is>
      </c>
      <c r="B736" t="inlineStr">
        <is>
          <t>ND646 .A72 1983</t>
        </is>
      </c>
      <c r="C736" t="inlineStr">
        <is>
          <t>0                      ND 0646000A  72          1983</t>
        </is>
      </c>
      <c r="D736" t="inlineStr">
        <is>
          <t>The art of describing : Dutch art in the seventeenth century / Svetlana Alpers.</t>
        </is>
      </c>
      <c r="F736" t="inlineStr">
        <is>
          <t>No</t>
        </is>
      </c>
      <c r="G736" t="inlineStr">
        <is>
          <t>1</t>
        </is>
      </c>
      <c r="H736" t="inlineStr">
        <is>
          <t>No</t>
        </is>
      </c>
      <c r="I736" t="inlineStr">
        <is>
          <t>No</t>
        </is>
      </c>
      <c r="J736" t="inlineStr">
        <is>
          <t>0</t>
        </is>
      </c>
      <c r="K736" t="inlineStr">
        <is>
          <t>Alpers, Svetlana.</t>
        </is>
      </c>
      <c r="L736" t="inlineStr">
        <is>
          <t>Chicago : University of Chicago Press, 1983.</t>
        </is>
      </c>
      <c r="M736" t="inlineStr">
        <is>
          <t>1983</t>
        </is>
      </c>
      <c r="O736" t="inlineStr">
        <is>
          <t>eng</t>
        </is>
      </c>
      <c r="P736" t="inlineStr">
        <is>
          <t>ilu</t>
        </is>
      </c>
      <c r="R736" t="inlineStr">
        <is>
          <t xml:space="preserve">ND </t>
        </is>
      </c>
      <c r="S736" t="n">
        <v>1</v>
      </c>
      <c r="T736" t="n">
        <v>1</v>
      </c>
      <c r="U736" t="inlineStr">
        <is>
          <t>2004-12-08</t>
        </is>
      </c>
      <c r="V736" t="inlineStr">
        <is>
          <t>2004-12-08</t>
        </is>
      </c>
      <c r="W736" t="inlineStr">
        <is>
          <t>1993-05-24</t>
        </is>
      </c>
      <c r="X736" t="inlineStr">
        <is>
          <t>1993-05-24</t>
        </is>
      </c>
      <c r="Y736" t="n">
        <v>1035</v>
      </c>
      <c r="Z736" t="n">
        <v>870</v>
      </c>
      <c r="AA736" t="n">
        <v>974</v>
      </c>
      <c r="AB736" t="n">
        <v>6</v>
      </c>
      <c r="AC736" t="n">
        <v>6</v>
      </c>
      <c r="AD736" t="n">
        <v>35</v>
      </c>
      <c r="AE736" t="n">
        <v>41</v>
      </c>
      <c r="AF736" t="n">
        <v>16</v>
      </c>
      <c r="AG736" t="n">
        <v>19</v>
      </c>
      <c r="AH736" t="n">
        <v>6</v>
      </c>
      <c r="AI736" t="n">
        <v>8</v>
      </c>
      <c r="AJ736" t="n">
        <v>19</v>
      </c>
      <c r="AK736" t="n">
        <v>23</v>
      </c>
      <c r="AL736" t="n">
        <v>4</v>
      </c>
      <c r="AM736" t="n">
        <v>4</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HYPERLINK("https://creighton-primo.hosted.exlibrisgroup.com/primo-explore/search?tab=default_tab&amp;search_scope=EVERYTHING&amp;vid=01CRU&amp;lang=en_US&amp;offset=0&amp;query=any,contains,991005240219702656","Catalog Record")</f>
        <v/>
      </c>
      <c r="AT736">
        <f>HYPERLINK("http://www.worldcat.org/oclc/8410306","WorldCat Record")</f>
        <v/>
      </c>
      <c r="AU736" t="inlineStr">
        <is>
          <t>417833:eng</t>
        </is>
      </c>
      <c r="AV736" t="inlineStr">
        <is>
          <t>8410306</t>
        </is>
      </c>
      <c r="AW736" t="inlineStr">
        <is>
          <t>991005240219702656</t>
        </is>
      </c>
      <c r="AX736" t="inlineStr">
        <is>
          <t>991005240219702656</t>
        </is>
      </c>
      <c r="AY736" t="inlineStr">
        <is>
          <t>2259194880002656</t>
        </is>
      </c>
      <c r="AZ736" t="inlineStr">
        <is>
          <t>BOOK</t>
        </is>
      </c>
      <c r="BB736" t="inlineStr">
        <is>
          <t>9780226015125</t>
        </is>
      </c>
      <c r="BC736" t="inlineStr">
        <is>
          <t>32285001692549</t>
        </is>
      </c>
      <c r="BD736" t="inlineStr">
        <is>
          <t>893514311</t>
        </is>
      </c>
    </row>
    <row r="737">
      <c r="A737" t="inlineStr">
        <is>
          <t>No</t>
        </is>
      </c>
      <c r="B737" t="inlineStr">
        <is>
          <t>ND646 .H3 1984</t>
        </is>
      </c>
      <c r="C737" t="inlineStr">
        <is>
          <t>0                      ND 0646000H  3           1984</t>
        </is>
      </c>
      <c r="D737" t="inlineStr">
        <is>
          <t>The Golden Age : Dutch painters of the seventeenth century / Bob Haak ; translated from the Dutch and edited by Elizabeth Willems-Treeman.</t>
        </is>
      </c>
      <c r="F737" t="inlineStr">
        <is>
          <t>No</t>
        </is>
      </c>
      <c r="G737" t="inlineStr">
        <is>
          <t>1</t>
        </is>
      </c>
      <c r="H737" t="inlineStr">
        <is>
          <t>No</t>
        </is>
      </c>
      <c r="I737" t="inlineStr">
        <is>
          <t>No</t>
        </is>
      </c>
      <c r="J737" t="inlineStr">
        <is>
          <t>0</t>
        </is>
      </c>
      <c r="K737" t="inlineStr">
        <is>
          <t>Haak, B.</t>
        </is>
      </c>
      <c r="L737" t="inlineStr">
        <is>
          <t>New York : H.N. Abrams, 1984.</t>
        </is>
      </c>
      <c r="M737" t="inlineStr">
        <is>
          <t>1984</t>
        </is>
      </c>
      <c r="O737" t="inlineStr">
        <is>
          <t>eng</t>
        </is>
      </c>
      <c r="P737" t="inlineStr">
        <is>
          <t>nyu</t>
        </is>
      </c>
      <c r="R737" t="inlineStr">
        <is>
          <t xml:space="preserve">ND </t>
        </is>
      </c>
      <c r="S737" t="n">
        <v>6</v>
      </c>
      <c r="T737" t="n">
        <v>6</v>
      </c>
      <c r="U737" t="inlineStr">
        <is>
          <t>1999-04-12</t>
        </is>
      </c>
      <c r="V737" t="inlineStr">
        <is>
          <t>1999-04-12</t>
        </is>
      </c>
      <c r="W737" t="inlineStr">
        <is>
          <t>1993-05-06</t>
        </is>
      </c>
      <c r="X737" t="inlineStr">
        <is>
          <t>1993-05-06</t>
        </is>
      </c>
      <c r="Y737" t="n">
        <v>952</v>
      </c>
      <c r="Z737" t="n">
        <v>868</v>
      </c>
      <c r="AA737" t="n">
        <v>959</v>
      </c>
      <c r="AB737" t="n">
        <v>5</v>
      </c>
      <c r="AC737" t="n">
        <v>5</v>
      </c>
      <c r="AD737" t="n">
        <v>29</v>
      </c>
      <c r="AE737" t="n">
        <v>35</v>
      </c>
      <c r="AF737" t="n">
        <v>12</v>
      </c>
      <c r="AG737" t="n">
        <v>15</v>
      </c>
      <c r="AH737" t="n">
        <v>8</v>
      </c>
      <c r="AI737" t="n">
        <v>8</v>
      </c>
      <c r="AJ737" t="n">
        <v>11</v>
      </c>
      <c r="AK737" t="n">
        <v>15</v>
      </c>
      <c r="AL737" t="n">
        <v>3</v>
      </c>
      <c r="AM737" t="n">
        <v>3</v>
      </c>
      <c r="AN737" t="n">
        <v>0</v>
      </c>
      <c r="AO737" t="n">
        <v>0</v>
      </c>
      <c r="AP737" t="inlineStr">
        <is>
          <t>No</t>
        </is>
      </c>
      <c r="AQ737" t="inlineStr">
        <is>
          <t>Yes</t>
        </is>
      </c>
      <c r="AR737">
        <f>HYPERLINK("http://catalog.hathitrust.org/Record/000333563","HathiTrust Record")</f>
        <v/>
      </c>
      <c r="AS737">
        <f>HYPERLINK("https://creighton-primo.hosted.exlibrisgroup.com/primo-explore/search?tab=default_tab&amp;search_scope=EVERYTHING&amp;vid=01CRU&amp;lang=en_US&amp;offset=0&amp;query=any,contains,991000343069702656","Catalog Record")</f>
        <v/>
      </c>
      <c r="AT737">
        <f>HYPERLINK("http://www.worldcat.org/oclc/10275630","WorldCat Record")</f>
        <v/>
      </c>
      <c r="AU737" t="inlineStr">
        <is>
          <t>366743013:eng</t>
        </is>
      </c>
      <c r="AV737" t="inlineStr">
        <is>
          <t>10275630</t>
        </is>
      </c>
      <c r="AW737" t="inlineStr">
        <is>
          <t>991000343069702656</t>
        </is>
      </c>
      <c r="AX737" t="inlineStr">
        <is>
          <t>991000343069702656</t>
        </is>
      </c>
      <c r="AY737" t="inlineStr">
        <is>
          <t>2269135480002656</t>
        </is>
      </c>
      <c r="AZ737" t="inlineStr">
        <is>
          <t>BOOK</t>
        </is>
      </c>
      <c r="BB737" t="inlineStr">
        <is>
          <t>9780810909564</t>
        </is>
      </c>
      <c r="BC737" t="inlineStr">
        <is>
          <t>32285001652212</t>
        </is>
      </c>
      <c r="BD737" t="inlineStr">
        <is>
          <t>893534121</t>
        </is>
      </c>
    </row>
    <row r="738">
      <c r="A738" t="inlineStr">
        <is>
          <t>No</t>
        </is>
      </c>
      <c r="B738" t="inlineStr">
        <is>
          <t>ND646 .R59 1977</t>
        </is>
      </c>
      <c r="C738" t="inlineStr">
        <is>
          <t>0                      ND 0646000R  59          1977</t>
        </is>
      </c>
      <c r="D738" t="inlineStr">
        <is>
          <t>Dutch art and architecture: 1600 to 1800 / Jakob Rosenberg, Seymour Slive and E. H. ter Kuile.</t>
        </is>
      </c>
      <c r="F738" t="inlineStr">
        <is>
          <t>No</t>
        </is>
      </c>
      <c r="G738" t="inlineStr">
        <is>
          <t>1</t>
        </is>
      </c>
      <c r="H738" t="inlineStr">
        <is>
          <t>No</t>
        </is>
      </c>
      <c r="I738" t="inlineStr">
        <is>
          <t>No</t>
        </is>
      </c>
      <c r="J738" t="inlineStr">
        <is>
          <t>0</t>
        </is>
      </c>
      <c r="K738" t="inlineStr">
        <is>
          <t>Rosenberg, Jakob, 1893-1980.</t>
        </is>
      </c>
      <c r="L738" t="inlineStr">
        <is>
          <t>Harmondsworth, Eng. ; New York : Penguin Books, c1977, 1984 printing.</t>
        </is>
      </c>
      <c r="M738" t="inlineStr">
        <is>
          <t>1977</t>
        </is>
      </c>
      <c r="N738" t="inlineStr">
        <is>
          <t>3d ed.</t>
        </is>
      </c>
      <c r="O738" t="inlineStr">
        <is>
          <t>eng</t>
        </is>
      </c>
      <c r="P738" t="inlineStr">
        <is>
          <t>enk</t>
        </is>
      </c>
      <c r="Q738" t="inlineStr">
        <is>
          <t>The Pelican history of art</t>
        </is>
      </c>
      <c r="R738" t="inlineStr">
        <is>
          <t xml:space="preserve">ND </t>
        </is>
      </c>
      <c r="S738" t="n">
        <v>10</v>
      </c>
      <c r="T738" t="n">
        <v>10</v>
      </c>
      <c r="U738" t="inlineStr">
        <is>
          <t>1995-11-22</t>
        </is>
      </c>
      <c r="V738" t="inlineStr">
        <is>
          <t>1995-11-22</t>
        </is>
      </c>
      <c r="W738" t="inlineStr">
        <is>
          <t>1990-03-19</t>
        </is>
      </c>
      <c r="X738" t="inlineStr">
        <is>
          <t>1990-03-19</t>
        </is>
      </c>
      <c r="Y738" t="n">
        <v>362</v>
      </c>
      <c r="Z738" t="n">
        <v>292</v>
      </c>
      <c r="AA738" t="n">
        <v>313</v>
      </c>
      <c r="AB738" t="n">
        <v>3</v>
      </c>
      <c r="AC738" t="n">
        <v>3</v>
      </c>
      <c r="AD738" t="n">
        <v>15</v>
      </c>
      <c r="AE738" t="n">
        <v>17</v>
      </c>
      <c r="AF738" t="n">
        <v>7</v>
      </c>
      <c r="AG738" t="n">
        <v>9</v>
      </c>
      <c r="AH738" t="n">
        <v>3</v>
      </c>
      <c r="AI738" t="n">
        <v>3</v>
      </c>
      <c r="AJ738" t="n">
        <v>7</v>
      </c>
      <c r="AK738" t="n">
        <v>8</v>
      </c>
      <c r="AL738" t="n">
        <v>1</v>
      </c>
      <c r="AM738" t="n">
        <v>1</v>
      </c>
      <c r="AN738" t="n">
        <v>0</v>
      </c>
      <c r="AO738" t="n">
        <v>0</v>
      </c>
      <c r="AP738" t="inlineStr">
        <is>
          <t>No</t>
        </is>
      </c>
      <c r="AQ738" t="inlineStr">
        <is>
          <t>Yes</t>
        </is>
      </c>
      <c r="AR738">
        <f>HYPERLINK("http://catalog.hathitrust.org/Record/000087913","HathiTrust Record")</f>
        <v/>
      </c>
      <c r="AS738">
        <f>HYPERLINK("https://creighton-primo.hosted.exlibrisgroup.com/primo-explore/search?tab=default_tab&amp;search_scope=EVERYTHING&amp;vid=01CRU&amp;lang=en_US&amp;offset=0&amp;query=any,contains,991004448779702656","Catalog Record")</f>
        <v/>
      </c>
      <c r="AT738">
        <f>HYPERLINK("http://www.worldcat.org/oclc/3497161","WorldCat Record")</f>
        <v/>
      </c>
      <c r="AU738" t="inlineStr">
        <is>
          <t>9430235600:eng</t>
        </is>
      </c>
      <c r="AV738" t="inlineStr">
        <is>
          <t>3497161</t>
        </is>
      </c>
      <c r="AW738" t="inlineStr">
        <is>
          <t>991004448779702656</t>
        </is>
      </c>
      <c r="AX738" t="inlineStr">
        <is>
          <t>991004448779702656</t>
        </is>
      </c>
      <c r="AY738" t="inlineStr">
        <is>
          <t>2264827880002656</t>
        </is>
      </c>
      <c r="AZ738" t="inlineStr">
        <is>
          <t>BOOK</t>
        </is>
      </c>
      <c r="BB738" t="inlineStr">
        <is>
          <t>9780140561272</t>
        </is>
      </c>
      <c r="BC738" t="inlineStr">
        <is>
          <t>32285000086727</t>
        </is>
      </c>
      <c r="BD738" t="inlineStr">
        <is>
          <t>893618679</t>
        </is>
      </c>
    </row>
    <row r="739">
      <c r="A739" t="inlineStr">
        <is>
          <t>No</t>
        </is>
      </c>
      <c r="B739" t="inlineStr">
        <is>
          <t>ND646 .S495 1995</t>
        </is>
      </c>
      <c r="C739" t="inlineStr">
        <is>
          <t>0                      ND 0646000S  495         1995</t>
        </is>
      </c>
      <c r="D739" t="inlineStr">
        <is>
          <t>Dutch painting 1600-1800 / Seymour Slive.</t>
        </is>
      </c>
      <c r="F739" t="inlineStr">
        <is>
          <t>No</t>
        </is>
      </c>
      <c r="G739" t="inlineStr">
        <is>
          <t>1</t>
        </is>
      </c>
      <c r="H739" t="inlineStr">
        <is>
          <t>No</t>
        </is>
      </c>
      <c r="I739" t="inlineStr">
        <is>
          <t>No</t>
        </is>
      </c>
      <c r="J739" t="inlineStr">
        <is>
          <t>0</t>
        </is>
      </c>
      <c r="K739" t="inlineStr">
        <is>
          <t>Slive, Seymour, 1920-2014.</t>
        </is>
      </c>
      <c r="L739" t="inlineStr">
        <is>
          <t>New Haven, Conn. : Yale University Press, c1995.</t>
        </is>
      </c>
      <c r="M739" t="inlineStr">
        <is>
          <t>1995</t>
        </is>
      </c>
      <c r="O739" t="inlineStr">
        <is>
          <t>eng</t>
        </is>
      </c>
      <c r="P739" t="inlineStr">
        <is>
          <t>ctu</t>
        </is>
      </c>
      <c r="Q739" t="inlineStr">
        <is>
          <t>Yale University Press Pelican history of art</t>
        </is>
      </c>
      <c r="R739" t="inlineStr">
        <is>
          <t xml:space="preserve">ND </t>
        </is>
      </c>
      <c r="S739" t="n">
        <v>1</v>
      </c>
      <c r="T739" t="n">
        <v>1</v>
      </c>
      <c r="U739" t="inlineStr">
        <is>
          <t>2006-09-26</t>
        </is>
      </c>
      <c r="V739" t="inlineStr">
        <is>
          <t>2006-09-26</t>
        </is>
      </c>
      <c r="W739" t="inlineStr">
        <is>
          <t>1996-04-18</t>
        </is>
      </c>
      <c r="X739" t="inlineStr">
        <is>
          <t>1996-04-18</t>
        </is>
      </c>
      <c r="Y739" t="n">
        <v>996</v>
      </c>
      <c r="Z739" t="n">
        <v>843</v>
      </c>
      <c r="AA739" t="n">
        <v>864</v>
      </c>
      <c r="AB739" t="n">
        <v>8</v>
      </c>
      <c r="AC739" t="n">
        <v>8</v>
      </c>
      <c r="AD739" t="n">
        <v>37</v>
      </c>
      <c r="AE739" t="n">
        <v>37</v>
      </c>
      <c r="AF739" t="n">
        <v>14</v>
      </c>
      <c r="AG739" t="n">
        <v>14</v>
      </c>
      <c r="AH739" t="n">
        <v>6</v>
      </c>
      <c r="AI739" t="n">
        <v>6</v>
      </c>
      <c r="AJ739" t="n">
        <v>19</v>
      </c>
      <c r="AK739" t="n">
        <v>19</v>
      </c>
      <c r="AL739" t="n">
        <v>6</v>
      </c>
      <c r="AM739" t="n">
        <v>6</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HYPERLINK("https://creighton-primo.hosted.exlibrisgroup.com/primo-explore/search?tab=default_tab&amp;search_scope=EVERYTHING&amp;vid=01CRU&amp;lang=en_US&amp;offset=0&amp;query=any,contains,991002478999702656","Catalog Record")</f>
        <v/>
      </c>
      <c r="AT739">
        <f>HYPERLINK("http://www.worldcat.org/oclc/32273883","WorldCat Record")</f>
        <v/>
      </c>
      <c r="AU739" t="inlineStr">
        <is>
          <t>24134168:eng</t>
        </is>
      </c>
      <c r="AV739" t="inlineStr">
        <is>
          <t>32273883</t>
        </is>
      </c>
      <c r="AW739" t="inlineStr">
        <is>
          <t>991002478999702656</t>
        </is>
      </c>
      <c r="AX739" t="inlineStr">
        <is>
          <t>991002478999702656</t>
        </is>
      </c>
      <c r="AY739" t="inlineStr">
        <is>
          <t>2260452500002656</t>
        </is>
      </c>
      <c r="AZ739" t="inlineStr">
        <is>
          <t>BOOK</t>
        </is>
      </c>
      <c r="BB739" t="inlineStr">
        <is>
          <t>9780300064186</t>
        </is>
      </c>
      <c r="BC739" t="inlineStr">
        <is>
          <t>32285002155033</t>
        </is>
      </c>
      <c r="BD739" t="inlineStr">
        <is>
          <t>893867260</t>
        </is>
      </c>
    </row>
    <row r="740">
      <c r="A740" t="inlineStr">
        <is>
          <t>No</t>
        </is>
      </c>
      <c r="B740" t="inlineStr">
        <is>
          <t>ND653.B65 A68 2001</t>
        </is>
      </c>
      <c r="C740" t="inlineStr">
        <is>
          <t>0                      ND 0653000B  65                 A  68          2001</t>
        </is>
      </c>
      <c r="D740" t="inlineStr">
        <is>
          <t>The garden of earthly delights / Bosch ; [work edited by Federico Zeri ; based on the interviews between Federico Zeri and Marco Dolcetta ; chief editor of the 2000 English language edition, Elena Mazour ; English translation, Susan Scott].</t>
        </is>
      </c>
      <c r="F740" t="inlineStr">
        <is>
          <t>No</t>
        </is>
      </c>
      <c r="G740" t="inlineStr">
        <is>
          <t>1</t>
        </is>
      </c>
      <c r="H740" t="inlineStr">
        <is>
          <t>No</t>
        </is>
      </c>
      <c r="I740" t="inlineStr">
        <is>
          <t>Yes</t>
        </is>
      </c>
      <c r="J740" t="inlineStr">
        <is>
          <t>0</t>
        </is>
      </c>
      <c r="K740" t="inlineStr">
        <is>
          <t>Bosch, Hieronymus, -1516.</t>
        </is>
      </c>
      <c r="L740" t="inlineStr">
        <is>
          <t>Richmond Hill, Ont. : NDE, c2001, 2000.</t>
        </is>
      </c>
      <c r="M740" t="inlineStr">
        <is>
          <t>2000</t>
        </is>
      </c>
      <c r="N740" t="inlineStr">
        <is>
          <t>English language ed.</t>
        </is>
      </c>
      <c r="O740" t="inlineStr">
        <is>
          <t>eng</t>
        </is>
      </c>
      <c r="P740" t="inlineStr">
        <is>
          <t>onc</t>
        </is>
      </c>
      <c r="Q740" t="inlineStr">
        <is>
          <t>One hundred paintings</t>
        </is>
      </c>
      <c r="R740" t="inlineStr">
        <is>
          <t xml:space="preserve">ND </t>
        </is>
      </c>
      <c r="S740" t="n">
        <v>6</v>
      </c>
      <c r="T740" t="n">
        <v>6</v>
      </c>
      <c r="U740" t="inlineStr">
        <is>
          <t>2007-04-17</t>
        </is>
      </c>
      <c r="V740" t="inlineStr">
        <is>
          <t>2007-04-17</t>
        </is>
      </c>
      <c r="W740" t="inlineStr">
        <is>
          <t>2003-09-09</t>
        </is>
      </c>
      <c r="X740" t="inlineStr">
        <is>
          <t>2003-09-09</t>
        </is>
      </c>
      <c r="Y740" t="n">
        <v>37</v>
      </c>
      <c r="Z740" t="n">
        <v>35</v>
      </c>
      <c r="AA740" t="n">
        <v>403</v>
      </c>
      <c r="AB740" t="n">
        <v>1</v>
      </c>
      <c r="AC740" t="n">
        <v>4</v>
      </c>
      <c r="AD740" t="n">
        <v>1</v>
      </c>
      <c r="AE740" t="n">
        <v>15</v>
      </c>
      <c r="AF740" t="n">
        <v>1</v>
      </c>
      <c r="AG740" t="n">
        <v>7</v>
      </c>
      <c r="AH740" t="n">
        <v>0</v>
      </c>
      <c r="AI740" t="n">
        <v>2</v>
      </c>
      <c r="AJ740" t="n">
        <v>1</v>
      </c>
      <c r="AK740" t="n">
        <v>7</v>
      </c>
      <c r="AL740" t="n">
        <v>0</v>
      </c>
      <c r="AM740" t="n">
        <v>3</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HYPERLINK("https://creighton-primo.hosted.exlibrisgroup.com/primo-explore/search?tab=default_tab&amp;search_scope=EVERYTHING&amp;vid=01CRU&amp;lang=en_US&amp;offset=0&amp;query=any,contains,991004116779702656","Catalog Record")</f>
        <v/>
      </c>
      <c r="AT740">
        <f>HYPERLINK("http://www.worldcat.org/oclc/49280806","WorldCat Record")</f>
        <v/>
      </c>
      <c r="AU740" t="inlineStr">
        <is>
          <t>3944127544:eng</t>
        </is>
      </c>
      <c r="AV740" t="inlineStr">
        <is>
          <t>49280806</t>
        </is>
      </c>
      <c r="AW740" t="inlineStr">
        <is>
          <t>991004116779702656</t>
        </is>
      </c>
      <c r="AX740" t="inlineStr">
        <is>
          <t>991004116779702656</t>
        </is>
      </c>
      <c r="AY740" t="inlineStr">
        <is>
          <t>2263671170002656</t>
        </is>
      </c>
      <c r="AZ740" t="inlineStr">
        <is>
          <t>BOOK</t>
        </is>
      </c>
      <c r="BB740" t="inlineStr">
        <is>
          <t>9781553210276</t>
        </is>
      </c>
      <c r="BC740" t="inlineStr">
        <is>
          <t>32285004782099</t>
        </is>
      </c>
      <c r="BD740" t="inlineStr">
        <is>
          <t>893593289</t>
        </is>
      </c>
    </row>
    <row r="741">
      <c r="A741" t="inlineStr">
        <is>
          <t>No</t>
        </is>
      </c>
      <c r="B741" t="inlineStr">
        <is>
          <t>ND653.B65 L513</t>
        </is>
      </c>
      <c r="C741" t="inlineStr">
        <is>
          <t>0                      ND 0653000B  65                 L  513</t>
        </is>
      </c>
      <c r="D741" t="inlineStr">
        <is>
          <t>Hieronymus Bosch / text by Carl Linfert. [Translated from the German by Robert Erich Wolf.</t>
        </is>
      </c>
      <c r="F741" t="inlineStr">
        <is>
          <t>No</t>
        </is>
      </c>
      <c r="G741" t="inlineStr">
        <is>
          <t>1</t>
        </is>
      </c>
      <c r="H741" t="inlineStr">
        <is>
          <t>No</t>
        </is>
      </c>
      <c r="I741" t="inlineStr">
        <is>
          <t>No</t>
        </is>
      </c>
      <c r="J741" t="inlineStr">
        <is>
          <t>0</t>
        </is>
      </c>
      <c r="K741" t="inlineStr">
        <is>
          <t>Linfert, Carl, 1900-1981.</t>
        </is>
      </c>
      <c r="L741" t="inlineStr">
        <is>
          <t>New York : Abrams, [1971]</t>
        </is>
      </c>
      <c r="M741" t="inlineStr">
        <is>
          <t>1971</t>
        </is>
      </c>
      <c r="N741" t="inlineStr">
        <is>
          <t>1st ed.]</t>
        </is>
      </c>
      <c r="O741" t="inlineStr">
        <is>
          <t>eng</t>
        </is>
      </c>
      <c r="P741" t="inlineStr">
        <is>
          <t>nyu</t>
        </is>
      </c>
      <c r="Q741" t="inlineStr">
        <is>
          <t>The Library of great painters</t>
        </is>
      </c>
      <c r="R741" t="inlineStr">
        <is>
          <t xml:space="preserve">ND </t>
        </is>
      </c>
      <c r="S741" t="n">
        <v>17</v>
      </c>
      <c r="T741" t="n">
        <v>17</v>
      </c>
      <c r="U741" t="inlineStr">
        <is>
          <t>2007-04-17</t>
        </is>
      </c>
      <c r="V741" t="inlineStr">
        <is>
          <t>2007-04-17</t>
        </is>
      </c>
      <c r="W741" t="inlineStr">
        <is>
          <t>1997-03-04</t>
        </is>
      </c>
      <c r="X741" t="inlineStr">
        <is>
          <t>1997-03-04</t>
        </is>
      </c>
      <c r="Y741" t="n">
        <v>877</v>
      </c>
      <c r="Z741" t="n">
        <v>787</v>
      </c>
      <c r="AA741" t="n">
        <v>856</v>
      </c>
      <c r="AB741" t="n">
        <v>8</v>
      </c>
      <c r="AC741" t="n">
        <v>8</v>
      </c>
      <c r="AD741" t="n">
        <v>29</v>
      </c>
      <c r="AE741" t="n">
        <v>30</v>
      </c>
      <c r="AF741" t="n">
        <v>10</v>
      </c>
      <c r="AG741" t="n">
        <v>10</v>
      </c>
      <c r="AH741" t="n">
        <v>4</v>
      </c>
      <c r="AI741" t="n">
        <v>4</v>
      </c>
      <c r="AJ741" t="n">
        <v>15</v>
      </c>
      <c r="AK741" t="n">
        <v>16</v>
      </c>
      <c r="AL741" t="n">
        <v>6</v>
      </c>
      <c r="AM741" t="n">
        <v>6</v>
      </c>
      <c r="AN741" t="n">
        <v>0</v>
      </c>
      <c r="AO741" t="n">
        <v>0</v>
      </c>
      <c r="AP741" t="inlineStr">
        <is>
          <t>No</t>
        </is>
      </c>
      <c r="AQ741" t="inlineStr">
        <is>
          <t>Yes</t>
        </is>
      </c>
      <c r="AR741">
        <f>HYPERLINK("http://catalog.hathitrust.org/Record/004504704","HathiTrust Record")</f>
        <v/>
      </c>
      <c r="AS741">
        <f>HYPERLINK("https://creighton-primo.hosted.exlibrisgroup.com/primo-explore/search?tab=default_tab&amp;search_scope=EVERYTHING&amp;vid=01CRU&amp;lang=en_US&amp;offset=0&amp;query=any,contains,991003202039702656","Catalog Record")</f>
        <v/>
      </c>
      <c r="AT741">
        <f>HYPERLINK("http://www.worldcat.org/oclc/726882","WorldCat Record")</f>
        <v/>
      </c>
      <c r="AU741" t="inlineStr">
        <is>
          <t>10678397214:eng</t>
        </is>
      </c>
      <c r="AV741" t="inlineStr">
        <is>
          <t>726882</t>
        </is>
      </c>
      <c r="AW741" t="inlineStr">
        <is>
          <t>991003202039702656</t>
        </is>
      </c>
      <c r="AX741" t="inlineStr">
        <is>
          <t>991003202039702656</t>
        </is>
      </c>
      <c r="AY741" t="inlineStr">
        <is>
          <t>2264034370002656</t>
        </is>
      </c>
      <c r="AZ741" t="inlineStr">
        <is>
          <t>BOOK</t>
        </is>
      </c>
      <c r="BB741" t="inlineStr">
        <is>
          <t>9780810900431</t>
        </is>
      </c>
      <c r="BC741" t="inlineStr">
        <is>
          <t>32285002122249</t>
        </is>
      </c>
      <c r="BD741" t="inlineStr">
        <is>
          <t>893711130</t>
        </is>
      </c>
    </row>
    <row r="742">
      <c r="A742" t="inlineStr">
        <is>
          <t>No</t>
        </is>
      </c>
      <c r="B742" t="inlineStr">
        <is>
          <t>ND653.G7 A4 1998</t>
        </is>
      </c>
      <c r="C742" t="inlineStr">
        <is>
          <t>0                      ND 0653000G  7                  A  4           1998</t>
        </is>
      </c>
      <c r="D742" t="inlineStr">
        <is>
          <t>Van Gogh's van Goghs : masterpieces from the Van Gogh Museum, Amsterdam / Richard Kendall with contributions by John Leighton and Sjraar van Heugten.</t>
        </is>
      </c>
      <c r="F742" t="inlineStr">
        <is>
          <t>No</t>
        </is>
      </c>
      <c r="G742" t="inlineStr">
        <is>
          <t>1</t>
        </is>
      </c>
      <c r="H742" t="inlineStr">
        <is>
          <t>No</t>
        </is>
      </c>
      <c r="I742" t="inlineStr">
        <is>
          <t>No</t>
        </is>
      </c>
      <c r="J742" t="inlineStr">
        <is>
          <t>0</t>
        </is>
      </c>
      <c r="K742" t="inlineStr">
        <is>
          <t>Kendall, Richard.</t>
        </is>
      </c>
      <c r="L742" t="inlineStr">
        <is>
          <t>Washington : National Gallery of Art ; New York : Distributed by H.N. Abrams, c1998.</t>
        </is>
      </c>
      <c r="M742" t="inlineStr">
        <is>
          <t>1998</t>
        </is>
      </c>
      <c r="O742" t="inlineStr">
        <is>
          <t>eng</t>
        </is>
      </c>
      <c r="P742" t="inlineStr">
        <is>
          <t>dcu</t>
        </is>
      </c>
      <c r="R742" t="inlineStr">
        <is>
          <t xml:space="preserve">ND </t>
        </is>
      </c>
      <c r="S742" t="n">
        <v>17</v>
      </c>
      <c r="T742" t="n">
        <v>17</v>
      </c>
      <c r="U742" t="inlineStr">
        <is>
          <t>2004-09-22</t>
        </is>
      </c>
      <c r="V742" t="inlineStr">
        <is>
          <t>2004-09-22</t>
        </is>
      </c>
      <c r="W742" t="inlineStr">
        <is>
          <t>1998-11-23</t>
        </is>
      </c>
      <c r="X742" t="inlineStr">
        <is>
          <t>1998-11-23</t>
        </is>
      </c>
      <c r="Y742" t="n">
        <v>1461</v>
      </c>
      <c r="Z742" t="n">
        <v>1349</v>
      </c>
      <c r="AA742" t="n">
        <v>1353</v>
      </c>
      <c r="AB742" t="n">
        <v>12</v>
      </c>
      <c r="AC742" t="n">
        <v>12</v>
      </c>
      <c r="AD742" t="n">
        <v>40</v>
      </c>
      <c r="AE742" t="n">
        <v>40</v>
      </c>
      <c r="AF742" t="n">
        <v>14</v>
      </c>
      <c r="AG742" t="n">
        <v>14</v>
      </c>
      <c r="AH742" t="n">
        <v>8</v>
      </c>
      <c r="AI742" t="n">
        <v>8</v>
      </c>
      <c r="AJ742" t="n">
        <v>18</v>
      </c>
      <c r="AK742" t="n">
        <v>18</v>
      </c>
      <c r="AL742" t="n">
        <v>10</v>
      </c>
      <c r="AM742" t="n">
        <v>10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HYPERLINK("https://creighton-primo.hosted.exlibrisgroup.com/primo-explore/search?tab=default_tab&amp;search_scope=EVERYTHING&amp;vid=01CRU&amp;lang=en_US&amp;offset=0&amp;query=any,contains,991002950719702656","Catalog Record")</f>
        <v/>
      </c>
      <c r="AT742">
        <f>HYPERLINK("http://www.worldcat.org/oclc/39322561","WorldCat Record")</f>
        <v/>
      </c>
      <c r="AU742" t="inlineStr">
        <is>
          <t>963012694:eng</t>
        </is>
      </c>
      <c r="AV742" t="inlineStr">
        <is>
          <t>39322561</t>
        </is>
      </c>
      <c r="AW742" t="inlineStr">
        <is>
          <t>991002950719702656</t>
        </is>
      </c>
      <c r="AX742" t="inlineStr">
        <is>
          <t>991002950719702656</t>
        </is>
      </c>
      <c r="AY742" t="inlineStr">
        <is>
          <t>2265718830002656</t>
        </is>
      </c>
      <c r="AZ742" t="inlineStr">
        <is>
          <t>BOOK</t>
        </is>
      </c>
      <c r="BB742" t="inlineStr">
        <is>
          <t>9780810963665</t>
        </is>
      </c>
      <c r="BC742" t="inlineStr">
        <is>
          <t>32285003491155</t>
        </is>
      </c>
      <c r="BD742" t="inlineStr">
        <is>
          <t>893774216</t>
        </is>
      </c>
    </row>
    <row r="743">
      <c r="A743" t="inlineStr">
        <is>
          <t>No</t>
        </is>
      </c>
      <c r="B743" t="inlineStr">
        <is>
          <t>ND653.G7 A4 2002</t>
        </is>
      </c>
      <c r="C743" t="inlineStr">
        <is>
          <t>0                      ND 0653000G  7                  A  4           2002</t>
        </is>
      </c>
      <c r="D743" t="inlineStr">
        <is>
          <t>The portable Van Gogh / with an essay by Robert Hughes.</t>
        </is>
      </c>
      <c r="F743" t="inlineStr">
        <is>
          <t>No</t>
        </is>
      </c>
      <c r="G743" t="inlineStr">
        <is>
          <t>1</t>
        </is>
      </c>
      <c r="H743" t="inlineStr">
        <is>
          <t>No</t>
        </is>
      </c>
      <c r="I743" t="inlineStr">
        <is>
          <t>No</t>
        </is>
      </c>
      <c r="J743" t="inlineStr">
        <is>
          <t>0</t>
        </is>
      </c>
      <c r="L743" t="inlineStr">
        <is>
          <t>New York : Universe, 2002.</t>
        </is>
      </c>
      <c r="M743" t="inlineStr">
        <is>
          <t>2002</t>
        </is>
      </c>
      <c r="O743" t="inlineStr">
        <is>
          <t>eng</t>
        </is>
      </c>
      <c r="P743" t="inlineStr">
        <is>
          <t>nyu</t>
        </is>
      </c>
      <c r="R743" t="inlineStr">
        <is>
          <t xml:space="preserve">ND </t>
        </is>
      </c>
      <c r="S743" t="n">
        <v>7</v>
      </c>
      <c r="T743" t="n">
        <v>7</v>
      </c>
      <c r="U743" t="inlineStr">
        <is>
          <t>2005-10-30</t>
        </is>
      </c>
      <c r="V743" t="inlineStr">
        <is>
          <t>2005-10-30</t>
        </is>
      </c>
      <c r="W743" t="inlineStr">
        <is>
          <t>2002-12-09</t>
        </is>
      </c>
      <c r="X743" t="inlineStr">
        <is>
          <t>2002-12-09</t>
        </is>
      </c>
      <c r="Y743" t="n">
        <v>236</v>
      </c>
      <c r="Z743" t="n">
        <v>196</v>
      </c>
      <c r="AA743" t="n">
        <v>197</v>
      </c>
      <c r="AB743" t="n">
        <v>3</v>
      </c>
      <c r="AC743" t="n">
        <v>3</v>
      </c>
      <c r="AD743" t="n">
        <v>8</v>
      </c>
      <c r="AE743" t="n">
        <v>8</v>
      </c>
      <c r="AF743" t="n">
        <v>2</v>
      </c>
      <c r="AG743" t="n">
        <v>2</v>
      </c>
      <c r="AH743" t="n">
        <v>2</v>
      </c>
      <c r="AI743" t="n">
        <v>2</v>
      </c>
      <c r="AJ743" t="n">
        <v>3</v>
      </c>
      <c r="AK743" t="n">
        <v>3</v>
      </c>
      <c r="AL743" t="n">
        <v>2</v>
      </c>
      <c r="AM743" t="n">
        <v>2</v>
      </c>
      <c r="AN743" t="n">
        <v>0</v>
      </c>
      <c r="AO743" t="n">
        <v>0</v>
      </c>
      <c r="AP743" t="inlineStr">
        <is>
          <t>No</t>
        </is>
      </c>
      <c r="AQ743" t="inlineStr">
        <is>
          <t>Yes</t>
        </is>
      </c>
      <c r="AR743">
        <f>HYPERLINK("http://catalog.hathitrust.org/Record/004287440","HathiTrust Record")</f>
        <v/>
      </c>
      <c r="AS743">
        <f>HYPERLINK("https://creighton-primo.hosted.exlibrisgroup.com/primo-explore/search?tab=default_tab&amp;search_scope=EVERYTHING&amp;vid=01CRU&amp;lang=en_US&amp;offset=0&amp;query=any,contains,991003943449702656","Catalog Record")</f>
        <v/>
      </c>
      <c r="AT743">
        <f>HYPERLINK("http://www.worldcat.org/oclc/50527319","WorldCat Record")</f>
        <v/>
      </c>
      <c r="AU743" t="inlineStr">
        <is>
          <t>3943711360:eng</t>
        </is>
      </c>
      <c r="AV743" t="inlineStr">
        <is>
          <t>50527319</t>
        </is>
      </c>
      <c r="AW743" t="inlineStr">
        <is>
          <t>991003943449702656</t>
        </is>
      </c>
      <c r="AX743" t="inlineStr">
        <is>
          <t>991003943449702656</t>
        </is>
      </c>
      <c r="AY743" t="inlineStr">
        <is>
          <t>2265319750002656</t>
        </is>
      </c>
      <c r="AZ743" t="inlineStr">
        <is>
          <t>BOOK</t>
        </is>
      </c>
      <c r="BB743" t="inlineStr">
        <is>
          <t>9780789308030</t>
        </is>
      </c>
      <c r="BC743" t="inlineStr">
        <is>
          <t>32285004669106</t>
        </is>
      </c>
      <c r="BD743" t="inlineStr">
        <is>
          <t>893881866</t>
        </is>
      </c>
    </row>
    <row r="744">
      <c r="A744" t="inlineStr">
        <is>
          <t>No</t>
        </is>
      </c>
      <c r="B744" t="inlineStr">
        <is>
          <t>ND653.G7 D76 2001</t>
        </is>
      </c>
      <c r="C744" t="inlineStr">
        <is>
          <t>0                      ND 0653000G  7                  D  76          2001</t>
        </is>
      </c>
      <c r="D744" t="inlineStr">
        <is>
          <t>Van Gogh and Gauguin : the studio of the south / Douglas W. Druick and Peter Kort Zegers in collaboration with Britt Salvesen ; with contributions to the text by Kristin Hoermann Lister and the assistance of Mary C. Weaver.</t>
        </is>
      </c>
      <c r="F744" t="inlineStr">
        <is>
          <t>No</t>
        </is>
      </c>
      <c r="G744" t="inlineStr">
        <is>
          <t>1</t>
        </is>
      </c>
      <c r="H744" t="inlineStr">
        <is>
          <t>No</t>
        </is>
      </c>
      <c r="I744" t="inlineStr">
        <is>
          <t>No</t>
        </is>
      </c>
      <c r="J744" t="inlineStr">
        <is>
          <t>0</t>
        </is>
      </c>
      <c r="K744" t="inlineStr">
        <is>
          <t>Druick, Douglas W.</t>
        </is>
      </c>
      <c r="L744" t="inlineStr">
        <is>
          <t>Chicago : Art Institute of Chicago ; Amsterdam : Van Gogh Museum ; New York : Thames &amp; Hudson, 2001.</t>
        </is>
      </c>
      <c r="M744" t="inlineStr">
        <is>
          <t>2001</t>
        </is>
      </c>
      <c r="O744" t="inlineStr">
        <is>
          <t>eng</t>
        </is>
      </c>
      <c r="P744" t="inlineStr">
        <is>
          <t>ilu</t>
        </is>
      </c>
      <c r="R744" t="inlineStr">
        <is>
          <t xml:space="preserve">ND </t>
        </is>
      </c>
      <c r="S744" t="n">
        <v>4</v>
      </c>
      <c r="T744" t="n">
        <v>4</v>
      </c>
      <c r="U744" t="inlineStr">
        <is>
          <t>2002-04-14</t>
        </is>
      </c>
      <c r="V744" t="inlineStr">
        <is>
          <t>2002-04-14</t>
        </is>
      </c>
      <c r="W744" t="inlineStr">
        <is>
          <t>2001-10-23</t>
        </is>
      </c>
      <c r="X744" t="inlineStr">
        <is>
          <t>2001-10-23</t>
        </is>
      </c>
      <c r="Y744" t="n">
        <v>1295</v>
      </c>
      <c r="Z744" t="n">
        <v>1156</v>
      </c>
      <c r="AA744" t="n">
        <v>1176</v>
      </c>
      <c r="AB744" t="n">
        <v>7</v>
      </c>
      <c r="AC744" t="n">
        <v>7</v>
      </c>
      <c r="AD744" t="n">
        <v>36</v>
      </c>
      <c r="AE744" t="n">
        <v>36</v>
      </c>
      <c r="AF744" t="n">
        <v>17</v>
      </c>
      <c r="AG744" t="n">
        <v>17</v>
      </c>
      <c r="AH744" t="n">
        <v>7</v>
      </c>
      <c r="AI744" t="n">
        <v>7</v>
      </c>
      <c r="AJ744" t="n">
        <v>20</v>
      </c>
      <c r="AK744" t="n">
        <v>20</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HYPERLINK("https://creighton-primo.hosted.exlibrisgroup.com/primo-explore/search?tab=default_tab&amp;search_scope=EVERYTHING&amp;vid=01CRU&amp;lang=en_US&amp;offset=0&amp;query=any,contains,991003642329702656","Catalog Record")</f>
        <v/>
      </c>
      <c r="AT744">
        <f>HYPERLINK("http://www.worldcat.org/oclc/47168698","WorldCat Record")</f>
        <v/>
      </c>
      <c r="AU744" t="inlineStr">
        <is>
          <t>196096701:eng</t>
        </is>
      </c>
      <c r="AV744" t="inlineStr">
        <is>
          <t>47168698</t>
        </is>
      </c>
      <c r="AW744" t="inlineStr">
        <is>
          <t>991003642329702656</t>
        </is>
      </c>
      <c r="AX744" t="inlineStr">
        <is>
          <t>991003642329702656</t>
        </is>
      </c>
      <c r="AY744" t="inlineStr">
        <is>
          <t>2262410900002656</t>
        </is>
      </c>
      <c r="AZ744" t="inlineStr">
        <is>
          <t>BOOK</t>
        </is>
      </c>
      <c r="BB744" t="inlineStr">
        <is>
          <t>9780500510544</t>
        </is>
      </c>
      <c r="BC744" t="inlineStr">
        <is>
          <t>32285004399100</t>
        </is>
      </c>
      <c r="BD744" t="inlineStr">
        <is>
          <t>893868661</t>
        </is>
      </c>
    </row>
    <row r="745">
      <c r="A745" t="inlineStr">
        <is>
          <t>No</t>
        </is>
      </c>
      <c r="B745" t="inlineStr">
        <is>
          <t>ND653.G7 E73 1963</t>
        </is>
      </c>
      <c r="C745" t="inlineStr">
        <is>
          <t>0                      ND 0653000G  7                  E  73          1963</t>
        </is>
      </c>
      <c r="D745" t="inlineStr">
        <is>
          <t>Van Gogh : the self-portraits / with a pref. by H. Gerson. [Translation by Doris Edwards]</t>
        </is>
      </c>
      <c r="F745" t="inlineStr">
        <is>
          <t>No</t>
        </is>
      </c>
      <c r="G745" t="inlineStr">
        <is>
          <t>1</t>
        </is>
      </c>
      <c r="H745" t="inlineStr">
        <is>
          <t>No</t>
        </is>
      </c>
      <c r="I745" t="inlineStr">
        <is>
          <t>No</t>
        </is>
      </c>
      <c r="J745" t="inlineStr">
        <is>
          <t>0</t>
        </is>
      </c>
      <c r="K745" t="inlineStr">
        <is>
          <t>Erpel, Fritz.</t>
        </is>
      </c>
      <c r="L745" t="inlineStr">
        <is>
          <t>Greenwich, Conn. : New York Graphic Society, [1963]</t>
        </is>
      </c>
      <c r="M745" t="inlineStr">
        <is>
          <t>1963</t>
        </is>
      </c>
      <c r="O745" t="inlineStr">
        <is>
          <t>eng</t>
        </is>
      </c>
      <c r="P745" t="inlineStr">
        <is>
          <t>ctu</t>
        </is>
      </c>
      <c r="R745" t="inlineStr">
        <is>
          <t xml:space="preserve">ND </t>
        </is>
      </c>
      <c r="S745" t="n">
        <v>12</v>
      </c>
      <c r="T745" t="n">
        <v>12</v>
      </c>
      <c r="U745" t="inlineStr">
        <is>
          <t>2004-11-01</t>
        </is>
      </c>
      <c r="V745" t="inlineStr">
        <is>
          <t>2004-11-01</t>
        </is>
      </c>
      <c r="W745" t="inlineStr">
        <is>
          <t>1993-07-09</t>
        </is>
      </c>
      <c r="X745" t="inlineStr">
        <is>
          <t>1993-07-09</t>
        </is>
      </c>
      <c r="Y745" t="n">
        <v>6</v>
      </c>
      <c r="Z745" t="n">
        <v>5</v>
      </c>
      <c r="AA745" t="n">
        <v>324</v>
      </c>
      <c r="AB745" t="n">
        <v>1</v>
      </c>
      <c r="AC745" t="n">
        <v>4</v>
      </c>
      <c r="AD745" t="n">
        <v>0</v>
      </c>
      <c r="AE745" t="n">
        <v>9</v>
      </c>
      <c r="AF745" t="n">
        <v>0</v>
      </c>
      <c r="AG745" t="n">
        <v>2</v>
      </c>
      <c r="AH745" t="n">
        <v>0</v>
      </c>
      <c r="AI745" t="n">
        <v>2</v>
      </c>
      <c r="AJ745" t="n">
        <v>0</v>
      </c>
      <c r="AK745" t="n">
        <v>3</v>
      </c>
      <c r="AL745" t="n">
        <v>0</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HYPERLINK("https://creighton-primo.hosted.exlibrisgroup.com/primo-explore/search?tab=default_tab&amp;search_scope=EVERYTHING&amp;vid=01CRU&amp;lang=en_US&amp;offset=0&amp;query=any,contains,991002181959702656","Catalog Record")</f>
        <v/>
      </c>
      <c r="AT745">
        <f>HYPERLINK("http://www.worldcat.org/oclc/28100258","WorldCat Record")</f>
        <v/>
      </c>
      <c r="AU745" t="inlineStr">
        <is>
          <t>5218233078:eng</t>
        </is>
      </c>
      <c r="AV745" t="inlineStr">
        <is>
          <t>28100258</t>
        </is>
      </c>
      <c r="AW745" t="inlineStr">
        <is>
          <t>991002181959702656</t>
        </is>
      </c>
      <c r="AX745" t="inlineStr">
        <is>
          <t>991002181959702656</t>
        </is>
      </c>
      <c r="AY745" t="inlineStr">
        <is>
          <t>2263355620002656</t>
        </is>
      </c>
      <c r="AZ745" t="inlineStr">
        <is>
          <t>BOOK</t>
        </is>
      </c>
      <c r="BC745" t="inlineStr">
        <is>
          <t>32285001721892</t>
        </is>
      </c>
      <c r="BD745" t="inlineStr">
        <is>
          <t>893898458</t>
        </is>
      </c>
    </row>
    <row r="746">
      <c r="A746" t="inlineStr">
        <is>
          <t>No</t>
        </is>
      </c>
      <c r="B746" t="inlineStr">
        <is>
          <t>ND653.G7 H79413 1990</t>
        </is>
      </c>
      <c r="C746" t="inlineStr">
        <is>
          <t>0                      ND 0653000G  7                  H  79413       1990</t>
        </is>
      </c>
      <c r="D746" t="inlineStr">
        <is>
          <t>Vincent and Theo van Gogh : a dual biography / Jan Hulsker ; James M. Miller, editor.</t>
        </is>
      </c>
      <c r="F746" t="inlineStr">
        <is>
          <t>No</t>
        </is>
      </c>
      <c r="G746" t="inlineStr">
        <is>
          <t>1</t>
        </is>
      </c>
      <c r="H746" t="inlineStr">
        <is>
          <t>No</t>
        </is>
      </c>
      <c r="I746" t="inlineStr">
        <is>
          <t>No</t>
        </is>
      </c>
      <c r="J746" t="inlineStr">
        <is>
          <t>0</t>
        </is>
      </c>
      <c r="K746" t="inlineStr">
        <is>
          <t>Hulsker, Jan.</t>
        </is>
      </c>
      <c r="L746" t="inlineStr">
        <is>
          <t>Ann Arbor : Fuller Publications, c1990.</t>
        </is>
      </c>
      <c r="M746" t="inlineStr">
        <is>
          <t>1990</t>
        </is>
      </c>
      <c r="O746" t="inlineStr">
        <is>
          <t>eng</t>
        </is>
      </c>
      <c r="P746" t="inlineStr">
        <is>
          <t>miu</t>
        </is>
      </c>
      <c r="R746" t="inlineStr">
        <is>
          <t xml:space="preserve">ND </t>
        </is>
      </c>
      <c r="S746" t="n">
        <v>10</v>
      </c>
      <c r="T746" t="n">
        <v>10</v>
      </c>
      <c r="U746" t="inlineStr">
        <is>
          <t>1999-02-16</t>
        </is>
      </c>
      <c r="V746" t="inlineStr">
        <is>
          <t>1999-02-16</t>
        </is>
      </c>
      <c r="W746" t="inlineStr">
        <is>
          <t>1990-10-13</t>
        </is>
      </c>
      <c r="X746" t="inlineStr">
        <is>
          <t>1990-10-13</t>
        </is>
      </c>
      <c r="Y746" t="n">
        <v>1156</v>
      </c>
      <c r="Z746" t="n">
        <v>1098</v>
      </c>
      <c r="AA746" t="n">
        <v>1099</v>
      </c>
      <c r="AB746" t="n">
        <v>7</v>
      </c>
      <c r="AC746" t="n">
        <v>7</v>
      </c>
      <c r="AD746" t="n">
        <v>24</v>
      </c>
      <c r="AE746" t="n">
        <v>24</v>
      </c>
      <c r="AF746" t="n">
        <v>10</v>
      </c>
      <c r="AG746" t="n">
        <v>10</v>
      </c>
      <c r="AH746" t="n">
        <v>5</v>
      </c>
      <c r="AI746" t="n">
        <v>5</v>
      </c>
      <c r="AJ746" t="n">
        <v>11</v>
      </c>
      <c r="AK746" t="n">
        <v>11</v>
      </c>
      <c r="AL746" t="n">
        <v>3</v>
      </c>
      <c r="AM746" t="n">
        <v>3</v>
      </c>
      <c r="AN746" t="n">
        <v>0</v>
      </c>
      <c r="AO746" t="n">
        <v>0</v>
      </c>
      <c r="AP746" t="inlineStr">
        <is>
          <t>No</t>
        </is>
      </c>
      <c r="AQ746" t="inlineStr">
        <is>
          <t>Yes</t>
        </is>
      </c>
      <c r="AR746">
        <f>HYPERLINK("http://catalog.hathitrust.org/Record/002172518","HathiTrust Record")</f>
        <v/>
      </c>
      <c r="AS746">
        <f>HYPERLINK("https://creighton-primo.hosted.exlibrisgroup.com/primo-explore/search?tab=default_tab&amp;search_scope=EVERYTHING&amp;vid=01CRU&amp;lang=en_US&amp;offset=0&amp;query=any,contains,991001593509702656","Catalog Record")</f>
        <v/>
      </c>
      <c r="AT746">
        <f>HYPERLINK("http://www.worldcat.org/oclc/20594983","WorldCat Record")</f>
        <v/>
      </c>
      <c r="AU746" t="inlineStr">
        <is>
          <t>22733593:eng</t>
        </is>
      </c>
      <c r="AV746" t="inlineStr">
        <is>
          <t>20594983</t>
        </is>
      </c>
      <c r="AW746" t="inlineStr">
        <is>
          <t>991001593509702656</t>
        </is>
      </c>
      <c r="AX746" t="inlineStr">
        <is>
          <t>991001593509702656</t>
        </is>
      </c>
      <c r="AY746" t="inlineStr">
        <is>
          <t>2270000650002656</t>
        </is>
      </c>
      <c r="AZ746" t="inlineStr">
        <is>
          <t>BOOK</t>
        </is>
      </c>
      <c r="BB746" t="inlineStr">
        <is>
          <t>9780940537057</t>
        </is>
      </c>
      <c r="BC746" t="inlineStr">
        <is>
          <t>32285000310572</t>
        </is>
      </c>
      <c r="BD746" t="inlineStr">
        <is>
          <t>893891664</t>
        </is>
      </c>
    </row>
    <row r="747">
      <c r="A747" t="inlineStr">
        <is>
          <t>No</t>
        </is>
      </c>
      <c r="B747" t="inlineStr">
        <is>
          <t>ND653.G7 N4</t>
        </is>
      </c>
      <c r="C747" t="inlineStr">
        <is>
          <t>0                      ND 0653000G  7                  N  4</t>
        </is>
      </c>
      <c r="D747" t="inlineStr">
        <is>
          <t>Vincent van Gogh / with an introduction and notes selected from the letters of the artist, edited by Alfred H. Barr, jr.</t>
        </is>
      </c>
      <c r="F747" t="inlineStr">
        <is>
          <t>No</t>
        </is>
      </c>
      <c r="G747" t="inlineStr">
        <is>
          <t>1</t>
        </is>
      </c>
      <c r="H747" t="inlineStr">
        <is>
          <t>No</t>
        </is>
      </c>
      <c r="I747" t="inlineStr">
        <is>
          <t>No</t>
        </is>
      </c>
      <c r="J747" t="inlineStr">
        <is>
          <t>0</t>
        </is>
      </c>
      <c r="K747" t="inlineStr">
        <is>
          <t>Museum of Modern Art (New York, N.Y.)</t>
        </is>
      </c>
      <c r="L747" t="inlineStr">
        <is>
          <t>New York : The Museum of modern art, [1936]</t>
        </is>
      </c>
      <c r="M747" t="inlineStr">
        <is>
          <t>1936</t>
        </is>
      </c>
      <c r="O747" t="inlineStr">
        <is>
          <t>eng</t>
        </is>
      </c>
      <c r="P747" t="inlineStr">
        <is>
          <t>nyu</t>
        </is>
      </c>
      <c r="R747" t="inlineStr">
        <is>
          <t xml:space="preserve">ND </t>
        </is>
      </c>
      <c r="S747" t="n">
        <v>3</v>
      </c>
      <c r="T747" t="n">
        <v>3</v>
      </c>
      <c r="U747" t="inlineStr">
        <is>
          <t>2004-11-01</t>
        </is>
      </c>
      <c r="V747" t="inlineStr">
        <is>
          <t>2004-11-01</t>
        </is>
      </c>
      <c r="W747" t="inlineStr">
        <is>
          <t>1994-04-05</t>
        </is>
      </c>
      <c r="X747" t="inlineStr">
        <is>
          <t>1994-04-05</t>
        </is>
      </c>
      <c r="Y747" t="n">
        <v>97</v>
      </c>
      <c r="Z747" t="n">
        <v>91</v>
      </c>
      <c r="AA747" t="n">
        <v>355</v>
      </c>
      <c r="AB747" t="n">
        <v>3</v>
      </c>
      <c r="AC747" t="n">
        <v>3</v>
      </c>
      <c r="AD747" t="n">
        <v>3</v>
      </c>
      <c r="AE747" t="n">
        <v>8</v>
      </c>
      <c r="AF747" t="n">
        <v>1</v>
      </c>
      <c r="AG747" t="n">
        <v>2</v>
      </c>
      <c r="AH747" t="n">
        <v>0</v>
      </c>
      <c r="AI747" t="n">
        <v>3</v>
      </c>
      <c r="AJ747" t="n">
        <v>1</v>
      </c>
      <c r="AK747" t="n">
        <v>3</v>
      </c>
      <c r="AL747" t="n">
        <v>2</v>
      </c>
      <c r="AM747" t="n">
        <v>2</v>
      </c>
      <c r="AN747" t="n">
        <v>0</v>
      </c>
      <c r="AO747" t="n">
        <v>0</v>
      </c>
      <c r="AP747" t="inlineStr">
        <is>
          <t>No</t>
        </is>
      </c>
      <c r="AQ747" t="inlineStr">
        <is>
          <t>No</t>
        </is>
      </c>
      <c r="AR747">
        <f>HYPERLINK("http://catalog.hathitrust.org/Record/000573750","HathiTrust Record")</f>
        <v/>
      </c>
      <c r="AS747">
        <f>HYPERLINK("https://creighton-primo.hosted.exlibrisgroup.com/primo-explore/search?tab=default_tab&amp;search_scope=EVERYTHING&amp;vid=01CRU&amp;lang=en_US&amp;offset=0&amp;query=any,contains,991004256809702656","Catalog Record")</f>
        <v/>
      </c>
      <c r="AT747">
        <f>HYPERLINK("http://www.worldcat.org/oclc/2828220","WorldCat Record")</f>
        <v/>
      </c>
      <c r="AU747" t="inlineStr">
        <is>
          <t>1918393320:eng</t>
        </is>
      </c>
      <c r="AV747" t="inlineStr">
        <is>
          <t>2828220</t>
        </is>
      </c>
      <c r="AW747" t="inlineStr">
        <is>
          <t>991004256809702656</t>
        </is>
      </c>
      <c r="AX747" t="inlineStr">
        <is>
          <t>991004256809702656</t>
        </is>
      </c>
      <c r="AY747" t="inlineStr">
        <is>
          <t>2257430200002656</t>
        </is>
      </c>
      <c r="AZ747" t="inlineStr">
        <is>
          <t>BOOK</t>
        </is>
      </c>
      <c r="BC747" t="inlineStr">
        <is>
          <t>32285001873693</t>
        </is>
      </c>
      <c r="BD747" t="inlineStr">
        <is>
          <t>893506634</t>
        </is>
      </c>
    </row>
    <row r="748">
      <c r="A748" t="inlineStr">
        <is>
          <t>No</t>
        </is>
      </c>
      <c r="B748" t="inlineStr">
        <is>
          <t>ND653.G7 N614 1953a</t>
        </is>
      </c>
      <c r="C748" t="inlineStr">
        <is>
          <t>0                      ND 0653000G  7                  N  614         1953a</t>
        </is>
      </c>
      <c r="D748" t="inlineStr">
        <is>
          <t>The life and work of van Gogh.</t>
        </is>
      </c>
      <c r="F748" t="inlineStr">
        <is>
          <t>No</t>
        </is>
      </c>
      <c r="G748" t="inlineStr">
        <is>
          <t>1</t>
        </is>
      </c>
      <c r="H748" t="inlineStr">
        <is>
          <t>No</t>
        </is>
      </c>
      <c r="I748" t="inlineStr">
        <is>
          <t>No</t>
        </is>
      </c>
      <c r="J748" t="inlineStr">
        <is>
          <t>0</t>
        </is>
      </c>
      <c r="K748" t="inlineStr">
        <is>
          <t>Nordenfalk, Carl Adam Johan, 1907-1992.</t>
        </is>
      </c>
      <c r="L748" t="inlineStr">
        <is>
          <t>New York : Philosophical Library, [1953]</t>
        </is>
      </c>
      <c r="M748" t="inlineStr">
        <is>
          <t>1953</t>
        </is>
      </c>
      <c r="O748" t="inlineStr">
        <is>
          <t>eng</t>
        </is>
      </c>
      <c r="P748" t="inlineStr">
        <is>
          <t>nyu</t>
        </is>
      </c>
      <c r="R748" t="inlineStr">
        <is>
          <t xml:space="preserve">ND </t>
        </is>
      </c>
      <c r="S748" t="n">
        <v>2</v>
      </c>
      <c r="T748" t="n">
        <v>2</v>
      </c>
      <c r="U748" t="inlineStr">
        <is>
          <t>1994-01-26</t>
        </is>
      </c>
      <c r="V748" t="inlineStr">
        <is>
          <t>1994-01-26</t>
        </is>
      </c>
      <c r="W748" t="inlineStr">
        <is>
          <t>1993-12-13</t>
        </is>
      </c>
      <c r="X748" t="inlineStr">
        <is>
          <t>1993-12-13</t>
        </is>
      </c>
      <c r="Y748" t="n">
        <v>236</v>
      </c>
      <c r="Z748" t="n">
        <v>219</v>
      </c>
      <c r="AA748" t="n">
        <v>272</v>
      </c>
      <c r="AB748" t="n">
        <v>3</v>
      </c>
      <c r="AC748" t="n">
        <v>3</v>
      </c>
      <c r="AD748" t="n">
        <v>8</v>
      </c>
      <c r="AE748" t="n">
        <v>11</v>
      </c>
      <c r="AF748" t="n">
        <v>3</v>
      </c>
      <c r="AG748" t="n">
        <v>3</v>
      </c>
      <c r="AH748" t="n">
        <v>3</v>
      </c>
      <c r="AI748" t="n">
        <v>5</v>
      </c>
      <c r="AJ748" t="n">
        <v>3</v>
      </c>
      <c r="AK748" t="n">
        <v>4</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HYPERLINK("https://creighton-primo.hosted.exlibrisgroup.com/primo-explore/search?tab=default_tab&amp;search_scope=EVERYTHING&amp;vid=01CRU&amp;lang=en_US&amp;offset=0&amp;query=any,contains,991003575099702656","Catalog Record")</f>
        <v/>
      </c>
      <c r="AT748">
        <f>HYPERLINK("http://www.worldcat.org/oclc/1152366","WorldCat Record")</f>
        <v/>
      </c>
      <c r="AU748" t="inlineStr">
        <is>
          <t>158581734:eng</t>
        </is>
      </c>
      <c r="AV748" t="inlineStr">
        <is>
          <t>1152366</t>
        </is>
      </c>
      <c r="AW748" t="inlineStr">
        <is>
          <t>991003575099702656</t>
        </is>
      </c>
      <c r="AX748" t="inlineStr">
        <is>
          <t>991003575099702656</t>
        </is>
      </c>
      <c r="AY748" t="inlineStr">
        <is>
          <t>2267688090002656</t>
        </is>
      </c>
      <c r="AZ748" t="inlineStr">
        <is>
          <t>BOOK</t>
        </is>
      </c>
      <c r="BC748" t="inlineStr">
        <is>
          <t>32285001807907</t>
        </is>
      </c>
      <c r="BD748" t="inlineStr">
        <is>
          <t>893228174</t>
        </is>
      </c>
    </row>
    <row r="749">
      <c r="A749" t="inlineStr">
        <is>
          <t>No</t>
        </is>
      </c>
      <c r="B749" t="inlineStr">
        <is>
          <t>ND653.G7 S447 2000</t>
        </is>
      </c>
      <c r="C749" t="inlineStr">
        <is>
          <t>0                      ND 0653000G  7                  S  447         2000</t>
        </is>
      </c>
      <c r="D749" t="inlineStr">
        <is>
          <t>Van Gogh and Gauguin : the search for sacred art / Debora Silverman.</t>
        </is>
      </c>
      <c r="F749" t="inlineStr">
        <is>
          <t>No</t>
        </is>
      </c>
      <c r="G749" t="inlineStr">
        <is>
          <t>1</t>
        </is>
      </c>
      <c r="H749" t="inlineStr">
        <is>
          <t>No</t>
        </is>
      </c>
      <c r="I749" t="inlineStr">
        <is>
          <t>No</t>
        </is>
      </c>
      <c r="J749" t="inlineStr">
        <is>
          <t>0</t>
        </is>
      </c>
      <c r="K749" t="inlineStr">
        <is>
          <t>Silverman, Debora, 1954-</t>
        </is>
      </c>
      <c r="L749" t="inlineStr">
        <is>
          <t>New York : Farrar, Straus and Giroux, 2000.</t>
        </is>
      </c>
      <c r="M749" t="inlineStr">
        <is>
          <t>2000</t>
        </is>
      </c>
      <c r="N749" t="inlineStr">
        <is>
          <t>1st ed.</t>
        </is>
      </c>
      <c r="O749" t="inlineStr">
        <is>
          <t>eng</t>
        </is>
      </c>
      <c r="P749" t="inlineStr">
        <is>
          <t>nyu</t>
        </is>
      </c>
      <c r="R749" t="inlineStr">
        <is>
          <t xml:space="preserve">ND </t>
        </is>
      </c>
      <c r="S749" t="n">
        <v>5</v>
      </c>
      <c r="T749" t="n">
        <v>5</v>
      </c>
      <c r="U749" t="inlineStr">
        <is>
          <t>2004-04-15</t>
        </is>
      </c>
      <c r="V749" t="inlineStr">
        <is>
          <t>2004-04-15</t>
        </is>
      </c>
      <c r="W749" t="inlineStr">
        <is>
          <t>2001-02-01</t>
        </is>
      </c>
      <c r="X749" t="inlineStr">
        <is>
          <t>2001-02-01</t>
        </is>
      </c>
      <c r="Y749" t="n">
        <v>1054</v>
      </c>
      <c r="Z749" t="n">
        <v>948</v>
      </c>
      <c r="AA749" t="n">
        <v>965</v>
      </c>
      <c r="AB749" t="n">
        <v>7</v>
      </c>
      <c r="AC749" t="n">
        <v>7</v>
      </c>
      <c r="AD749" t="n">
        <v>32</v>
      </c>
      <c r="AE749" t="n">
        <v>33</v>
      </c>
      <c r="AF749" t="n">
        <v>15</v>
      </c>
      <c r="AG749" t="n">
        <v>15</v>
      </c>
      <c r="AH749" t="n">
        <v>7</v>
      </c>
      <c r="AI749" t="n">
        <v>7</v>
      </c>
      <c r="AJ749" t="n">
        <v>12</v>
      </c>
      <c r="AK749" t="n">
        <v>13</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HYPERLINK("https://creighton-primo.hosted.exlibrisgroup.com/primo-explore/search?tab=default_tab&amp;search_scope=EVERYTHING&amp;vid=01CRU&amp;lang=en_US&amp;offset=0&amp;query=any,contains,991003473209702656","Catalog Record")</f>
        <v/>
      </c>
      <c r="AT749">
        <f>HYPERLINK("http://www.worldcat.org/oclc/43884779","WorldCat Record")</f>
        <v/>
      </c>
      <c r="AU749" t="inlineStr">
        <is>
          <t>197030279:eng</t>
        </is>
      </c>
      <c r="AV749" t="inlineStr">
        <is>
          <t>43884779</t>
        </is>
      </c>
      <c r="AW749" t="inlineStr">
        <is>
          <t>991003473209702656</t>
        </is>
      </c>
      <c r="AX749" t="inlineStr">
        <is>
          <t>991003473209702656</t>
        </is>
      </c>
      <c r="AY749" t="inlineStr">
        <is>
          <t>2256921370002656</t>
        </is>
      </c>
      <c r="AZ749" t="inlineStr">
        <is>
          <t>BOOK</t>
        </is>
      </c>
      <c r="BB749" t="inlineStr">
        <is>
          <t>9780374282431</t>
        </is>
      </c>
      <c r="BC749" t="inlineStr">
        <is>
          <t>32285004293360</t>
        </is>
      </c>
      <c r="BD749" t="inlineStr">
        <is>
          <t>893318008</t>
        </is>
      </c>
    </row>
    <row r="750">
      <c r="A750" t="inlineStr">
        <is>
          <t>No</t>
        </is>
      </c>
      <c r="B750" t="inlineStr">
        <is>
          <t>ND653.G7 T6773</t>
        </is>
      </c>
      <c r="C750" t="inlineStr">
        <is>
          <t>0                      ND 0653000G  7                  T  6773</t>
        </is>
      </c>
      <c r="D750" t="inlineStr">
        <is>
          <t>Vincent van Gogh / [by] Marc Edo Tralbaut.</t>
        </is>
      </c>
      <c r="F750" t="inlineStr">
        <is>
          <t>No</t>
        </is>
      </c>
      <c r="G750" t="inlineStr">
        <is>
          <t>1</t>
        </is>
      </c>
      <c r="H750" t="inlineStr">
        <is>
          <t>No</t>
        </is>
      </c>
      <c r="I750" t="inlineStr">
        <is>
          <t>No</t>
        </is>
      </c>
      <c r="J750" t="inlineStr">
        <is>
          <t>0</t>
        </is>
      </c>
      <c r="K750" t="inlineStr">
        <is>
          <t>Tralbaut, Marc Edo.</t>
        </is>
      </c>
      <c r="L750" t="inlineStr">
        <is>
          <t>New York : Viking Press, [1969]</t>
        </is>
      </c>
      <c r="M750" t="inlineStr">
        <is>
          <t>1969</t>
        </is>
      </c>
      <c r="O750" t="inlineStr">
        <is>
          <t>eng</t>
        </is>
      </c>
      <c r="P750" t="inlineStr">
        <is>
          <t>nyu</t>
        </is>
      </c>
      <c r="Q750" t="inlineStr">
        <is>
          <t>A Studio book</t>
        </is>
      </c>
      <c r="R750" t="inlineStr">
        <is>
          <t xml:space="preserve">ND </t>
        </is>
      </c>
      <c r="S750" t="n">
        <v>19</v>
      </c>
      <c r="T750" t="n">
        <v>19</v>
      </c>
      <c r="U750" t="inlineStr">
        <is>
          <t>1999-04-06</t>
        </is>
      </c>
      <c r="V750" t="inlineStr">
        <is>
          <t>1999-04-06</t>
        </is>
      </c>
      <c r="W750" t="inlineStr">
        <is>
          <t>1992-09-03</t>
        </is>
      </c>
      <c r="X750" t="inlineStr">
        <is>
          <t>1992-09-03</t>
        </is>
      </c>
      <c r="Y750" t="n">
        <v>1137</v>
      </c>
      <c r="Z750" t="n">
        <v>1049</v>
      </c>
      <c r="AA750" t="n">
        <v>1181</v>
      </c>
      <c r="AB750" t="n">
        <v>9</v>
      </c>
      <c r="AC750" t="n">
        <v>9</v>
      </c>
      <c r="AD750" t="n">
        <v>27</v>
      </c>
      <c r="AE750" t="n">
        <v>32</v>
      </c>
      <c r="AF750" t="n">
        <v>11</v>
      </c>
      <c r="AG750" t="n">
        <v>15</v>
      </c>
      <c r="AH750" t="n">
        <v>4</v>
      </c>
      <c r="AI750" t="n">
        <v>4</v>
      </c>
      <c r="AJ750" t="n">
        <v>10</v>
      </c>
      <c r="AK750" t="n">
        <v>14</v>
      </c>
      <c r="AL750" t="n">
        <v>5</v>
      </c>
      <c r="AM750" t="n">
        <v>5</v>
      </c>
      <c r="AN750" t="n">
        <v>0</v>
      </c>
      <c r="AO750" t="n">
        <v>0</v>
      </c>
      <c r="AP750" t="inlineStr">
        <is>
          <t>No</t>
        </is>
      </c>
      <c r="AQ750" t="inlineStr">
        <is>
          <t>Yes</t>
        </is>
      </c>
      <c r="AR750">
        <f>HYPERLINK("http://catalog.hathitrust.org/Record/000574041","HathiTrust Record")</f>
        <v/>
      </c>
      <c r="AS750">
        <f>HYPERLINK("https://creighton-primo.hosted.exlibrisgroup.com/primo-explore/search?tab=default_tab&amp;search_scope=EVERYTHING&amp;vid=01CRU&amp;lang=en_US&amp;offset=0&amp;query=any,contains,991000081019702656","Catalog Record")</f>
        <v/>
      </c>
      <c r="AT750">
        <f>HYPERLINK("http://www.worldcat.org/oclc/31522","WorldCat Record")</f>
        <v/>
      </c>
      <c r="AU750" t="inlineStr">
        <is>
          <t>2044280661:eng</t>
        </is>
      </c>
      <c r="AV750" t="inlineStr">
        <is>
          <t>31522</t>
        </is>
      </c>
      <c r="AW750" t="inlineStr">
        <is>
          <t>991000081019702656</t>
        </is>
      </c>
      <c r="AX750" t="inlineStr">
        <is>
          <t>991000081019702656</t>
        </is>
      </c>
      <c r="AY750" t="inlineStr">
        <is>
          <t>2261153640002656</t>
        </is>
      </c>
      <c r="AZ750" t="inlineStr">
        <is>
          <t>BOOK</t>
        </is>
      </c>
      <c r="BB750" t="inlineStr">
        <is>
          <t>9780670742783</t>
        </is>
      </c>
      <c r="BC750" t="inlineStr">
        <is>
          <t>32285001279206</t>
        </is>
      </c>
      <c r="BD750" t="inlineStr">
        <is>
          <t>893419187</t>
        </is>
      </c>
    </row>
    <row r="751">
      <c r="A751" t="inlineStr">
        <is>
          <t>No</t>
        </is>
      </c>
      <c r="B751" t="inlineStr">
        <is>
          <t>ND653.G7 V54 1955</t>
        </is>
      </c>
      <c r="C751" t="inlineStr">
        <is>
          <t>0                      ND 0653000G  7                  V  54          1955</t>
        </is>
      </c>
      <c r="D751" t="inlineStr">
        <is>
          <t>Vincent van Gogh : 1853-1890 / [Catalogue of an exhibition shown] Oct. 17 to Dec. 13, 1953, City Art Museum of Saint Louis, St. Louis, Mo. ; Jan. 2 to Feb. 28, 1954, Philadelphia Museum of Art, Philadelphia, Pa. ; Mar. 7 to April 30, 1954, Toledo Museum of Art, Toledo, Ohio.</t>
        </is>
      </c>
      <c r="F751" t="inlineStr">
        <is>
          <t>No</t>
        </is>
      </c>
      <c r="G751" t="inlineStr">
        <is>
          <t>1</t>
        </is>
      </c>
      <c r="H751" t="inlineStr">
        <is>
          <t>No</t>
        </is>
      </c>
      <c r="I751" t="inlineStr">
        <is>
          <t>No</t>
        </is>
      </c>
      <c r="J751" t="inlineStr">
        <is>
          <t>0</t>
        </is>
      </c>
      <c r="K751" t="inlineStr">
        <is>
          <t>Gogh, Vincent van, 1853-1890.</t>
        </is>
      </c>
      <c r="L751" t="inlineStr">
        <is>
          <t>[S.l. : s.n., 1955?]</t>
        </is>
      </c>
      <c r="M751" t="inlineStr">
        <is>
          <t>1955</t>
        </is>
      </c>
      <c r="O751" t="inlineStr">
        <is>
          <t>eng</t>
        </is>
      </c>
      <c r="P751" t="inlineStr">
        <is>
          <t xml:space="preserve">xx </t>
        </is>
      </c>
      <c r="R751" t="inlineStr">
        <is>
          <t xml:space="preserve">ND </t>
        </is>
      </c>
      <c r="S751" t="n">
        <v>8</v>
      </c>
      <c r="T751" t="n">
        <v>8</v>
      </c>
      <c r="U751" t="inlineStr">
        <is>
          <t>2000-01-07</t>
        </is>
      </c>
      <c r="V751" t="inlineStr">
        <is>
          <t>2000-01-07</t>
        </is>
      </c>
      <c r="W751" t="inlineStr">
        <is>
          <t>1993-05-24</t>
        </is>
      </c>
      <c r="X751" t="inlineStr">
        <is>
          <t>1993-05-24</t>
        </is>
      </c>
      <c r="Y751" t="n">
        <v>44</v>
      </c>
      <c r="Z751" t="n">
        <v>41</v>
      </c>
      <c r="AA751" t="n">
        <v>44</v>
      </c>
      <c r="AB751" t="n">
        <v>2</v>
      </c>
      <c r="AC751" t="n">
        <v>2</v>
      </c>
      <c r="AD751" t="n">
        <v>3</v>
      </c>
      <c r="AE751" t="n">
        <v>3</v>
      </c>
      <c r="AF751" t="n">
        <v>0</v>
      </c>
      <c r="AG751" t="n">
        <v>0</v>
      </c>
      <c r="AH751" t="n">
        <v>0</v>
      </c>
      <c r="AI751" t="n">
        <v>0</v>
      </c>
      <c r="AJ751" t="n">
        <v>2</v>
      </c>
      <c r="AK751" t="n">
        <v>2</v>
      </c>
      <c r="AL751" t="n">
        <v>1</v>
      </c>
      <c r="AM751" t="n">
        <v>1</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HYPERLINK("https://creighton-primo.hosted.exlibrisgroup.com/primo-explore/search?tab=default_tab&amp;search_scope=EVERYTHING&amp;vid=01CRU&amp;lang=en_US&amp;offset=0&amp;query=any,contains,991005223219702656","Catalog Record")</f>
        <v/>
      </c>
      <c r="AT751">
        <f>HYPERLINK("http://www.worldcat.org/oclc/8249689","WorldCat Record")</f>
        <v/>
      </c>
      <c r="AU751" t="inlineStr">
        <is>
          <t>4916071572:eng</t>
        </is>
      </c>
      <c r="AV751" t="inlineStr">
        <is>
          <t>8249689</t>
        </is>
      </c>
      <c r="AW751" t="inlineStr">
        <is>
          <t>991005223219702656</t>
        </is>
      </c>
      <c r="AX751" t="inlineStr">
        <is>
          <t>991005223219702656</t>
        </is>
      </c>
      <c r="AY751" t="inlineStr">
        <is>
          <t>2261417980002656</t>
        </is>
      </c>
      <c r="AZ751" t="inlineStr">
        <is>
          <t>BOOK</t>
        </is>
      </c>
      <c r="BC751" t="inlineStr">
        <is>
          <t>32285001692564</t>
        </is>
      </c>
      <c r="BD751" t="inlineStr">
        <is>
          <t>893877150</t>
        </is>
      </c>
    </row>
    <row r="752">
      <c r="A752" t="inlineStr">
        <is>
          <t>No</t>
        </is>
      </c>
      <c r="B752" t="inlineStr">
        <is>
          <t>ND653.G7 W34</t>
        </is>
      </c>
      <c r="C752" t="inlineStr">
        <is>
          <t>0                      ND 0653000G  7                  W  34</t>
        </is>
      </c>
      <c r="D752" t="inlineStr">
        <is>
          <t>The world of Van Gogh, 1853-1890 / by Robert Wallace and the editors of Time-Life Books.</t>
        </is>
      </c>
      <c r="F752" t="inlineStr">
        <is>
          <t>No</t>
        </is>
      </c>
      <c r="G752" t="inlineStr">
        <is>
          <t>1</t>
        </is>
      </c>
      <c r="H752" t="inlineStr">
        <is>
          <t>No</t>
        </is>
      </c>
      <c r="I752" t="inlineStr">
        <is>
          <t>No</t>
        </is>
      </c>
      <c r="J752" t="inlineStr">
        <is>
          <t>0</t>
        </is>
      </c>
      <c r="K752" t="inlineStr">
        <is>
          <t>Wallace, Robert, 1919-</t>
        </is>
      </c>
      <c r="L752" t="inlineStr">
        <is>
          <t>New York : Time-Life Books, [1969]</t>
        </is>
      </c>
      <c r="M752" t="inlineStr">
        <is>
          <t>1969</t>
        </is>
      </c>
      <c r="O752" t="inlineStr">
        <is>
          <t>eng</t>
        </is>
      </c>
      <c r="P752" t="inlineStr">
        <is>
          <t>nyu</t>
        </is>
      </c>
      <c r="Q752" t="inlineStr">
        <is>
          <t>Time-Life library of art</t>
        </is>
      </c>
      <c r="R752" t="inlineStr">
        <is>
          <t xml:space="preserve">ND </t>
        </is>
      </c>
      <c r="S752" t="n">
        <v>10</v>
      </c>
      <c r="T752" t="n">
        <v>10</v>
      </c>
      <c r="U752" t="inlineStr">
        <is>
          <t>2000-01-07</t>
        </is>
      </c>
      <c r="V752" t="inlineStr">
        <is>
          <t>2000-01-07</t>
        </is>
      </c>
      <c r="W752" t="inlineStr">
        <is>
          <t>1992-12-04</t>
        </is>
      </c>
      <c r="X752" t="inlineStr">
        <is>
          <t>1992-12-04</t>
        </is>
      </c>
      <c r="Y752" t="n">
        <v>2848</v>
      </c>
      <c r="Z752" t="n">
        <v>2683</v>
      </c>
      <c r="AA752" t="n">
        <v>2855</v>
      </c>
      <c r="AB752" t="n">
        <v>21</v>
      </c>
      <c r="AC752" t="n">
        <v>22</v>
      </c>
      <c r="AD752" t="n">
        <v>40</v>
      </c>
      <c r="AE752" t="n">
        <v>41</v>
      </c>
      <c r="AF752" t="n">
        <v>16</v>
      </c>
      <c r="AG752" t="n">
        <v>17</v>
      </c>
      <c r="AH752" t="n">
        <v>7</v>
      </c>
      <c r="AI752" t="n">
        <v>8</v>
      </c>
      <c r="AJ752" t="n">
        <v>20</v>
      </c>
      <c r="AK752" t="n">
        <v>20</v>
      </c>
      <c r="AL752" t="n">
        <v>6</v>
      </c>
      <c r="AM752" t="n">
        <v>6</v>
      </c>
      <c r="AN752" t="n">
        <v>0</v>
      </c>
      <c r="AO752" t="n">
        <v>0</v>
      </c>
      <c r="AP752" t="inlineStr">
        <is>
          <t>No</t>
        </is>
      </c>
      <c r="AQ752" t="inlineStr">
        <is>
          <t>Yes</t>
        </is>
      </c>
      <c r="AR752">
        <f>HYPERLINK("http://catalog.hathitrust.org/Record/007479608","HathiTrust Record")</f>
        <v/>
      </c>
      <c r="AS752">
        <f>HYPERLINK("https://creighton-primo.hosted.exlibrisgroup.com/primo-explore/search?tab=default_tab&amp;search_scope=EVERYTHING&amp;vid=01CRU&amp;lang=en_US&amp;offset=0&amp;query=any,contains,991000058969702656","Catalog Record")</f>
        <v/>
      </c>
      <c r="AT752">
        <f>HYPERLINK("http://www.worldcat.org/oclc/24225","WorldCat Record")</f>
        <v/>
      </c>
      <c r="AU752" t="inlineStr">
        <is>
          <t>1102726469:eng</t>
        </is>
      </c>
      <c r="AV752" t="inlineStr">
        <is>
          <t>24225</t>
        </is>
      </c>
      <c r="AW752" t="inlineStr">
        <is>
          <t>991000058969702656</t>
        </is>
      </c>
      <c r="AX752" t="inlineStr">
        <is>
          <t>991000058969702656</t>
        </is>
      </c>
      <c r="AY752" t="inlineStr">
        <is>
          <t>2266817520002656</t>
        </is>
      </c>
      <c r="AZ752" t="inlineStr">
        <is>
          <t>BOOK</t>
        </is>
      </c>
      <c r="BC752" t="inlineStr">
        <is>
          <t>32285001412765</t>
        </is>
      </c>
      <c r="BD752" t="inlineStr">
        <is>
          <t>893413038</t>
        </is>
      </c>
    </row>
    <row r="753">
      <c r="A753" t="inlineStr">
        <is>
          <t>No</t>
        </is>
      </c>
      <c r="B753" t="inlineStr">
        <is>
          <t>ND653.H2 A4 1989</t>
        </is>
      </c>
      <c r="C753" t="inlineStr">
        <is>
          <t>0                      ND 0653000H  2                  A  4           1989</t>
        </is>
      </c>
      <c r="D753" t="inlineStr">
        <is>
          <t>Frans Hals / Seymour Slive ; with contributions by Pieter Biesboer ... [et al.] ; edited by Seymour Slive.</t>
        </is>
      </c>
      <c r="F753" t="inlineStr">
        <is>
          <t>No</t>
        </is>
      </c>
      <c r="G753" t="inlineStr">
        <is>
          <t>1</t>
        </is>
      </c>
      <c r="H753" t="inlineStr">
        <is>
          <t>No</t>
        </is>
      </c>
      <c r="I753" t="inlineStr">
        <is>
          <t>No</t>
        </is>
      </c>
      <c r="J753" t="inlineStr">
        <is>
          <t>0</t>
        </is>
      </c>
      <c r="K753" t="inlineStr">
        <is>
          <t>Slive, Seymour, 1920-2014.</t>
        </is>
      </c>
      <c r="L753" t="inlineStr">
        <is>
          <t>Munich : Prestel ; [New York, N.Y. Distributed in U.S.A. and Canada by te Neues], 1989.</t>
        </is>
      </c>
      <c r="M753" t="inlineStr">
        <is>
          <t>1989</t>
        </is>
      </c>
      <c r="O753" t="inlineStr">
        <is>
          <t>eng</t>
        </is>
      </c>
      <c r="P753" t="inlineStr">
        <is>
          <t xml:space="preserve">gw </t>
        </is>
      </c>
      <c r="R753" t="inlineStr">
        <is>
          <t xml:space="preserve">ND </t>
        </is>
      </c>
      <c r="S753" t="n">
        <v>4</v>
      </c>
      <c r="T753" t="n">
        <v>4</v>
      </c>
      <c r="U753" t="inlineStr">
        <is>
          <t>1994-10-31</t>
        </is>
      </c>
      <c r="V753" t="inlineStr">
        <is>
          <t>1994-10-31</t>
        </is>
      </c>
      <c r="W753" t="inlineStr">
        <is>
          <t>1990-06-06</t>
        </is>
      </c>
      <c r="X753" t="inlineStr">
        <is>
          <t>1990-06-06</t>
        </is>
      </c>
      <c r="Y753" t="n">
        <v>352</v>
      </c>
      <c r="Z753" t="n">
        <v>322</v>
      </c>
      <c r="AA753" t="n">
        <v>325</v>
      </c>
      <c r="AB753" t="n">
        <v>3</v>
      </c>
      <c r="AC753" t="n">
        <v>3</v>
      </c>
      <c r="AD753" t="n">
        <v>14</v>
      </c>
      <c r="AE753" t="n">
        <v>14</v>
      </c>
      <c r="AF753" t="n">
        <v>6</v>
      </c>
      <c r="AG753" t="n">
        <v>6</v>
      </c>
      <c r="AH753" t="n">
        <v>4</v>
      </c>
      <c r="AI753" t="n">
        <v>4</v>
      </c>
      <c r="AJ753" t="n">
        <v>5</v>
      </c>
      <c r="AK753" t="n">
        <v>5</v>
      </c>
      <c r="AL753" t="n">
        <v>2</v>
      </c>
      <c r="AM753" t="n">
        <v>2</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HYPERLINK("https://creighton-primo.hosted.exlibrisgroup.com/primo-explore/search?tab=default_tab&amp;search_scope=EVERYTHING&amp;vid=01CRU&amp;lang=en_US&amp;offset=0&amp;query=any,contains,991001611899702656","Catalog Record")</f>
        <v/>
      </c>
      <c r="AT753">
        <f>HYPERLINK("http://www.worldcat.org/oclc/20742077","WorldCat Record")</f>
        <v/>
      </c>
      <c r="AU753" t="inlineStr">
        <is>
          <t>470180:eng</t>
        </is>
      </c>
      <c r="AV753" t="inlineStr">
        <is>
          <t>20742077</t>
        </is>
      </c>
      <c r="AW753" t="inlineStr">
        <is>
          <t>991001611899702656</t>
        </is>
      </c>
      <c r="AX753" t="inlineStr">
        <is>
          <t>991001611899702656</t>
        </is>
      </c>
      <c r="AY753" t="inlineStr">
        <is>
          <t>2265807480002656</t>
        </is>
      </c>
      <c r="AZ753" t="inlineStr">
        <is>
          <t>BOOK</t>
        </is>
      </c>
      <c r="BB753" t="inlineStr">
        <is>
          <t>9783791310329</t>
        </is>
      </c>
      <c r="BC753" t="inlineStr">
        <is>
          <t>32285000175157</t>
        </is>
      </c>
      <c r="BD753" t="inlineStr">
        <is>
          <t>893797668</t>
        </is>
      </c>
    </row>
    <row r="754">
      <c r="A754" t="inlineStr">
        <is>
          <t>No</t>
        </is>
      </c>
      <c r="B754" t="inlineStr">
        <is>
          <t>ND653.L73 A4 1993</t>
        </is>
      </c>
      <c r="C754" t="inlineStr">
        <is>
          <t>0                      ND 0653000L  73                 A  4           1993</t>
        </is>
      </c>
      <c r="D754" t="inlineStr">
        <is>
          <t>Judith Leyster : a Dutch master and her world / project directors, James A. Welu, Pieter Biesboer.</t>
        </is>
      </c>
      <c r="F754" t="inlineStr">
        <is>
          <t>No</t>
        </is>
      </c>
      <c r="G754" t="inlineStr">
        <is>
          <t>1</t>
        </is>
      </c>
      <c r="H754" t="inlineStr">
        <is>
          <t>No</t>
        </is>
      </c>
      <c r="I754" t="inlineStr">
        <is>
          <t>No</t>
        </is>
      </c>
      <c r="J754" t="inlineStr">
        <is>
          <t>0</t>
        </is>
      </c>
      <c r="K754" t="inlineStr">
        <is>
          <t>Leyster, Judith, 1609-1660.</t>
        </is>
      </c>
      <c r="L754" t="inlineStr">
        <is>
          <t>New York : Yale University Press, c1993.</t>
        </is>
      </c>
      <c r="M754" t="inlineStr">
        <is>
          <t>1993</t>
        </is>
      </c>
      <c r="O754" t="inlineStr">
        <is>
          <t>eng</t>
        </is>
      </c>
      <c r="P754" t="inlineStr">
        <is>
          <t>ctu</t>
        </is>
      </c>
      <c r="R754" t="inlineStr">
        <is>
          <t xml:space="preserve">ND </t>
        </is>
      </c>
      <c r="S754" t="n">
        <v>3</v>
      </c>
      <c r="T754" t="n">
        <v>3</v>
      </c>
      <c r="U754" t="inlineStr">
        <is>
          <t>2004-08-25</t>
        </is>
      </c>
      <c r="V754" t="inlineStr">
        <is>
          <t>2004-08-25</t>
        </is>
      </c>
      <c r="W754" t="inlineStr">
        <is>
          <t>1994-04-21</t>
        </is>
      </c>
      <c r="X754" t="inlineStr">
        <is>
          <t>1994-04-21</t>
        </is>
      </c>
      <c r="Y754" t="n">
        <v>825</v>
      </c>
      <c r="Z754" t="n">
        <v>704</v>
      </c>
      <c r="AA754" t="n">
        <v>778</v>
      </c>
      <c r="AB754" t="n">
        <v>6</v>
      </c>
      <c r="AC754" t="n">
        <v>7</v>
      </c>
      <c r="AD754" t="n">
        <v>30</v>
      </c>
      <c r="AE754" t="n">
        <v>32</v>
      </c>
      <c r="AF754" t="n">
        <v>12</v>
      </c>
      <c r="AG754" t="n">
        <v>12</v>
      </c>
      <c r="AH754" t="n">
        <v>7</v>
      </c>
      <c r="AI754" t="n">
        <v>9</v>
      </c>
      <c r="AJ754" t="n">
        <v>13</v>
      </c>
      <c r="AK754" t="n">
        <v>14</v>
      </c>
      <c r="AL754" t="n">
        <v>4</v>
      </c>
      <c r="AM754" t="n">
        <v>4</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HYPERLINK("https://creighton-primo.hosted.exlibrisgroup.com/primo-explore/search?tab=default_tab&amp;search_scope=EVERYTHING&amp;vid=01CRU&amp;lang=en_US&amp;offset=0&amp;query=any,contains,991002148609702656","Catalog Record")</f>
        <v/>
      </c>
      <c r="AT754">
        <f>HYPERLINK("http://www.worldcat.org/oclc/27683160","WorldCat Record")</f>
        <v/>
      </c>
      <c r="AU754" t="inlineStr">
        <is>
          <t>473821248:eng</t>
        </is>
      </c>
      <c r="AV754" t="inlineStr">
        <is>
          <t>27683160</t>
        </is>
      </c>
      <c r="AW754" t="inlineStr">
        <is>
          <t>991002148609702656</t>
        </is>
      </c>
      <c r="AX754" t="inlineStr">
        <is>
          <t>991002148609702656</t>
        </is>
      </c>
      <c r="AY754" t="inlineStr">
        <is>
          <t>2259285420002656</t>
        </is>
      </c>
      <c r="AZ754" t="inlineStr">
        <is>
          <t>BOOK</t>
        </is>
      </c>
      <c r="BB754" t="inlineStr">
        <is>
          <t>9780300055641</t>
        </is>
      </c>
      <c r="BC754" t="inlineStr">
        <is>
          <t>32285001876639</t>
        </is>
      </c>
      <c r="BD754" t="inlineStr">
        <is>
          <t>893626976</t>
        </is>
      </c>
    </row>
    <row r="755">
      <c r="A755" t="inlineStr">
        <is>
          <t>No</t>
        </is>
      </c>
      <c r="B755" t="inlineStr">
        <is>
          <t>ND653.R4 A4 1990</t>
        </is>
      </c>
      <c r="C755" t="inlineStr">
        <is>
          <t>0                      ND 0653000R  4                  A  4           1990</t>
        </is>
      </c>
      <c r="D755" t="inlineStr">
        <is>
          <t>Rembrandt's landscapes / Cynthia P. Schneider.</t>
        </is>
      </c>
      <c r="F755" t="inlineStr">
        <is>
          <t>No</t>
        </is>
      </c>
      <c r="G755" t="inlineStr">
        <is>
          <t>1</t>
        </is>
      </c>
      <c r="H755" t="inlineStr">
        <is>
          <t>No</t>
        </is>
      </c>
      <c r="I755" t="inlineStr">
        <is>
          <t>No</t>
        </is>
      </c>
      <c r="J755" t="inlineStr">
        <is>
          <t>0</t>
        </is>
      </c>
      <c r="K755" t="inlineStr">
        <is>
          <t>Schneider, Cynthia P.</t>
        </is>
      </c>
      <c r="L755" t="inlineStr">
        <is>
          <t>New Haven : Yale University Press, c1990.</t>
        </is>
      </c>
      <c r="M755" t="inlineStr">
        <is>
          <t>1990</t>
        </is>
      </c>
      <c r="O755" t="inlineStr">
        <is>
          <t>eng</t>
        </is>
      </c>
      <c r="P755" t="inlineStr">
        <is>
          <t>ctu</t>
        </is>
      </c>
      <c r="R755" t="inlineStr">
        <is>
          <t xml:space="preserve">ND </t>
        </is>
      </c>
      <c r="S755" t="n">
        <v>4</v>
      </c>
      <c r="T755" t="n">
        <v>4</v>
      </c>
      <c r="U755" t="inlineStr">
        <is>
          <t>2003-12-06</t>
        </is>
      </c>
      <c r="V755" t="inlineStr">
        <is>
          <t>2003-12-06</t>
        </is>
      </c>
      <c r="W755" t="inlineStr">
        <is>
          <t>1990-06-21</t>
        </is>
      </c>
      <c r="X755" t="inlineStr">
        <is>
          <t>1990-06-21</t>
        </is>
      </c>
      <c r="Y755" t="n">
        <v>577</v>
      </c>
      <c r="Z755" t="n">
        <v>461</v>
      </c>
      <c r="AA755" t="n">
        <v>554</v>
      </c>
      <c r="AB755" t="n">
        <v>5</v>
      </c>
      <c r="AC755" t="n">
        <v>5</v>
      </c>
      <c r="AD755" t="n">
        <v>17</v>
      </c>
      <c r="AE755" t="n">
        <v>18</v>
      </c>
      <c r="AF755" t="n">
        <v>5</v>
      </c>
      <c r="AG755" t="n">
        <v>6</v>
      </c>
      <c r="AH755" t="n">
        <v>4</v>
      </c>
      <c r="AI755" t="n">
        <v>4</v>
      </c>
      <c r="AJ755" t="n">
        <v>8</v>
      </c>
      <c r="AK755" t="n">
        <v>9</v>
      </c>
      <c r="AL755" t="n">
        <v>3</v>
      </c>
      <c r="AM755" t="n">
        <v>3</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HYPERLINK("https://creighton-primo.hosted.exlibrisgroup.com/primo-explore/search?tab=default_tab&amp;search_scope=EVERYTHING&amp;vid=01CRU&amp;lang=en_US&amp;offset=0&amp;query=any,contains,991001520399702656","Catalog Record")</f>
        <v/>
      </c>
      <c r="AT755">
        <f>HYPERLINK("http://www.worldcat.org/oclc/19975395","WorldCat Record")</f>
        <v/>
      </c>
      <c r="AU755" t="inlineStr">
        <is>
          <t>22638270:eng</t>
        </is>
      </c>
      <c r="AV755" t="inlineStr">
        <is>
          <t>19975395</t>
        </is>
      </c>
      <c r="AW755" t="inlineStr">
        <is>
          <t>991001520399702656</t>
        </is>
      </c>
      <c r="AX755" t="inlineStr">
        <is>
          <t>991001520399702656</t>
        </is>
      </c>
      <c r="AY755" t="inlineStr">
        <is>
          <t>2254806610002656</t>
        </is>
      </c>
      <c r="AZ755" t="inlineStr">
        <is>
          <t>BOOK</t>
        </is>
      </c>
      <c r="BB755" t="inlineStr">
        <is>
          <t>9780300045680</t>
        </is>
      </c>
      <c r="BC755" t="inlineStr">
        <is>
          <t>32285000179035</t>
        </is>
      </c>
      <c r="BD755" t="inlineStr">
        <is>
          <t>893250287</t>
        </is>
      </c>
    </row>
    <row r="756">
      <c r="A756" t="inlineStr">
        <is>
          <t>No</t>
        </is>
      </c>
      <c r="B756" t="inlineStr">
        <is>
          <t>ND653.R4 A5 1966</t>
        </is>
      </c>
      <c r="C756" t="inlineStr">
        <is>
          <t>0                      ND 0653000R  4                  A  5           1966</t>
        </is>
      </c>
      <c r="D756" t="inlineStr">
        <is>
          <t>Rembrandt's life of Christ : paintings, drawings, and etchings / by Rembrandt, with quotations from the Gospels, and the Gospel stories retold by Owen S. Rachleff.</t>
        </is>
      </c>
      <c r="F756" t="inlineStr">
        <is>
          <t>No</t>
        </is>
      </c>
      <c r="G756" t="inlineStr">
        <is>
          <t>1</t>
        </is>
      </c>
      <c r="H756" t="inlineStr">
        <is>
          <t>No</t>
        </is>
      </c>
      <c r="I756" t="inlineStr">
        <is>
          <t>No</t>
        </is>
      </c>
      <c r="J756" t="inlineStr">
        <is>
          <t>0</t>
        </is>
      </c>
      <c r="K756" t="inlineStr">
        <is>
          <t>Rembrandt Harmenszoon van Rijn, 1606-1669.</t>
        </is>
      </c>
      <c r="L756" t="inlineStr">
        <is>
          <t>New York : Abradale Press, [1966]</t>
        </is>
      </c>
      <c r="M756" t="inlineStr">
        <is>
          <t>1966</t>
        </is>
      </c>
      <c r="O756" t="inlineStr">
        <is>
          <t>eng</t>
        </is>
      </c>
      <c r="P756" t="inlineStr">
        <is>
          <t>nyu</t>
        </is>
      </c>
      <c r="R756" t="inlineStr">
        <is>
          <t xml:space="preserve">ND </t>
        </is>
      </c>
      <c r="S756" t="n">
        <v>10</v>
      </c>
      <c r="T756" t="n">
        <v>10</v>
      </c>
      <c r="U756" t="inlineStr">
        <is>
          <t>2010-11-03</t>
        </is>
      </c>
      <c r="V756" t="inlineStr">
        <is>
          <t>2010-11-03</t>
        </is>
      </c>
      <c r="W756" t="inlineStr">
        <is>
          <t>1994-06-21</t>
        </is>
      </c>
      <c r="X756" t="inlineStr">
        <is>
          <t>1994-06-21</t>
        </is>
      </c>
      <c r="Y756" t="n">
        <v>623</v>
      </c>
      <c r="Z756" t="n">
        <v>606</v>
      </c>
      <c r="AA756" t="n">
        <v>613</v>
      </c>
      <c r="AB756" t="n">
        <v>5</v>
      </c>
      <c r="AC756" t="n">
        <v>5</v>
      </c>
      <c r="AD756" t="n">
        <v>19</v>
      </c>
      <c r="AE756" t="n">
        <v>19</v>
      </c>
      <c r="AF756" t="n">
        <v>9</v>
      </c>
      <c r="AG756" t="n">
        <v>9</v>
      </c>
      <c r="AH756" t="n">
        <v>4</v>
      </c>
      <c r="AI756" t="n">
        <v>4</v>
      </c>
      <c r="AJ756" t="n">
        <v>7</v>
      </c>
      <c r="AK756" t="n">
        <v>7</v>
      </c>
      <c r="AL756" t="n">
        <v>2</v>
      </c>
      <c r="AM756" t="n">
        <v>2</v>
      </c>
      <c r="AN756" t="n">
        <v>0</v>
      </c>
      <c r="AO756" t="n">
        <v>0</v>
      </c>
      <c r="AP756" t="inlineStr">
        <is>
          <t>No</t>
        </is>
      </c>
      <c r="AQ756" t="inlineStr">
        <is>
          <t>Yes</t>
        </is>
      </c>
      <c r="AR756">
        <f>HYPERLINK("http://catalog.hathitrust.org/Record/008546041","HathiTrust Record")</f>
        <v/>
      </c>
      <c r="AS756">
        <f>HYPERLINK("https://creighton-primo.hosted.exlibrisgroup.com/primo-explore/search?tab=default_tab&amp;search_scope=EVERYTHING&amp;vid=01CRU&amp;lang=en_US&amp;offset=0&amp;query=any,contains,991003714389702656","Catalog Record")</f>
        <v/>
      </c>
      <c r="AT756">
        <f>HYPERLINK("http://www.worldcat.org/oclc/1357731","WorldCat Record")</f>
        <v/>
      </c>
      <c r="AU756" t="inlineStr">
        <is>
          <t>3855444047:eng</t>
        </is>
      </c>
      <c r="AV756" t="inlineStr">
        <is>
          <t>1357731</t>
        </is>
      </c>
      <c r="AW756" t="inlineStr">
        <is>
          <t>991003714389702656</t>
        </is>
      </c>
      <c r="AX756" t="inlineStr">
        <is>
          <t>991003714389702656</t>
        </is>
      </c>
      <c r="AY756" t="inlineStr">
        <is>
          <t>2271812440002656</t>
        </is>
      </c>
      <c r="AZ756" t="inlineStr">
        <is>
          <t>BOOK</t>
        </is>
      </c>
      <c r="BC756" t="inlineStr">
        <is>
          <t>32285001916914</t>
        </is>
      </c>
      <c r="BD756" t="inlineStr">
        <is>
          <t>893228366</t>
        </is>
      </c>
    </row>
    <row r="757">
      <c r="A757" t="inlineStr">
        <is>
          <t>No</t>
        </is>
      </c>
      <c r="B757" t="inlineStr">
        <is>
          <t>ND653.R4 B4</t>
        </is>
      </c>
      <c r="C757" t="inlineStr">
        <is>
          <t>0                      ND 0653000R  4                  B  4</t>
        </is>
      </c>
      <c r="D757" t="inlineStr">
        <is>
          <t>Rembrandt : biographical and critical study / translated from the German by James Emmons.</t>
        </is>
      </c>
      <c r="F757" t="inlineStr">
        <is>
          <t>No</t>
        </is>
      </c>
      <c r="G757" t="inlineStr">
        <is>
          <t>1</t>
        </is>
      </c>
      <c r="H757" t="inlineStr">
        <is>
          <t>No</t>
        </is>
      </c>
      <c r="I757" t="inlineStr">
        <is>
          <t>No</t>
        </is>
      </c>
      <c r="J757" t="inlineStr">
        <is>
          <t>0</t>
        </is>
      </c>
      <c r="K757" t="inlineStr">
        <is>
          <t>Benesch, Otto, 1896-1964.</t>
        </is>
      </c>
      <c r="L757" t="inlineStr">
        <is>
          <t>[New York] : Skira, [1957]</t>
        </is>
      </c>
      <c r="M757" t="inlineStr">
        <is>
          <t>1957</t>
        </is>
      </c>
      <c r="O757" t="inlineStr">
        <is>
          <t>eng</t>
        </is>
      </c>
      <c r="P757" t="inlineStr">
        <is>
          <t>nyu</t>
        </is>
      </c>
      <c r="Q757" t="inlineStr">
        <is>
          <t>The Taste of our time, v. 22</t>
        </is>
      </c>
      <c r="R757" t="inlineStr">
        <is>
          <t xml:space="preserve">ND </t>
        </is>
      </c>
      <c r="S757" t="n">
        <v>6</v>
      </c>
      <c r="T757" t="n">
        <v>6</v>
      </c>
      <c r="U757" t="inlineStr">
        <is>
          <t>1997-03-31</t>
        </is>
      </c>
      <c r="V757" t="inlineStr">
        <is>
          <t>1997-03-31</t>
        </is>
      </c>
      <c r="W757" t="inlineStr">
        <is>
          <t>1991-08-08</t>
        </is>
      </c>
      <c r="X757" t="inlineStr">
        <is>
          <t>1991-08-08</t>
        </is>
      </c>
      <c r="Y757" t="n">
        <v>937</v>
      </c>
      <c r="Z757" t="n">
        <v>883</v>
      </c>
      <c r="AA757" t="n">
        <v>913</v>
      </c>
      <c r="AB757" t="n">
        <v>6</v>
      </c>
      <c r="AC757" t="n">
        <v>6</v>
      </c>
      <c r="AD757" t="n">
        <v>34</v>
      </c>
      <c r="AE757" t="n">
        <v>34</v>
      </c>
      <c r="AF757" t="n">
        <v>15</v>
      </c>
      <c r="AG757" t="n">
        <v>15</v>
      </c>
      <c r="AH757" t="n">
        <v>7</v>
      </c>
      <c r="AI757" t="n">
        <v>7</v>
      </c>
      <c r="AJ757" t="n">
        <v>15</v>
      </c>
      <c r="AK757" t="n">
        <v>15</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HYPERLINK("https://creighton-primo.hosted.exlibrisgroup.com/primo-explore/search?tab=default_tab&amp;search_scope=EVERYTHING&amp;vid=01CRU&amp;lang=en_US&amp;offset=0&amp;query=any,contains,991003694899702656","Catalog Record")</f>
        <v/>
      </c>
      <c r="AT757">
        <f>HYPERLINK("http://www.worldcat.org/oclc/1326546","WorldCat Record")</f>
        <v/>
      </c>
      <c r="AU757" t="inlineStr">
        <is>
          <t>5534236403:eng</t>
        </is>
      </c>
      <c r="AV757" t="inlineStr">
        <is>
          <t>1326546</t>
        </is>
      </c>
      <c r="AW757" t="inlineStr">
        <is>
          <t>991003694899702656</t>
        </is>
      </c>
      <c r="AX757" t="inlineStr">
        <is>
          <t>991003694899702656</t>
        </is>
      </c>
      <c r="AY757" t="inlineStr">
        <is>
          <t>2258062370002656</t>
        </is>
      </c>
      <c r="AZ757" t="inlineStr">
        <is>
          <t>BOOK</t>
        </is>
      </c>
      <c r="BC757" t="inlineStr">
        <is>
          <t>32285000680974</t>
        </is>
      </c>
      <c r="BD757" t="inlineStr">
        <is>
          <t>893429095</t>
        </is>
      </c>
    </row>
    <row r="758">
      <c r="A758" t="inlineStr">
        <is>
          <t>No</t>
        </is>
      </c>
      <c r="B758" t="inlineStr">
        <is>
          <t>ND653.R4 C6 1967</t>
        </is>
      </c>
      <c r="C758" t="inlineStr">
        <is>
          <t>0                      ND 0653000R  4                  C  6           1967</t>
        </is>
      </c>
      <c r="D758" t="inlineStr">
        <is>
          <t>Rembrandt / Trewin Copplestone.</t>
        </is>
      </c>
      <c r="F758" t="inlineStr">
        <is>
          <t>No</t>
        </is>
      </c>
      <c r="G758" t="inlineStr">
        <is>
          <t>1</t>
        </is>
      </c>
      <c r="H758" t="inlineStr">
        <is>
          <t>No</t>
        </is>
      </c>
      <c r="I758" t="inlineStr">
        <is>
          <t>No</t>
        </is>
      </c>
      <c r="J758" t="inlineStr">
        <is>
          <t>0</t>
        </is>
      </c>
      <c r="K758" t="inlineStr">
        <is>
          <t>Rembrandt Harmenszoon van Rijn, 1606-1669.</t>
        </is>
      </c>
      <c r="L758" t="inlineStr">
        <is>
          <t>London : Paul Hamlyln, [1967, c1960]</t>
        </is>
      </c>
      <c r="M758" t="inlineStr">
        <is>
          <t>1967</t>
        </is>
      </c>
      <c r="N758" t="inlineStr">
        <is>
          <t>[Rev. ed.]</t>
        </is>
      </c>
      <c r="O758" t="inlineStr">
        <is>
          <t>eng</t>
        </is>
      </c>
      <c r="P758" t="inlineStr">
        <is>
          <t>enk</t>
        </is>
      </c>
      <c r="Q758" t="inlineStr">
        <is>
          <t>The Colour library of art</t>
        </is>
      </c>
      <c r="R758" t="inlineStr">
        <is>
          <t xml:space="preserve">ND </t>
        </is>
      </c>
      <c r="S758" t="n">
        <v>9</v>
      </c>
      <c r="T758" t="n">
        <v>9</v>
      </c>
      <c r="U758" t="inlineStr">
        <is>
          <t>2010-09-04</t>
        </is>
      </c>
      <c r="V758" t="inlineStr">
        <is>
          <t>2010-09-04</t>
        </is>
      </c>
      <c r="W758" t="inlineStr">
        <is>
          <t>1994-06-20</t>
        </is>
      </c>
      <c r="X758" t="inlineStr">
        <is>
          <t>1994-06-20</t>
        </is>
      </c>
      <c r="Y758" t="n">
        <v>48</v>
      </c>
      <c r="Z758" t="n">
        <v>44</v>
      </c>
      <c r="AA758" t="n">
        <v>44</v>
      </c>
      <c r="AB758" t="n">
        <v>3</v>
      </c>
      <c r="AC758" t="n">
        <v>3</v>
      </c>
      <c r="AD758" t="n">
        <v>3</v>
      </c>
      <c r="AE758" t="n">
        <v>3</v>
      </c>
      <c r="AF758" t="n">
        <v>1</v>
      </c>
      <c r="AG758" t="n">
        <v>1</v>
      </c>
      <c r="AH758" t="n">
        <v>0</v>
      </c>
      <c r="AI758" t="n">
        <v>0</v>
      </c>
      <c r="AJ758" t="n">
        <v>0</v>
      </c>
      <c r="AK758" t="n">
        <v>0</v>
      </c>
      <c r="AL758" t="n">
        <v>2</v>
      </c>
      <c r="AM758" t="n">
        <v>2</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HYPERLINK("https://creighton-primo.hosted.exlibrisgroup.com/primo-explore/search?tab=default_tab&amp;search_scope=EVERYTHING&amp;vid=01CRU&amp;lang=en_US&amp;offset=0&amp;query=any,contains,991002903439702656","Catalog Record")</f>
        <v/>
      </c>
      <c r="AT758">
        <f>HYPERLINK("http://www.worldcat.org/oclc/518311","WorldCat Record")</f>
        <v/>
      </c>
      <c r="AU758" t="inlineStr">
        <is>
          <t>5090954848:eng</t>
        </is>
      </c>
      <c r="AV758" t="inlineStr">
        <is>
          <t>518311</t>
        </is>
      </c>
      <c r="AW758" t="inlineStr">
        <is>
          <t>991002903439702656</t>
        </is>
      </c>
      <c r="AX758" t="inlineStr">
        <is>
          <t>991002903439702656</t>
        </is>
      </c>
      <c r="AY758" t="inlineStr">
        <is>
          <t>2255835910002656</t>
        </is>
      </c>
      <c r="AZ758" t="inlineStr">
        <is>
          <t>BOOK</t>
        </is>
      </c>
      <c r="BC758" t="inlineStr">
        <is>
          <t>32285001916484</t>
        </is>
      </c>
      <c r="BD758" t="inlineStr">
        <is>
          <t>893604189</t>
        </is>
      </c>
    </row>
    <row r="759">
      <c r="A759" t="inlineStr">
        <is>
          <t>No</t>
        </is>
      </c>
      <c r="B759" t="inlineStr">
        <is>
          <t>ND653.R4 H377</t>
        </is>
      </c>
      <c r="C759" t="inlineStr">
        <is>
          <t>0                      ND 0653000R  4                  H  377</t>
        </is>
      </c>
      <c r="D759" t="inlineStr">
        <is>
          <t>Rembrandt's Aristotle, and other Rembrandt studies / by Julius S. Held.</t>
        </is>
      </c>
      <c r="F759" t="inlineStr">
        <is>
          <t>No</t>
        </is>
      </c>
      <c r="G759" t="inlineStr">
        <is>
          <t>1</t>
        </is>
      </c>
      <c r="H759" t="inlineStr">
        <is>
          <t>No</t>
        </is>
      </c>
      <c r="I759" t="inlineStr">
        <is>
          <t>No</t>
        </is>
      </c>
      <c r="J759" t="inlineStr">
        <is>
          <t>0</t>
        </is>
      </c>
      <c r="K759" t="inlineStr">
        <is>
          <t>Held, Julius S. (Julius Samuel), 1905-2002.</t>
        </is>
      </c>
      <c r="L759" t="inlineStr">
        <is>
          <t>Princeton, N.J. : Princeton University Press, 1969.</t>
        </is>
      </c>
      <c r="M759" t="inlineStr">
        <is>
          <t>1969</t>
        </is>
      </c>
      <c r="O759" t="inlineStr">
        <is>
          <t>eng</t>
        </is>
      </c>
      <c r="P759" t="inlineStr">
        <is>
          <t>nju</t>
        </is>
      </c>
      <c r="R759" t="inlineStr">
        <is>
          <t xml:space="preserve">ND </t>
        </is>
      </c>
      <c r="S759" t="n">
        <v>3</v>
      </c>
      <c r="T759" t="n">
        <v>3</v>
      </c>
      <c r="U759" t="inlineStr">
        <is>
          <t>1997-06-02</t>
        </is>
      </c>
      <c r="V759" t="inlineStr">
        <is>
          <t>1997-06-02</t>
        </is>
      </c>
      <c r="W759" t="inlineStr">
        <is>
          <t>1991-07-10</t>
        </is>
      </c>
      <c r="X759" t="inlineStr">
        <is>
          <t>1991-07-10</t>
        </is>
      </c>
      <c r="Y759" t="n">
        <v>677</v>
      </c>
      <c r="Z759" t="n">
        <v>556</v>
      </c>
      <c r="AA759" t="n">
        <v>563</v>
      </c>
      <c r="AB759" t="n">
        <v>3</v>
      </c>
      <c r="AC759" t="n">
        <v>3</v>
      </c>
      <c r="AD759" t="n">
        <v>26</v>
      </c>
      <c r="AE759" t="n">
        <v>26</v>
      </c>
      <c r="AF759" t="n">
        <v>10</v>
      </c>
      <c r="AG759" t="n">
        <v>10</v>
      </c>
      <c r="AH759" t="n">
        <v>7</v>
      </c>
      <c r="AI759" t="n">
        <v>7</v>
      </c>
      <c r="AJ759" t="n">
        <v>14</v>
      </c>
      <c r="AK759" t="n">
        <v>14</v>
      </c>
      <c r="AL759" t="n">
        <v>2</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HYPERLINK("https://creighton-primo.hosted.exlibrisgroup.com/primo-explore/search?tab=default_tab&amp;search_scope=EVERYTHING&amp;vid=01CRU&amp;lang=en_US&amp;offset=0&amp;query=any,contains,991000128819702656","Catalog Record")</f>
        <v/>
      </c>
      <c r="AT759">
        <f>HYPERLINK("http://www.worldcat.org/oclc/53171","WorldCat Record")</f>
        <v/>
      </c>
      <c r="AU759" t="inlineStr">
        <is>
          <t>101983595:eng</t>
        </is>
      </c>
      <c r="AV759" t="inlineStr">
        <is>
          <t>53171</t>
        </is>
      </c>
      <c r="AW759" t="inlineStr">
        <is>
          <t>991000128819702656</t>
        </is>
      </c>
      <c r="AX759" t="inlineStr">
        <is>
          <t>991000128819702656</t>
        </is>
      </c>
      <c r="AY759" t="inlineStr">
        <is>
          <t>2257547980002656</t>
        </is>
      </c>
      <c r="AZ759" t="inlineStr">
        <is>
          <t>BOOK</t>
        </is>
      </c>
      <c r="BB759" t="inlineStr">
        <is>
          <t>9780691038629</t>
        </is>
      </c>
      <c r="BC759" t="inlineStr">
        <is>
          <t>32285000638295</t>
        </is>
      </c>
      <c r="BD759" t="inlineStr">
        <is>
          <t>893351433</t>
        </is>
      </c>
    </row>
    <row r="760">
      <c r="A760" t="inlineStr">
        <is>
          <t>No</t>
        </is>
      </c>
      <c r="B760" t="inlineStr">
        <is>
          <t>ND653.R4 M8 1967</t>
        </is>
      </c>
      <c r="C760" t="inlineStr">
        <is>
          <t>0                      ND 0653000R  4                  M  8           1967</t>
        </is>
      </c>
      <c r="D760" t="inlineStr">
        <is>
          <t>Rembrandt / text by Ludwig Münz ; with additional commentaries by Bob Haak.</t>
        </is>
      </c>
      <c r="F760" t="inlineStr">
        <is>
          <t>No</t>
        </is>
      </c>
      <c r="G760" t="inlineStr">
        <is>
          <t>1</t>
        </is>
      </c>
      <c r="H760" t="inlineStr">
        <is>
          <t>No</t>
        </is>
      </c>
      <c r="I760" t="inlineStr">
        <is>
          <t>No</t>
        </is>
      </c>
      <c r="J760" t="inlineStr">
        <is>
          <t>0</t>
        </is>
      </c>
      <c r="K760" t="inlineStr">
        <is>
          <t>Rembrandt Harmenszoon van Rijn, 1606-1669.</t>
        </is>
      </c>
      <c r="L760" t="inlineStr">
        <is>
          <t>New York : H.N. Abrams, [1967?]</t>
        </is>
      </c>
      <c r="M760" t="inlineStr">
        <is>
          <t>1967</t>
        </is>
      </c>
      <c r="N760" t="inlineStr">
        <is>
          <t>Rev. ed.</t>
        </is>
      </c>
      <c r="O760" t="inlineStr">
        <is>
          <t>eng</t>
        </is>
      </c>
      <c r="P760" t="inlineStr">
        <is>
          <t>nyu</t>
        </is>
      </c>
      <c r="Q760" t="inlineStr">
        <is>
          <t>The Library of great painters</t>
        </is>
      </c>
      <c r="R760" t="inlineStr">
        <is>
          <t xml:space="preserve">ND </t>
        </is>
      </c>
      <c r="S760" t="n">
        <v>9</v>
      </c>
      <c r="T760" t="n">
        <v>9</v>
      </c>
      <c r="U760" t="inlineStr">
        <is>
          <t>1998-07-07</t>
        </is>
      </c>
      <c r="V760" t="inlineStr">
        <is>
          <t>1998-07-07</t>
        </is>
      </c>
      <c r="W760" t="inlineStr">
        <is>
          <t>1991-07-10</t>
        </is>
      </c>
      <c r="X760" t="inlineStr">
        <is>
          <t>1991-07-10</t>
        </is>
      </c>
      <c r="Y760" t="n">
        <v>579</v>
      </c>
      <c r="Z760" t="n">
        <v>517</v>
      </c>
      <c r="AA760" t="n">
        <v>563</v>
      </c>
      <c r="AB760" t="n">
        <v>4</v>
      </c>
      <c r="AC760" t="n">
        <v>5</v>
      </c>
      <c r="AD760" t="n">
        <v>8</v>
      </c>
      <c r="AE760" t="n">
        <v>10</v>
      </c>
      <c r="AF760" t="n">
        <v>1</v>
      </c>
      <c r="AG760" t="n">
        <v>2</v>
      </c>
      <c r="AH760" t="n">
        <v>2</v>
      </c>
      <c r="AI760" t="n">
        <v>2</v>
      </c>
      <c r="AJ760" t="n">
        <v>4</v>
      </c>
      <c r="AK760" t="n">
        <v>5</v>
      </c>
      <c r="AL760" t="n">
        <v>1</v>
      </c>
      <c r="AM760" t="n">
        <v>2</v>
      </c>
      <c r="AN760" t="n">
        <v>0</v>
      </c>
      <c r="AO760" t="n">
        <v>0</v>
      </c>
      <c r="AP760" t="inlineStr">
        <is>
          <t>No</t>
        </is>
      </c>
      <c r="AQ760" t="inlineStr">
        <is>
          <t>Yes</t>
        </is>
      </c>
      <c r="AR760">
        <f>HYPERLINK("http://catalog.hathitrust.org/Record/102069976","HathiTrust Record")</f>
        <v/>
      </c>
      <c r="AS760">
        <f>HYPERLINK("https://creighton-primo.hosted.exlibrisgroup.com/primo-explore/search?tab=default_tab&amp;search_scope=EVERYTHING&amp;vid=01CRU&amp;lang=en_US&amp;offset=0&amp;query=any,contains,991001379549702656","Catalog Record")</f>
        <v/>
      </c>
      <c r="AT760">
        <f>HYPERLINK("http://www.worldcat.org/oclc/225831","WorldCat Record")</f>
        <v/>
      </c>
      <c r="AU760" t="inlineStr">
        <is>
          <t>9093514386:eng</t>
        </is>
      </c>
      <c r="AV760" t="inlineStr">
        <is>
          <t>225831</t>
        </is>
      </c>
      <c r="AW760" t="inlineStr">
        <is>
          <t>991001379549702656</t>
        </is>
      </c>
      <c r="AX760" t="inlineStr">
        <is>
          <t>991001379549702656</t>
        </is>
      </c>
      <c r="AY760" t="inlineStr">
        <is>
          <t>2263702230002656</t>
        </is>
      </c>
      <c r="AZ760" t="inlineStr">
        <is>
          <t>BOOK</t>
        </is>
      </c>
      <c r="BB760" t="inlineStr">
        <is>
          <t>9780810904378</t>
        </is>
      </c>
      <c r="BC760" t="inlineStr">
        <is>
          <t>32285000638287</t>
        </is>
      </c>
      <c r="BD760" t="inlineStr">
        <is>
          <t>893590242</t>
        </is>
      </c>
    </row>
    <row r="761">
      <c r="A761" t="inlineStr">
        <is>
          <t>No</t>
        </is>
      </c>
      <c r="B761" t="inlineStr">
        <is>
          <t>ND653.R4 V498 1988</t>
        </is>
      </c>
      <c r="C761" t="inlineStr">
        <is>
          <t>0                      ND 0653000R  4                  V  498         1988</t>
        </is>
      </c>
      <c r="D761" t="inlineStr">
        <is>
          <t>Rembrandt / written and illustrated by Mike Venezia.</t>
        </is>
      </c>
      <c r="F761" t="inlineStr">
        <is>
          <t>No</t>
        </is>
      </c>
      <c r="G761" t="inlineStr">
        <is>
          <t>1</t>
        </is>
      </c>
      <c r="H761" t="inlineStr">
        <is>
          <t>No</t>
        </is>
      </c>
      <c r="I761" t="inlineStr">
        <is>
          <t>No</t>
        </is>
      </c>
      <c r="J761" t="inlineStr">
        <is>
          <t>0</t>
        </is>
      </c>
      <c r="K761" t="inlineStr">
        <is>
          <t>Venezia, Mike.</t>
        </is>
      </c>
      <c r="L761" t="inlineStr">
        <is>
          <t>Chicago : Childrens Press, 1988.</t>
        </is>
      </c>
      <c r="M761" t="inlineStr">
        <is>
          <t>1988</t>
        </is>
      </c>
      <c r="O761" t="inlineStr">
        <is>
          <t>eng</t>
        </is>
      </c>
      <c r="P761" t="inlineStr">
        <is>
          <t>ilu</t>
        </is>
      </c>
      <c r="Q761" t="inlineStr">
        <is>
          <t>Getting to know the world's greatest artists</t>
        </is>
      </c>
      <c r="R761" t="inlineStr">
        <is>
          <t xml:space="preserve">ND </t>
        </is>
      </c>
      <c r="S761" t="n">
        <v>4</v>
      </c>
      <c r="T761" t="n">
        <v>4</v>
      </c>
      <c r="U761" t="inlineStr">
        <is>
          <t>2000-11-10</t>
        </is>
      </c>
      <c r="V761" t="inlineStr">
        <is>
          <t>2000-11-10</t>
        </is>
      </c>
      <c r="W761" t="inlineStr">
        <is>
          <t>1995-10-19</t>
        </is>
      </c>
      <c r="X761" t="inlineStr">
        <is>
          <t>1995-10-19</t>
        </is>
      </c>
      <c r="Y761" t="n">
        <v>1333</v>
      </c>
      <c r="Z761" t="n">
        <v>1220</v>
      </c>
      <c r="AA761" t="n">
        <v>1365</v>
      </c>
      <c r="AB761" t="n">
        <v>10</v>
      </c>
      <c r="AC761" t="n">
        <v>11</v>
      </c>
      <c r="AD761" t="n">
        <v>5</v>
      </c>
      <c r="AE761" t="n">
        <v>6</v>
      </c>
      <c r="AF761" t="n">
        <v>3</v>
      </c>
      <c r="AG761" t="n">
        <v>3</v>
      </c>
      <c r="AH761" t="n">
        <v>0</v>
      </c>
      <c r="AI761" t="n">
        <v>0</v>
      </c>
      <c r="AJ761" t="n">
        <v>2</v>
      </c>
      <c r="AK761" t="n">
        <v>3</v>
      </c>
      <c r="AL761" t="n">
        <v>1</v>
      </c>
      <c r="AM761" t="n">
        <v>1</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HYPERLINK("https://creighton-primo.hosted.exlibrisgroup.com/primo-explore/search?tab=default_tab&amp;search_scope=EVERYTHING&amp;vid=01CRU&amp;lang=en_US&amp;offset=0&amp;query=any,contains,991004449099702656","Catalog Record")</f>
        <v/>
      </c>
      <c r="AT761">
        <f>HYPERLINK("http://www.worldcat.org/oclc/17353776","WorldCat Record")</f>
        <v/>
      </c>
      <c r="AU761" t="inlineStr">
        <is>
          <t>4915759028:eng</t>
        </is>
      </c>
      <c r="AV761" t="inlineStr">
        <is>
          <t>17353776</t>
        </is>
      </c>
      <c r="AW761" t="inlineStr">
        <is>
          <t>991004449099702656</t>
        </is>
      </c>
      <c r="AX761" t="inlineStr">
        <is>
          <t>991004449099702656</t>
        </is>
      </c>
      <c r="AY761" t="inlineStr">
        <is>
          <t>2267700150002656</t>
        </is>
      </c>
      <c r="AZ761" t="inlineStr">
        <is>
          <t>BOOK</t>
        </is>
      </c>
      <c r="BB761" t="inlineStr">
        <is>
          <t>9780516022727</t>
        </is>
      </c>
      <c r="BC761" t="inlineStr">
        <is>
          <t>32285002096450</t>
        </is>
      </c>
      <c r="BD761" t="inlineStr">
        <is>
          <t>893495274</t>
        </is>
      </c>
    </row>
    <row r="762">
      <c r="A762" t="inlineStr">
        <is>
          <t>No</t>
        </is>
      </c>
      <c r="B762" t="inlineStr">
        <is>
          <t>ND653.V5 A4 1995</t>
        </is>
      </c>
      <c r="C762" t="inlineStr">
        <is>
          <t>0                      ND 0653000V  5                  A  4           1995</t>
        </is>
      </c>
      <c r="D762" t="inlineStr">
        <is>
          <t>Johannes Vermeer / [curators, Frederik J. Duparc and Arthur K. Wheelock, Jr.].</t>
        </is>
      </c>
      <c r="F762" t="inlineStr">
        <is>
          <t>No</t>
        </is>
      </c>
      <c r="G762" t="inlineStr">
        <is>
          <t>1</t>
        </is>
      </c>
      <c r="H762" t="inlineStr">
        <is>
          <t>No</t>
        </is>
      </c>
      <c r="I762" t="inlineStr">
        <is>
          <t>No</t>
        </is>
      </c>
      <c r="J762" t="inlineStr">
        <is>
          <t>0</t>
        </is>
      </c>
      <c r="K762" t="inlineStr">
        <is>
          <t>Vermeer, Johannes, 1632-1675.</t>
        </is>
      </c>
      <c r="L762" t="inlineStr">
        <is>
          <t>Washington : National Gallery of Art ; The Hague : Royal Cabinet of Paintings Mauritshuis ; New Haven : Yale University Press, c1995.</t>
        </is>
      </c>
      <c r="M762" t="inlineStr">
        <is>
          <t>1995</t>
        </is>
      </c>
      <c r="O762" t="inlineStr">
        <is>
          <t>eng</t>
        </is>
      </c>
      <c r="P762" t="inlineStr">
        <is>
          <t>dcu</t>
        </is>
      </c>
      <c r="R762" t="inlineStr">
        <is>
          <t xml:space="preserve">ND </t>
        </is>
      </c>
      <c r="S762" t="n">
        <v>5</v>
      </c>
      <c r="T762" t="n">
        <v>5</v>
      </c>
      <c r="U762" t="inlineStr">
        <is>
          <t>2003-11-30</t>
        </is>
      </c>
      <c r="V762" t="inlineStr">
        <is>
          <t>2003-11-30</t>
        </is>
      </c>
      <c r="W762" t="inlineStr">
        <is>
          <t>1997-05-12</t>
        </is>
      </c>
      <c r="X762" t="inlineStr">
        <is>
          <t>1997-05-12</t>
        </is>
      </c>
      <c r="Y762" t="n">
        <v>1639</v>
      </c>
      <c r="Z762" t="n">
        <v>1431</v>
      </c>
      <c r="AA762" t="n">
        <v>1439</v>
      </c>
      <c r="AB762" t="n">
        <v>14</v>
      </c>
      <c r="AC762" t="n">
        <v>14</v>
      </c>
      <c r="AD762" t="n">
        <v>47</v>
      </c>
      <c r="AE762" t="n">
        <v>47</v>
      </c>
      <c r="AF762" t="n">
        <v>19</v>
      </c>
      <c r="AG762" t="n">
        <v>19</v>
      </c>
      <c r="AH762" t="n">
        <v>9</v>
      </c>
      <c r="AI762" t="n">
        <v>9</v>
      </c>
      <c r="AJ762" t="n">
        <v>22</v>
      </c>
      <c r="AK762" t="n">
        <v>22</v>
      </c>
      <c r="AL762" t="n">
        <v>6</v>
      </c>
      <c r="AM762" t="n">
        <v>6</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HYPERLINK("https://creighton-primo.hosted.exlibrisgroup.com/primo-explore/search?tab=default_tab&amp;search_scope=EVERYTHING&amp;vid=01CRU&amp;lang=en_US&amp;offset=0&amp;query=any,contains,991002512719702656","Catalog Record")</f>
        <v/>
      </c>
      <c r="AT762">
        <f>HYPERLINK("http://www.worldcat.org/oclc/32665983","WorldCat Record")</f>
        <v/>
      </c>
      <c r="AU762" t="inlineStr">
        <is>
          <t>3856508775:eng</t>
        </is>
      </c>
      <c r="AV762" t="inlineStr">
        <is>
          <t>32665983</t>
        </is>
      </c>
      <c r="AW762" t="inlineStr">
        <is>
          <t>991002512719702656</t>
        </is>
      </c>
      <c r="AX762" t="inlineStr">
        <is>
          <t>991002512719702656</t>
        </is>
      </c>
      <c r="AY762" t="inlineStr">
        <is>
          <t>2264398230002656</t>
        </is>
      </c>
      <c r="AZ762" t="inlineStr">
        <is>
          <t>BOOK</t>
        </is>
      </c>
      <c r="BB762" t="inlineStr">
        <is>
          <t>9780300065589</t>
        </is>
      </c>
      <c r="BC762" t="inlineStr">
        <is>
          <t>32285002607207</t>
        </is>
      </c>
      <c r="BD762" t="inlineStr">
        <is>
          <t>893786237</t>
        </is>
      </c>
    </row>
    <row r="763">
      <c r="A763" t="inlineStr">
        <is>
          <t>No</t>
        </is>
      </c>
      <c r="B763" t="inlineStr">
        <is>
          <t>ND653.V5 A9313 1994</t>
        </is>
      </c>
      <c r="C763" t="inlineStr">
        <is>
          <t>0                      ND 0653000V  5                  A  9313        1994</t>
        </is>
      </c>
      <c r="D763" t="inlineStr">
        <is>
          <t>Vermeer, faith in painting / Daniel Arasse ; translated by Terry Grabar.</t>
        </is>
      </c>
      <c r="F763" t="inlineStr">
        <is>
          <t>No</t>
        </is>
      </c>
      <c r="G763" t="inlineStr">
        <is>
          <t>1</t>
        </is>
      </c>
      <c r="H763" t="inlineStr">
        <is>
          <t>No</t>
        </is>
      </c>
      <c r="I763" t="inlineStr">
        <is>
          <t>No</t>
        </is>
      </c>
      <c r="J763" t="inlineStr">
        <is>
          <t>0</t>
        </is>
      </c>
      <c r="K763" t="inlineStr">
        <is>
          <t>Arasse, Daniel.</t>
        </is>
      </c>
      <c r="L763" t="inlineStr">
        <is>
          <t>Princeton, N.J. : Princeton University Press, c1994.</t>
        </is>
      </c>
      <c r="M763" t="inlineStr">
        <is>
          <t>1994</t>
        </is>
      </c>
      <c r="O763" t="inlineStr">
        <is>
          <t>eng</t>
        </is>
      </c>
      <c r="P763" t="inlineStr">
        <is>
          <t>nju</t>
        </is>
      </c>
      <c r="R763" t="inlineStr">
        <is>
          <t xml:space="preserve">ND </t>
        </is>
      </c>
      <c r="S763" t="n">
        <v>4</v>
      </c>
      <c r="T763" t="n">
        <v>4</v>
      </c>
      <c r="U763" t="inlineStr">
        <is>
          <t>2003-11-30</t>
        </is>
      </c>
      <c r="V763" t="inlineStr">
        <is>
          <t>2003-11-30</t>
        </is>
      </c>
      <c r="W763" t="inlineStr">
        <is>
          <t>1997-05-14</t>
        </is>
      </c>
      <c r="X763" t="inlineStr">
        <is>
          <t>1997-05-14</t>
        </is>
      </c>
      <c r="Y763" t="n">
        <v>672</v>
      </c>
      <c r="Z763" t="n">
        <v>549</v>
      </c>
      <c r="AA763" t="n">
        <v>632</v>
      </c>
      <c r="AB763" t="n">
        <v>5</v>
      </c>
      <c r="AC763" t="n">
        <v>5</v>
      </c>
      <c r="AD763" t="n">
        <v>34</v>
      </c>
      <c r="AE763" t="n">
        <v>37</v>
      </c>
      <c r="AF763" t="n">
        <v>15</v>
      </c>
      <c r="AG763" t="n">
        <v>17</v>
      </c>
      <c r="AH763" t="n">
        <v>9</v>
      </c>
      <c r="AI763" t="n">
        <v>9</v>
      </c>
      <c r="AJ763" t="n">
        <v>16</v>
      </c>
      <c r="AK763" t="n">
        <v>17</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HYPERLINK("https://creighton-primo.hosted.exlibrisgroup.com/primo-explore/search?tab=default_tab&amp;search_scope=EVERYTHING&amp;vid=01CRU&amp;lang=en_US&amp;offset=0&amp;query=any,contains,991002248689702656","Catalog Record")</f>
        <v/>
      </c>
      <c r="AT763">
        <f>HYPERLINK("http://www.worldcat.org/oclc/29026084","WorldCat Record")</f>
        <v/>
      </c>
      <c r="AU763" t="inlineStr">
        <is>
          <t>5090373603:eng</t>
        </is>
      </c>
      <c r="AV763" t="inlineStr">
        <is>
          <t>29026084</t>
        </is>
      </c>
      <c r="AW763" t="inlineStr">
        <is>
          <t>991002248689702656</t>
        </is>
      </c>
      <c r="AX763" t="inlineStr">
        <is>
          <t>991002248689702656</t>
        </is>
      </c>
      <c r="AY763" t="inlineStr">
        <is>
          <t>2257409800002656</t>
        </is>
      </c>
      <c r="AZ763" t="inlineStr">
        <is>
          <t>BOOK</t>
        </is>
      </c>
      <c r="BB763" t="inlineStr">
        <is>
          <t>9780691029306</t>
        </is>
      </c>
      <c r="BC763" t="inlineStr">
        <is>
          <t>32285002608205</t>
        </is>
      </c>
      <c r="BD763" t="inlineStr">
        <is>
          <t>893439942</t>
        </is>
      </c>
    </row>
    <row r="764">
      <c r="A764" t="inlineStr">
        <is>
          <t>No</t>
        </is>
      </c>
      <c r="B764" t="inlineStr">
        <is>
          <t>ND653.V5 B25 2001</t>
        </is>
      </c>
      <c r="C764" t="inlineStr">
        <is>
          <t>0                      ND 0653000V  5                  B  25          2001</t>
        </is>
      </c>
      <c r="D764" t="inlineStr">
        <is>
          <t>Vermeer : a view of Delft / Anthony Bailey.</t>
        </is>
      </c>
      <c r="F764" t="inlineStr">
        <is>
          <t>No</t>
        </is>
      </c>
      <c r="G764" t="inlineStr">
        <is>
          <t>1</t>
        </is>
      </c>
      <c r="H764" t="inlineStr">
        <is>
          <t>No</t>
        </is>
      </c>
      <c r="I764" t="inlineStr">
        <is>
          <t>No</t>
        </is>
      </c>
      <c r="J764" t="inlineStr">
        <is>
          <t>0</t>
        </is>
      </c>
      <c r="K764" t="inlineStr">
        <is>
          <t>Bailey, Anthony, 1933-</t>
        </is>
      </c>
      <c r="L764" t="inlineStr">
        <is>
          <t>New York : Henry Holt and Co., 2001.</t>
        </is>
      </c>
      <c r="M764" t="inlineStr">
        <is>
          <t>2001</t>
        </is>
      </c>
      <c r="N764" t="inlineStr">
        <is>
          <t>1st ed.</t>
        </is>
      </c>
      <c r="O764" t="inlineStr">
        <is>
          <t>eng</t>
        </is>
      </c>
      <c r="P764" t="inlineStr">
        <is>
          <t>nyu</t>
        </is>
      </c>
      <c r="R764" t="inlineStr">
        <is>
          <t xml:space="preserve">ND </t>
        </is>
      </c>
      <c r="S764" t="n">
        <v>4</v>
      </c>
      <c r="T764" t="n">
        <v>4</v>
      </c>
      <c r="U764" t="inlineStr">
        <is>
          <t>2003-11-30</t>
        </is>
      </c>
      <c r="V764" t="inlineStr">
        <is>
          <t>2003-11-30</t>
        </is>
      </c>
      <c r="W764" t="inlineStr">
        <is>
          <t>2001-06-26</t>
        </is>
      </c>
      <c r="X764" t="inlineStr">
        <is>
          <t>2001-06-26</t>
        </is>
      </c>
      <c r="Y764" t="n">
        <v>1083</v>
      </c>
      <c r="Z764" t="n">
        <v>1021</v>
      </c>
      <c r="AA764" t="n">
        <v>1029</v>
      </c>
      <c r="AB764" t="n">
        <v>9</v>
      </c>
      <c r="AC764" t="n">
        <v>9</v>
      </c>
      <c r="AD764" t="n">
        <v>25</v>
      </c>
      <c r="AE764" t="n">
        <v>25</v>
      </c>
      <c r="AF764" t="n">
        <v>10</v>
      </c>
      <c r="AG764" t="n">
        <v>10</v>
      </c>
      <c r="AH764" t="n">
        <v>6</v>
      </c>
      <c r="AI764" t="n">
        <v>6</v>
      </c>
      <c r="AJ764" t="n">
        <v>13</v>
      </c>
      <c r="AK764" t="n">
        <v>13</v>
      </c>
      <c r="AL764" t="n">
        <v>4</v>
      </c>
      <c r="AM764" t="n">
        <v>4</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HYPERLINK("https://creighton-primo.hosted.exlibrisgroup.com/primo-explore/search?tab=default_tab&amp;search_scope=EVERYTHING&amp;vid=01CRU&amp;lang=en_US&amp;offset=0&amp;query=any,contains,991003541839702656","Catalog Record")</f>
        <v/>
      </c>
      <c r="AT764">
        <f>HYPERLINK("http://www.worldcat.org/oclc/45388724","WorldCat Record")</f>
        <v/>
      </c>
      <c r="AU764" t="inlineStr">
        <is>
          <t>3754326428:eng</t>
        </is>
      </c>
      <c r="AV764" t="inlineStr">
        <is>
          <t>45388724</t>
        </is>
      </c>
      <c r="AW764" t="inlineStr">
        <is>
          <t>991003541839702656</t>
        </is>
      </c>
      <c r="AX764" t="inlineStr">
        <is>
          <t>991003541839702656</t>
        </is>
      </c>
      <c r="AY764" t="inlineStr">
        <is>
          <t>2262053970002656</t>
        </is>
      </c>
      <c r="AZ764" t="inlineStr">
        <is>
          <t>BOOK</t>
        </is>
      </c>
      <c r="BB764" t="inlineStr">
        <is>
          <t>9780805067187</t>
        </is>
      </c>
      <c r="BC764" t="inlineStr">
        <is>
          <t>32285004329180</t>
        </is>
      </c>
      <c r="BD764" t="inlineStr">
        <is>
          <t>893258539</t>
        </is>
      </c>
    </row>
    <row r="765">
      <c r="A765" t="inlineStr">
        <is>
          <t>No</t>
        </is>
      </c>
      <c r="B765" t="inlineStr">
        <is>
          <t>ND653.V5 K6</t>
        </is>
      </c>
      <c r="C765" t="inlineStr">
        <is>
          <t>0                      ND 0653000V  5                  K  6</t>
        </is>
      </c>
      <c r="D765" t="inlineStr">
        <is>
          <t>The world of Vermeer, 1632-1675, by Hans Koningsberger and the editors of Time-Life Books.</t>
        </is>
      </c>
      <c r="F765" t="inlineStr">
        <is>
          <t>No</t>
        </is>
      </c>
      <c r="G765" t="inlineStr">
        <is>
          <t>1</t>
        </is>
      </c>
      <c r="H765" t="inlineStr">
        <is>
          <t>No</t>
        </is>
      </c>
      <c r="I765" t="inlineStr">
        <is>
          <t>No</t>
        </is>
      </c>
      <c r="J765" t="inlineStr">
        <is>
          <t>0</t>
        </is>
      </c>
      <c r="K765" t="inlineStr">
        <is>
          <t>Koning, Hans.</t>
        </is>
      </c>
      <c r="L765" t="inlineStr">
        <is>
          <t>New York, Time, inc. [1967]</t>
        </is>
      </c>
      <c r="M765" t="inlineStr">
        <is>
          <t>1967</t>
        </is>
      </c>
      <c r="O765" t="inlineStr">
        <is>
          <t>eng</t>
        </is>
      </c>
      <c r="P765" t="inlineStr">
        <is>
          <t>nyu</t>
        </is>
      </c>
      <c r="Q765" t="inlineStr">
        <is>
          <t>Time-Life library of art</t>
        </is>
      </c>
      <c r="R765" t="inlineStr">
        <is>
          <t xml:space="preserve">ND </t>
        </is>
      </c>
      <c r="S765" t="n">
        <v>2</v>
      </c>
      <c r="T765" t="n">
        <v>2</v>
      </c>
      <c r="U765" t="inlineStr">
        <is>
          <t>2003-11-30</t>
        </is>
      </c>
      <c r="V765" t="inlineStr">
        <is>
          <t>2003-11-30</t>
        </is>
      </c>
      <c r="W765" t="inlineStr">
        <is>
          <t>1997-08-05</t>
        </is>
      </c>
      <c r="X765" t="inlineStr">
        <is>
          <t>1997-08-05</t>
        </is>
      </c>
      <c r="Y765" t="n">
        <v>2663</v>
      </c>
      <c r="Z765" t="n">
        <v>2509</v>
      </c>
      <c r="AA765" t="n">
        <v>2812</v>
      </c>
      <c r="AB765" t="n">
        <v>21</v>
      </c>
      <c r="AC765" t="n">
        <v>24</v>
      </c>
      <c r="AD765" t="n">
        <v>45</v>
      </c>
      <c r="AE765" t="n">
        <v>47</v>
      </c>
      <c r="AF765" t="n">
        <v>16</v>
      </c>
      <c r="AG765" t="n">
        <v>17</v>
      </c>
      <c r="AH765" t="n">
        <v>9</v>
      </c>
      <c r="AI765" t="n">
        <v>9</v>
      </c>
      <c r="AJ765" t="n">
        <v>22</v>
      </c>
      <c r="AK765" t="n">
        <v>23</v>
      </c>
      <c r="AL765" t="n">
        <v>7</v>
      </c>
      <c r="AM765" t="n">
        <v>8</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HYPERLINK("https://creighton-primo.hosted.exlibrisgroup.com/primo-explore/search?tab=default_tab&amp;search_scope=EVERYTHING&amp;vid=01CRU&amp;lang=en_US&amp;offset=0&amp;query=any,contains,991002904249702656","Catalog Record")</f>
        <v/>
      </c>
      <c r="AT765">
        <f>HYPERLINK("http://www.worldcat.org/oclc/518746","WorldCat Record")</f>
        <v/>
      </c>
      <c r="AU765" t="inlineStr">
        <is>
          <t>3768358945:eng</t>
        </is>
      </c>
      <c r="AV765" t="inlineStr">
        <is>
          <t>518746</t>
        </is>
      </c>
      <c r="AW765" t="inlineStr">
        <is>
          <t>991002904249702656</t>
        </is>
      </c>
      <c r="AX765" t="inlineStr">
        <is>
          <t>991002904249702656</t>
        </is>
      </c>
      <c r="AY765" t="inlineStr">
        <is>
          <t>2255946030002656</t>
        </is>
      </c>
      <c r="AZ765" t="inlineStr">
        <is>
          <t>BOOK</t>
        </is>
      </c>
      <c r="BC765" t="inlineStr">
        <is>
          <t>32285002969235</t>
        </is>
      </c>
      <c r="BD765" t="inlineStr">
        <is>
          <t>893893153</t>
        </is>
      </c>
    </row>
    <row r="766">
      <c r="A766" t="inlineStr">
        <is>
          <t>No</t>
        </is>
      </c>
      <c r="B766" t="inlineStr">
        <is>
          <t>ND653.V5 W47</t>
        </is>
      </c>
      <c r="C766" t="inlineStr">
        <is>
          <t>0                      ND 0653000V  5                  W  47</t>
        </is>
      </c>
      <c r="D766" t="inlineStr">
        <is>
          <t>Jan Vermeer / by Arthur K. Wheelock, Jr.</t>
        </is>
      </c>
      <c r="F766" t="inlineStr">
        <is>
          <t>No</t>
        </is>
      </c>
      <c r="G766" t="inlineStr">
        <is>
          <t>1</t>
        </is>
      </c>
      <c r="H766" t="inlineStr">
        <is>
          <t>No</t>
        </is>
      </c>
      <c r="I766" t="inlineStr">
        <is>
          <t>No</t>
        </is>
      </c>
      <c r="J766" t="inlineStr">
        <is>
          <t>0</t>
        </is>
      </c>
      <c r="K766" t="inlineStr">
        <is>
          <t>Wheelock, Arthur K., Jr., 1943-</t>
        </is>
      </c>
      <c r="L766" t="inlineStr">
        <is>
          <t>New York : Abrams, c1981.</t>
        </is>
      </c>
      <c r="M766" t="inlineStr">
        <is>
          <t>1981</t>
        </is>
      </c>
      <c r="O766" t="inlineStr">
        <is>
          <t>eng</t>
        </is>
      </c>
      <c r="P766" t="inlineStr">
        <is>
          <t>nyu</t>
        </is>
      </c>
      <c r="Q766" t="inlineStr">
        <is>
          <t>The Library of great painters</t>
        </is>
      </c>
      <c r="R766" t="inlineStr">
        <is>
          <t xml:space="preserve">ND </t>
        </is>
      </c>
      <c r="S766" t="n">
        <v>2</v>
      </c>
      <c r="T766" t="n">
        <v>2</v>
      </c>
      <c r="U766" t="inlineStr">
        <is>
          <t>2002-11-22</t>
        </is>
      </c>
      <c r="V766" t="inlineStr">
        <is>
          <t>2002-11-22</t>
        </is>
      </c>
      <c r="W766" t="inlineStr">
        <is>
          <t>1993-05-24</t>
        </is>
      </c>
      <c r="X766" t="inlineStr">
        <is>
          <t>1993-05-24</t>
        </is>
      </c>
      <c r="Y766" t="n">
        <v>935</v>
      </c>
      <c r="Z766" t="n">
        <v>832</v>
      </c>
      <c r="AA766" t="n">
        <v>837</v>
      </c>
      <c r="AB766" t="n">
        <v>5</v>
      </c>
      <c r="AC766" t="n">
        <v>5</v>
      </c>
      <c r="AD766" t="n">
        <v>25</v>
      </c>
      <c r="AE766" t="n">
        <v>25</v>
      </c>
      <c r="AF766" t="n">
        <v>10</v>
      </c>
      <c r="AG766" t="n">
        <v>10</v>
      </c>
      <c r="AH766" t="n">
        <v>6</v>
      </c>
      <c r="AI766" t="n">
        <v>6</v>
      </c>
      <c r="AJ766" t="n">
        <v>12</v>
      </c>
      <c r="AK766" t="n">
        <v>12</v>
      </c>
      <c r="AL766" t="n">
        <v>2</v>
      </c>
      <c r="AM766" t="n">
        <v>2</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HYPERLINK("https://creighton-primo.hosted.exlibrisgroup.com/primo-explore/search?tab=default_tab&amp;search_scope=EVERYTHING&amp;vid=01CRU&amp;lang=en_US&amp;offset=0&amp;query=any,contains,991005115139702656","Catalog Record")</f>
        <v/>
      </c>
      <c r="AT766">
        <f>HYPERLINK("http://www.worldcat.org/oclc/7461786","WorldCat Record")</f>
        <v/>
      </c>
      <c r="AU766" t="inlineStr">
        <is>
          <t>5618829994:eng</t>
        </is>
      </c>
      <c r="AV766" t="inlineStr">
        <is>
          <t>7461786</t>
        </is>
      </c>
      <c r="AW766" t="inlineStr">
        <is>
          <t>991005115139702656</t>
        </is>
      </c>
      <c r="AX766" t="inlineStr">
        <is>
          <t>991005115139702656</t>
        </is>
      </c>
      <c r="AY766" t="inlineStr">
        <is>
          <t>2265956100002656</t>
        </is>
      </c>
      <c r="AZ766" t="inlineStr">
        <is>
          <t>BOOK</t>
        </is>
      </c>
      <c r="BB766" t="inlineStr">
        <is>
          <t>9780810917309</t>
        </is>
      </c>
      <c r="BC766" t="inlineStr">
        <is>
          <t>32285001692580</t>
        </is>
      </c>
      <c r="BD766" t="inlineStr">
        <is>
          <t>893412339</t>
        </is>
      </c>
    </row>
    <row r="767">
      <c r="A767" t="inlineStr">
        <is>
          <t>No</t>
        </is>
      </c>
      <c r="B767" t="inlineStr">
        <is>
          <t>ND653.V5 W49 1997</t>
        </is>
      </c>
      <c r="C767" t="inlineStr">
        <is>
          <t>0                      ND 0653000V  5                  W  49          1997</t>
        </is>
      </c>
      <c r="D767" t="inlineStr">
        <is>
          <t>Vermeer : the complete works / Arthur K. Wheelock, Jr.</t>
        </is>
      </c>
      <c r="F767" t="inlineStr">
        <is>
          <t>No</t>
        </is>
      </c>
      <c r="G767" t="inlineStr">
        <is>
          <t>1</t>
        </is>
      </c>
      <c r="H767" t="inlineStr">
        <is>
          <t>No</t>
        </is>
      </c>
      <c r="I767" t="inlineStr">
        <is>
          <t>No</t>
        </is>
      </c>
      <c r="J767" t="inlineStr">
        <is>
          <t>0</t>
        </is>
      </c>
      <c r="K767" t="inlineStr">
        <is>
          <t>Wheelock, Arthur K., Jr., 1943-</t>
        </is>
      </c>
      <c r="L767" t="inlineStr">
        <is>
          <t>New York : H.N. Abrams, 1997.</t>
        </is>
      </c>
      <c r="M767" t="inlineStr">
        <is>
          <t>1997</t>
        </is>
      </c>
      <c r="O767" t="inlineStr">
        <is>
          <t>eng</t>
        </is>
      </c>
      <c r="P767" t="inlineStr">
        <is>
          <t>nyu</t>
        </is>
      </c>
      <c r="R767" t="inlineStr">
        <is>
          <t xml:space="preserve">ND </t>
        </is>
      </c>
      <c r="S767" t="n">
        <v>2</v>
      </c>
      <c r="T767" t="n">
        <v>2</v>
      </c>
      <c r="U767" t="inlineStr">
        <is>
          <t>2003-11-30</t>
        </is>
      </c>
      <c r="V767" t="inlineStr">
        <is>
          <t>2003-11-30</t>
        </is>
      </c>
      <c r="W767" t="inlineStr">
        <is>
          <t>2001-07-10</t>
        </is>
      </c>
      <c r="X767" t="inlineStr">
        <is>
          <t>2001-07-10</t>
        </is>
      </c>
      <c r="Y767" t="n">
        <v>965</v>
      </c>
      <c r="Z767" t="n">
        <v>861</v>
      </c>
      <c r="AA767" t="n">
        <v>862</v>
      </c>
      <c r="AB767" t="n">
        <v>3</v>
      </c>
      <c r="AC767" t="n">
        <v>3</v>
      </c>
      <c r="AD767" t="n">
        <v>14</v>
      </c>
      <c r="AE767" t="n">
        <v>14</v>
      </c>
      <c r="AF767" t="n">
        <v>5</v>
      </c>
      <c r="AG767" t="n">
        <v>5</v>
      </c>
      <c r="AH767" t="n">
        <v>5</v>
      </c>
      <c r="AI767" t="n">
        <v>5</v>
      </c>
      <c r="AJ767" t="n">
        <v>8</v>
      </c>
      <c r="AK767" t="n">
        <v>8</v>
      </c>
      <c r="AL767" t="n">
        <v>1</v>
      </c>
      <c r="AM767" t="n">
        <v>1</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HYPERLINK("https://creighton-primo.hosted.exlibrisgroup.com/primo-explore/search?tab=default_tab&amp;search_scope=EVERYTHING&amp;vid=01CRU&amp;lang=en_US&amp;offset=0&amp;query=any,contains,991003541799702656","Catalog Record")</f>
        <v/>
      </c>
      <c r="AT767">
        <f>HYPERLINK("http://www.worldcat.org/oclc/36178954","WorldCat Record")</f>
        <v/>
      </c>
      <c r="AU767" t="inlineStr">
        <is>
          <t>10567220503:eng</t>
        </is>
      </c>
      <c r="AV767" t="inlineStr">
        <is>
          <t>36178954</t>
        </is>
      </c>
      <c r="AW767" t="inlineStr">
        <is>
          <t>991003541799702656</t>
        </is>
      </c>
      <c r="AX767" t="inlineStr">
        <is>
          <t>991003541799702656</t>
        </is>
      </c>
      <c r="AY767" t="inlineStr">
        <is>
          <t>2263020480002656</t>
        </is>
      </c>
      <c r="AZ767" t="inlineStr">
        <is>
          <t>BOOK</t>
        </is>
      </c>
      <c r="BB767" t="inlineStr">
        <is>
          <t>9780810927513</t>
        </is>
      </c>
      <c r="BC767" t="inlineStr">
        <is>
          <t>32285004330782</t>
        </is>
      </c>
      <c r="BD767" t="inlineStr">
        <is>
          <t>893336600</t>
        </is>
      </c>
    </row>
    <row r="768">
      <c r="A768" t="inlineStr">
        <is>
          <t>No</t>
        </is>
      </c>
      <c r="B768" t="inlineStr">
        <is>
          <t>ND665 .L33</t>
        </is>
      </c>
      <c r="C768" t="inlineStr">
        <is>
          <t>0                      ND 0665000L  33</t>
        </is>
      </c>
      <c r="D768" t="inlineStr">
        <is>
          <t>Flemish painting / text by Jacques Lassaigne. [Translated by Stuart Gilbert.</t>
        </is>
      </c>
      <c r="E768" t="inlineStr">
        <is>
          <t>V.1</t>
        </is>
      </c>
      <c r="F768" t="inlineStr">
        <is>
          <t>Yes</t>
        </is>
      </c>
      <c r="G768" t="inlineStr">
        <is>
          <t>1</t>
        </is>
      </c>
      <c r="H768" t="inlineStr">
        <is>
          <t>No</t>
        </is>
      </c>
      <c r="I768" t="inlineStr">
        <is>
          <t>No</t>
        </is>
      </c>
      <c r="J768" t="inlineStr">
        <is>
          <t>0</t>
        </is>
      </c>
      <c r="K768" t="inlineStr">
        <is>
          <t>Lassaigne, Jacques, 1911-1983.</t>
        </is>
      </c>
      <c r="L768" t="inlineStr">
        <is>
          <t>New York] : A. Skira, [1957-</t>
        </is>
      </c>
      <c r="M768" t="inlineStr">
        <is>
          <t>1957</t>
        </is>
      </c>
      <c r="O768" t="inlineStr">
        <is>
          <t>eng</t>
        </is>
      </c>
      <c r="P768" t="inlineStr">
        <is>
          <t>nyu</t>
        </is>
      </c>
      <c r="Q768" t="inlineStr">
        <is>
          <t>Painting, color, history</t>
        </is>
      </c>
      <c r="R768" t="inlineStr">
        <is>
          <t xml:space="preserve">ND </t>
        </is>
      </c>
      <c r="S768" t="n">
        <v>3</v>
      </c>
      <c r="T768" t="n">
        <v>4</v>
      </c>
      <c r="U768" t="inlineStr">
        <is>
          <t>2003-11-30</t>
        </is>
      </c>
      <c r="V768" t="inlineStr">
        <is>
          <t>2003-11-30</t>
        </is>
      </c>
      <c r="W768" t="inlineStr">
        <is>
          <t>1994-03-08</t>
        </is>
      </c>
      <c r="X768" t="inlineStr">
        <is>
          <t>1994-03-08</t>
        </is>
      </c>
      <c r="Y768" t="n">
        <v>1041</v>
      </c>
      <c r="Z768" t="n">
        <v>975</v>
      </c>
      <c r="AA768" t="n">
        <v>1062</v>
      </c>
      <c r="AB768" t="n">
        <v>10</v>
      </c>
      <c r="AC768" t="n">
        <v>10</v>
      </c>
      <c r="AD768" t="n">
        <v>41</v>
      </c>
      <c r="AE768" t="n">
        <v>45</v>
      </c>
      <c r="AF768" t="n">
        <v>16</v>
      </c>
      <c r="AG768" t="n">
        <v>18</v>
      </c>
      <c r="AH768" t="n">
        <v>8</v>
      </c>
      <c r="AI768" t="n">
        <v>8</v>
      </c>
      <c r="AJ768" t="n">
        <v>17</v>
      </c>
      <c r="AK768" t="n">
        <v>20</v>
      </c>
      <c r="AL768" t="n">
        <v>8</v>
      </c>
      <c r="AM768" t="n">
        <v>8</v>
      </c>
      <c r="AN768" t="n">
        <v>0</v>
      </c>
      <c r="AO768" t="n">
        <v>0</v>
      </c>
      <c r="AP768" t="inlineStr">
        <is>
          <t>No</t>
        </is>
      </c>
      <c r="AQ768" t="inlineStr">
        <is>
          <t>Yes</t>
        </is>
      </c>
      <c r="AR768">
        <f>HYPERLINK("http://catalog.hathitrust.org/Record/007122036","HathiTrust Record")</f>
        <v/>
      </c>
      <c r="AS768">
        <f>HYPERLINK("https://creighton-primo.hosted.exlibrisgroup.com/primo-explore/search?tab=default_tab&amp;search_scope=EVERYTHING&amp;vid=01CRU&amp;lang=en_US&amp;offset=0&amp;query=any,contains,991002930819702656","Catalog Record")</f>
        <v/>
      </c>
      <c r="AT768">
        <f>HYPERLINK("http://www.worldcat.org/oclc/530851","WorldCat Record")</f>
        <v/>
      </c>
      <c r="AU768" t="inlineStr">
        <is>
          <t>3373153018:eng</t>
        </is>
      </c>
      <c r="AV768" t="inlineStr">
        <is>
          <t>530851</t>
        </is>
      </c>
      <c r="AW768" t="inlineStr">
        <is>
          <t>991002930819702656</t>
        </is>
      </c>
      <c r="AX768" t="inlineStr">
        <is>
          <t>991002930819702656</t>
        </is>
      </c>
      <c r="AY768" t="inlineStr">
        <is>
          <t>2266537330002656</t>
        </is>
      </c>
      <c r="AZ768" t="inlineStr">
        <is>
          <t>BOOK</t>
        </is>
      </c>
      <c r="BC768" t="inlineStr">
        <is>
          <t>32285005243000</t>
        </is>
      </c>
      <c r="BD768" t="inlineStr">
        <is>
          <t>893530648</t>
        </is>
      </c>
    </row>
    <row r="769">
      <c r="A769" t="inlineStr">
        <is>
          <t>No</t>
        </is>
      </c>
      <c r="B769" t="inlineStr">
        <is>
          <t>ND665 .L33</t>
        </is>
      </c>
      <c r="C769" t="inlineStr">
        <is>
          <t>0                      ND 0665000L  33</t>
        </is>
      </c>
      <c r="D769" t="inlineStr">
        <is>
          <t>Flemish painting / text by Jacques Lassaigne. [Translated by Stuart Gilbert.</t>
        </is>
      </c>
      <c r="E769" t="inlineStr">
        <is>
          <t>V.2</t>
        </is>
      </c>
      <c r="F769" t="inlineStr">
        <is>
          <t>Yes</t>
        </is>
      </c>
      <c r="G769" t="inlineStr">
        <is>
          <t>1</t>
        </is>
      </c>
      <c r="H769" t="inlineStr">
        <is>
          <t>No</t>
        </is>
      </c>
      <c r="I769" t="inlineStr">
        <is>
          <t>No</t>
        </is>
      </c>
      <c r="J769" t="inlineStr">
        <is>
          <t>0</t>
        </is>
      </c>
      <c r="K769" t="inlineStr">
        <is>
          <t>Lassaigne, Jacques, 1911-1983.</t>
        </is>
      </c>
      <c r="L769" t="inlineStr">
        <is>
          <t>New York] : A. Skira, [1957-</t>
        </is>
      </c>
      <c r="M769" t="inlineStr">
        <is>
          <t>1957</t>
        </is>
      </c>
      <c r="O769" t="inlineStr">
        <is>
          <t>eng</t>
        </is>
      </c>
      <c r="P769" t="inlineStr">
        <is>
          <t>nyu</t>
        </is>
      </c>
      <c r="Q769" t="inlineStr">
        <is>
          <t>Painting, color, history</t>
        </is>
      </c>
      <c r="R769" t="inlineStr">
        <is>
          <t xml:space="preserve">ND </t>
        </is>
      </c>
      <c r="S769" t="n">
        <v>1</v>
      </c>
      <c r="T769" t="n">
        <v>4</v>
      </c>
      <c r="V769" t="inlineStr">
        <is>
          <t>2003-11-30</t>
        </is>
      </c>
      <c r="W769" t="inlineStr">
        <is>
          <t>1994-03-08</t>
        </is>
      </c>
      <c r="X769" t="inlineStr">
        <is>
          <t>1994-03-08</t>
        </is>
      </c>
      <c r="Y769" t="n">
        <v>1041</v>
      </c>
      <c r="Z769" t="n">
        <v>975</v>
      </c>
      <c r="AA769" t="n">
        <v>1062</v>
      </c>
      <c r="AB769" t="n">
        <v>10</v>
      </c>
      <c r="AC769" t="n">
        <v>10</v>
      </c>
      <c r="AD769" t="n">
        <v>41</v>
      </c>
      <c r="AE769" t="n">
        <v>45</v>
      </c>
      <c r="AF769" t="n">
        <v>16</v>
      </c>
      <c r="AG769" t="n">
        <v>18</v>
      </c>
      <c r="AH769" t="n">
        <v>8</v>
      </c>
      <c r="AI769" t="n">
        <v>8</v>
      </c>
      <c r="AJ769" t="n">
        <v>17</v>
      </c>
      <c r="AK769" t="n">
        <v>20</v>
      </c>
      <c r="AL769" t="n">
        <v>8</v>
      </c>
      <c r="AM769" t="n">
        <v>8</v>
      </c>
      <c r="AN769" t="n">
        <v>0</v>
      </c>
      <c r="AO769" t="n">
        <v>0</v>
      </c>
      <c r="AP769" t="inlineStr">
        <is>
          <t>No</t>
        </is>
      </c>
      <c r="AQ769" t="inlineStr">
        <is>
          <t>Yes</t>
        </is>
      </c>
      <c r="AR769">
        <f>HYPERLINK("http://catalog.hathitrust.org/Record/007122036","HathiTrust Record")</f>
        <v/>
      </c>
      <c r="AS769">
        <f>HYPERLINK("https://creighton-primo.hosted.exlibrisgroup.com/primo-explore/search?tab=default_tab&amp;search_scope=EVERYTHING&amp;vid=01CRU&amp;lang=en_US&amp;offset=0&amp;query=any,contains,991002930819702656","Catalog Record")</f>
        <v/>
      </c>
      <c r="AT769">
        <f>HYPERLINK("http://www.worldcat.org/oclc/530851","WorldCat Record")</f>
        <v/>
      </c>
      <c r="AU769" t="inlineStr">
        <is>
          <t>3373153018:eng</t>
        </is>
      </c>
      <c r="AV769" t="inlineStr">
        <is>
          <t>530851</t>
        </is>
      </c>
      <c r="AW769" t="inlineStr">
        <is>
          <t>991002930819702656</t>
        </is>
      </c>
      <c r="AX769" t="inlineStr">
        <is>
          <t>991002930819702656</t>
        </is>
      </c>
      <c r="AY769" t="inlineStr">
        <is>
          <t>2266537330002656</t>
        </is>
      </c>
      <c r="AZ769" t="inlineStr">
        <is>
          <t>BOOK</t>
        </is>
      </c>
      <c r="BC769" t="inlineStr">
        <is>
          <t>32285001851962</t>
        </is>
      </c>
      <c r="BD769" t="inlineStr">
        <is>
          <t>893504995</t>
        </is>
      </c>
    </row>
    <row r="770">
      <c r="A770" t="inlineStr">
        <is>
          <t>No</t>
        </is>
      </c>
      <c r="B770" t="inlineStr">
        <is>
          <t>ND666 .W5 1968b</t>
        </is>
      </c>
      <c r="C770" t="inlineStr">
        <is>
          <t>0                      ND 0666000W  5           1968b</t>
        </is>
      </c>
      <c r="D770" t="inlineStr">
        <is>
          <t>Early Flemish painting / [by] Margaret Whinney.</t>
        </is>
      </c>
      <c r="F770" t="inlineStr">
        <is>
          <t>No</t>
        </is>
      </c>
      <c r="G770" t="inlineStr">
        <is>
          <t>1</t>
        </is>
      </c>
      <c r="H770" t="inlineStr">
        <is>
          <t>No</t>
        </is>
      </c>
      <c r="I770" t="inlineStr">
        <is>
          <t>No</t>
        </is>
      </c>
      <c r="J770" t="inlineStr">
        <is>
          <t>0</t>
        </is>
      </c>
      <c r="K770" t="inlineStr">
        <is>
          <t>Whinney, Margaret Dickens.</t>
        </is>
      </c>
      <c r="L770" t="inlineStr">
        <is>
          <t>New York : Praeger, [1968]</t>
        </is>
      </c>
      <c r="M770" t="inlineStr">
        <is>
          <t>1968</t>
        </is>
      </c>
      <c r="O770" t="inlineStr">
        <is>
          <t>eng</t>
        </is>
      </c>
      <c r="P770" t="inlineStr">
        <is>
          <t>nyu</t>
        </is>
      </c>
      <c r="R770" t="inlineStr">
        <is>
          <t xml:space="preserve">ND </t>
        </is>
      </c>
      <c r="S770" t="n">
        <v>2</v>
      </c>
      <c r="T770" t="n">
        <v>2</v>
      </c>
      <c r="U770" t="inlineStr">
        <is>
          <t>1999-03-11</t>
        </is>
      </c>
      <c r="V770" t="inlineStr">
        <is>
          <t>1999-03-11</t>
        </is>
      </c>
      <c r="W770" t="inlineStr">
        <is>
          <t>1994-05-24</t>
        </is>
      </c>
      <c r="X770" t="inlineStr">
        <is>
          <t>1994-05-24</t>
        </is>
      </c>
      <c r="Y770" t="n">
        <v>450</v>
      </c>
      <c r="Z770" t="n">
        <v>433</v>
      </c>
      <c r="AA770" t="n">
        <v>503</v>
      </c>
      <c r="AB770" t="n">
        <v>4</v>
      </c>
      <c r="AC770" t="n">
        <v>4</v>
      </c>
      <c r="AD770" t="n">
        <v>15</v>
      </c>
      <c r="AE770" t="n">
        <v>16</v>
      </c>
      <c r="AF770" t="n">
        <v>5</v>
      </c>
      <c r="AG770" t="n">
        <v>5</v>
      </c>
      <c r="AH770" t="n">
        <v>3</v>
      </c>
      <c r="AI770" t="n">
        <v>4</v>
      </c>
      <c r="AJ770" t="n">
        <v>8</v>
      </c>
      <c r="AK770" t="n">
        <v>9</v>
      </c>
      <c r="AL770" t="n">
        <v>2</v>
      </c>
      <c r="AM770" t="n">
        <v>2</v>
      </c>
      <c r="AN770" t="n">
        <v>0</v>
      </c>
      <c r="AO770" t="n">
        <v>0</v>
      </c>
      <c r="AP770" t="inlineStr">
        <is>
          <t>No</t>
        </is>
      </c>
      <c r="AQ770" t="inlineStr">
        <is>
          <t>Yes</t>
        </is>
      </c>
      <c r="AR770">
        <f>HYPERLINK("http://catalog.hathitrust.org/Record/102102469","HathiTrust Record")</f>
        <v/>
      </c>
      <c r="AS770">
        <f>HYPERLINK("https://creighton-primo.hosted.exlibrisgroup.com/primo-explore/search?tab=default_tab&amp;search_scope=EVERYTHING&amp;vid=01CRU&amp;lang=en_US&amp;offset=0&amp;query=any,contains,991002792009702656","Catalog Record")</f>
        <v/>
      </c>
      <c r="AT770">
        <f>HYPERLINK("http://www.worldcat.org/oclc/443862","WorldCat Record")</f>
        <v/>
      </c>
      <c r="AU770" t="inlineStr">
        <is>
          <t>1514621:eng</t>
        </is>
      </c>
      <c r="AV770" t="inlineStr">
        <is>
          <t>443862</t>
        </is>
      </c>
      <c r="AW770" t="inlineStr">
        <is>
          <t>991002792009702656</t>
        </is>
      </c>
      <c r="AX770" t="inlineStr">
        <is>
          <t>991002792009702656</t>
        </is>
      </c>
      <c r="AY770" t="inlineStr">
        <is>
          <t>2264484850002656</t>
        </is>
      </c>
      <c r="AZ770" t="inlineStr">
        <is>
          <t>BOOK</t>
        </is>
      </c>
      <c r="BC770" t="inlineStr">
        <is>
          <t>32285001913267</t>
        </is>
      </c>
      <c r="BD770" t="inlineStr">
        <is>
          <t>893233420</t>
        </is>
      </c>
    </row>
    <row r="771">
      <c r="A771" t="inlineStr">
        <is>
          <t>No</t>
        </is>
      </c>
      <c r="B771" t="inlineStr">
        <is>
          <t>ND669.F5 B55</t>
        </is>
      </c>
      <c r="C771" t="inlineStr">
        <is>
          <t>0                      ND 0669000F  5                  B  55</t>
        </is>
      </c>
      <c r="D771" t="inlineStr">
        <is>
          <t>Early Netherlandish triptychs : a study in patronage.</t>
        </is>
      </c>
      <c r="F771" t="inlineStr">
        <is>
          <t>No</t>
        </is>
      </c>
      <c r="G771" t="inlineStr">
        <is>
          <t>1</t>
        </is>
      </c>
      <c r="H771" t="inlineStr">
        <is>
          <t>No</t>
        </is>
      </c>
      <c r="I771" t="inlineStr">
        <is>
          <t>No</t>
        </is>
      </c>
      <c r="J771" t="inlineStr">
        <is>
          <t>0</t>
        </is>
      </c>
      <c r="K771" t="inlineStr">
        <is>
          <t>Blum, Shirley Neilsen.</t>
        </is>
      </c>
      <c r="L771" t="inlineStr">
        <is>
          <t>Berkeley : University of California Press, 1969.</t>
        </is>
      </c>
      <c r="M771" t="inlineStr">
        <is>
          <t>1969</t>
        </is>
      </c>
      <c r="O771" t="inlineStr">
        <is>
          <t>eng</t>
        </is>
      </c>
      <c r="P771" t="inlineStr">
        <is>
          <t>cau</t>
        </is>
      </c>
      <c r="Q771" t="inlineStr">
        <is>
          <t>California studies in the history of art ; 13</t>
        </is>
      </c>
      <c r="R771" t="inlineStr">
        <is>
          <t xml:space="preserve">ND </t>
        </is>
      </c>
      <c r="S771" t="n">
        <v>1</v>
      </c>
      <c r="T771" t="n">
        <v>1</v>
      </c>
      <c r="U771" t="inlineStr">
        <is>
          <t>1993-08-30</t>
        </is>
      </c>
      <c r="V771" t="inlineStr">
        <is>
          <t>1993-08-30</t>
        </is>
      </c>
      <c r="W771" t="inlineStr">
        <is>
          <t>1992-06-16</t>
        </is>
      </c>
      <c r="X771" t="inlineStr">
        <is>
          <t>1992-06-16</t>
        </is>
      </c>
      <c r="Y771" t="n">
        <v>632</v>
      </c>
      <c r="Z771" t="n">
        <v>501</v>
      </c>
      <c r="AA771" t="n">
        <v>502</v>
      </c>
      <c r="AB771" t="n">
        <v>3</v>
      </c>
      <c r="AC771" t="n">
        <v>3</v>
      </c>
      <c r="AD771" t="n">
        <v>28</v>
      </c>
      <c r="AE771" t="n">
        <v>28</v>
      </c>
      <c r="AF771" t="n">
        <v>13</v>
      </c>
      <c r="AG771" t="n">
        <v>13</v>
      </c>
      <c r="AH771" t="n">
        <v>6</v>
      </c>
      <c r="AI771" t="n">
        <v>6</v>
      </c>
      <c r="AJ771" t="n">
        <v>14</v>
      </c>
      <c r="AK771" t="n">
        <v>14</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HYPERLINK("https://creighton-primo.hosted.exlibrisgroup.com/primo-explore/search?tab=default_tab&amp;search_scope=EVERYTHING&amp;vid=01CRU&amp;lang=en_US&amp;offset=0&amp;query=any,contains,991000674219702656","Catalog Record")</f>
        <v/>
      </c>
      <c r="AT771">
        <f>HYPERLINK("http://www.worldcat.org/oclc/120013","WorldCat Record")</f>
        <v/>
      </c>
      <c r="AU771" t="inlineStr">
        <is>
          <t>875899287:eng</t>
        </is>
      </c>
      <c r="AV771" t="inlineStr">
        <is>
          <t>120013</t>
        </is>
      </c>
      <c r="AW771" t="inlineStr">
        <is>
          <t>991000674219702656</t>
        </is>
      </c>
      <c r="AX771" t="inlineStr">
        <is>
          <t>991000674219702656</t>
        </is>
      </c>
      <c r="AY771" t="inlineStr">
        <is>
          <t>2264287780002656</t>
        </is>
      </c>
      <c r="AZ771" t="inlineStr">
        <is>
          <t>BOOK</t>
        </is>
      </c>
      <c r="BB771" t="inlineStr">
        <is>
          <t>9780520014442</t>
        </is>
      </c>
      <c r="BC771" t="inlineStr">
        <is>
          <t>32285001131621</t>
        </is>
      </c>
      <c r="BD771" t="inlineStr">
        <is>
          <t>893890925</t>
        </is>
      </c>
    </row>
    <row r="772">
      <c r="A772" t="inlineStr">
        <is>
          <t>No</t>
        </is>
      </c>
      <c r="B772" t="inlineStr">
        <is>
          <t>ND673.B73 D413</t>
        </is>
      </c>
      <c r="C772" t="inlineStr">
        <is>
          <t>0                      ND 0673000B  73                 D  413</t>
        </is>
      </c>
      <c r="D772" t="inlineStr">
        <is>
          <t>Bruegel : historical and critical study / translated by Stuart Gilbert.</t>
        </is>
      </c>
      <c r="F772" t="inlineStr">
        <is>
          <t>No</t>
        </is>
      </c>
      <c r="G772" t="inlineStr">
        <is>
          <t>1</t>
        </is>
      </c>
      <c r="H772" t="inlineStr">
        <is>
          <t>No</t>
        </is>
      </c>
      <c r="I772" t="inlineStr">
        <is>
          <t>No</t>
        </is>
      </c>
      <c r="J772" t="inlineStr">
        <is>
          <t>0</t>
        </is>
      </c>
      <c r="K772" t="inlineStr">
        <is>
          <t>Delevoy, Robert L.</t>
        </is>
      </c>
      <c r="L772" t="inlineStr">
        <is>
          <t>[Geneva] : Skira, [1959]</t>
        </is>
      </c>
      <c r="M772" t="inlineStr">
        <is>
          <t>1959</t>
        </is>
      </c>
      <c r="O772" t="inlineStr">
        <is>
          <t>eng</t>
        </is>
      </c>
      <c r="P772" t="inlineStr">
        <is>
          <t xml:space="preserve">sz </t>
        </is>
      </c>
      <c r="Q772" t="inlineStr">
        <is>
          <t>The Taste of our time, 29</t>
        </is>
      </c>
      <c r="R772" t="inlineStr">
        <is>
          <t xml:space="preserve">ND </t>
        </is>
      </c>
      <c r="S772" t="n">
        <v>2</v>
      </c>
      <c r="T772" t="n">
        <v>2</v>
      </c>
      <c r="U772" t="inlineStr">
        <is>
          <t>1992-07-15</t>
        </is>
      </c>
      <c r="V772" t="inlineStr">
        <is>
          <t>1992-07-15</t>
        </is>
      </c>
      <c r="W772" t="inlineStr">
        <is>
          <t>1992-05-07</t>
        </is>
      </c>
      <c r="X772" t="inlineStr">
        <is>
          <t>1992-05-07</t>
        </is>
      </c>
      <c r="Y772" t="n">
        <v>946</v>
      </c>
      <c r="Z772" t="n">
        <v>865</v>
      </c>
      <c r="AA772" t="n">
        <v>871</v>
      </c>
      <c r="AB772" t="n">
        <v>7</v>
      </c>
      <c r="AC772" t="n">
        <v>7</v>
      </c>
      <c r="AD772" t="n">
        <v>27</v>
      </c>
      <c r="AE772" t="n">
        <v>27</v>
      </c>
      <c r="AF772" t="n">
        <v>13</v>
      </c>
      <c r="AG772" t="n">
        <v>13</v>
      </c>
      <c r="AH772" t="n">
        <v>4</v>
      </c>
      <c r="AI772" t="n">
        <v>4</v>
      </c>
      <c r="AJ772" t="n">
        <v>12</v>
      </c>
      <c r="AK772" t="n">
        <v>12</v>
      </c>
      <c r="AL772" t="n">
        <v>4</v>
      </c>
      <c r="AM772" t="n">
        <v>4</v>
      </c>
      <c r="AN772" t="n">
        <v>0</v>
      </c>
      <c r="AO772" t="n">
        <v>0</v>
      </c>
      <c r="AP772" t="inlineStr">
        <is>
          <t>No</t>
        </is>
      </c>
      <c r="AQ772" t="inlineStr">
        <is>
          <t>Yes</t>
        </is>
      </c>
      <c r="AR772">
        <f>HYPERLINK("http://catalog.hathitrust.org/Record/000608401","HathiTrust Record")</f>
        <v/>
      </c>
      <c r="AS772">
        <f>HYPERLINK("https://creighton-primo.hosted.exlibrisgroup.com/primo-explore/search?tab=default_tab&amp;search_scope=EVERYTHING&amp;vid=01CRU&amp;lang=en_US&amp;offset=0&amp;query=any,contains,991002996419702656","Catalog Record")</f>
        <v/>
      </c>
      <c r="AT772">
        <f>HYPERLINK("http://www.worldcat.org/oclc/564904","WorldCat Record")</f>
        <v/>
      </c>
      <c r="AU772" t="inlineStr">
        <is>
          <t>9093445640:eng</t>
        </is>
      </c>
      <c r="AV772" t="inlineStr">
        <is>
          <t>564904</t>
        </is>
      </c>
      <c r="AW772" t="inlineStr">
        <is>
          <t>991002996419702656</t>
        </is>
      </c>
      <c r="AX772" t="inlineStr">
        <is>
          <t>991002996419702656</t>
        </is>
      </c>
      <c r="AY772" t="inlineStr">
        <is>
          <t>2256842310002656</t>
        </is>
      </c>
      <c r="AZ772" t="inlineStr">
        <is>
          <t>BOOK</t>
        </is>
      </c>
      <c r="BC772" t="inlineStr">
        <is>
          <t>32285001094431</t>
        </is>
      </c>
      <c r="BD772" t="inlineStr">
        <is>
          <t>893336009</t>
        </is>
      </c>
    </row>
    <row r="773">
      <c r="A773" t="inlineStr">
        <is>
          <t>No</t>
        </is>
      </c>
      <c r="B773" t="inlineStr">
        <is>
          <t>ND673.B73 F6</t>
        </is>
      </c>
      <c r="C773" t="inlineStr">
        <is>
          <t>0                      ND 0673000B  73                 F  6</t>
        </is>
      </c>
      <c r="D773" t="inlineStr">
        <is>
          <t>The world of Bruegel, c. 1525-1569 / by Timothy Foote and the editors of Time-Life Books.</t>
        </is>
      </c>
      <c r="F773" t="inlineStr">
        <is>
          <t>No</t>
        </is>
      </c>
      <c r="G773" t="inlineStr">
        <is>
          <t>1</t>
        </is>
      </c>
      <c r="H773" t="inlineStr">
        <is>
          <t>No</t>
        </is>
      </c>
      <c r="I773" t="inlineStr">
        <is>
          <t>No</t>
        </is>
      </c>
      <c r="J773" t="inlineStr">
        <is>
          <t>0</t>
        </is>
      </c>
      <c r="K773" t="inlineStr">
        <is>
          <t>Foote, Timothy.</t>
        </is>
      </c>
      <c r="L773" t="inlineStr">
        <is>
          <t>New York : Time-Life Books, [1968]</t>
        </is>
      </c>
      <c r="M773" t="inlineStr">
        <is>
          <t>1968</t>
        </is>
      </c>
      <c r="O773" t="inlineStr">
        <is>
          <t>eng</t>
        </is>
      </c>
      <c r="P773" t="inlineStr">
        <is>
          <t>nyu</t>
        </is>
      </c>
      <c r="Q773" t="inlineStr">
        <is>
          <t>Time-Life library of art</t>
        </is>
      </c>
      <c r="R773" t="inlineStr">
        <is>
          <t xml:space="preserve">ND </t>
        </is>
      </c>
      <c r="S773" t="n">
        <v>5</v>
      </c>
      <c r="T773" t="n">
        <v>5</v>
      </c>
      <c r="U773" t="inlineStr">
        <is>
          <t>1993-12-08</t>
        </is>
      </c>
      <c r="V773" t="inlineStr">
        <is>
          <t>1993-12-08</t>
        </is>
      </c>
      <c r="W773" t="inlineStr">
        <is>
          <t>1993-09-14</t>
        </is>
      </c>
      <c r="X773" t="inlineStr">
        <is>
          <t>1993-09-14</t>
        </is>
      </c>
      <c r="Y773" t="n">
        <v>2520</v>
      </c>
      <c r="Z773" t="n">
        <v>2369</v>
      </c>
      <c r="AA773" t="n">
        <v>2539</v>
      </c>
      <c r="AB773" t="n">
        <v>21</v>
      </c>
      <c r="AC773" t="n">
        <v>23</v>
      </c>
      <c r="AD773" t="n">
        <v>40</v>
      </c>
      <c r="AE773" t="n">
        <v>40</v>
      </c>
      <c r="AF773" t="n">
        <v>15</v>
      </c>
      <c r="AG773" t="n">
        <v>15</v>
      </c>
      <c r="AH773" t="n">
        <v>7</v>
      </c>
      <c r="AI773" t="n">
        <v>7</v>
      </c>
      <c r="AJ773" t="n">
        <v>21</v>
      </c>
      <c r="AK773" t="n">
        <v>21</v>
      </c>
      <c r="AL773" t="n">
        <v>7</v>
      </c>
      <c r="AM773" t="n">
        <v>7</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HYPERLINK("https://creighton-primo.hosted.exlibrisgroup.com/primo-explore/search?tab=default_tab&amp;search_scope=EVERYTHING&amp;vid=01CRU&amp;lang=en_US&amp;offset=0&amp;query=any,contains,991002807369702656","Catalog Record")</f>
        <v/>
      </c>
      <c r="AT773">
        <f>HYPERLINK("http://www.worldcat.org/oclc/450051","WorldCat Record")</f>
        <v/>
      </c>
      <c r="AU773" t="inlineStr">
        <is>
          <t>1426996:eng</t>
        </is>
      </c>
      <c r="AV773" t="inlineStr">
        <is>
          <t>450051</t>
        </is>
      </c>
      <c r="AW773" t="inlineStr">
        <is>
          <t>991002807369702656</t>
        </is>
      </c>
      <c r="AX773" t="inlineStr">
        <is>
          <t>991002807369702656</t>
        </is>
      </c>
      <c r="AY773" t="inlineStr">
        <is>
          <t>2261714170002656</t>
        </is>
      </c>
      <c r="AZ773" t="inlineStr">
        <is>
          <t>BOOK</t>
        </is>
      </c>
      <c r="BC773" t="inlineStr">
        <is>
          <t>32285001770246</t>
        </is>
      </c>
      <c r="BD773" t="inlineStr">
        <is>
          <t>893721650</t>
        </is>
      </c>
    </row>
    <row r="774">
      <c r="A774" t="inlineStr">
        <is>
          <t>No</t>
        </is>
      </c>
      <c r="B774" t="inlineStr">
        <is>
          <t>ND673.B73 G713 1973</t>
        </is>
      </c>
      <c r="C774" t="inlineStr">
        <is>
          <t>0                      ND 0673000B  73                 G  713         1973</t>
        </is>
      </c>
      <c r="D774" t="inlineStr">
        <is>
          <t>Pieter Bruegel : complete edition of the paintings / [by] F. Grossmann.</t>
        </is>
      </c>
      <c r="F774" t="inlineStr">
        <is>
          <t>No</t>
        </is>
      </c>
      <c r="G774" t="inlineStr">
        <is>
          <t>1</t>
        </is>
      </c>
      <c r="H774" t="inlineStr">
        <is>
          <t>No</t>
        </is>
      </c>
      <c r="I774" t="inlineStr">
        <is>
          <t>No</t>
        </is>
      </c>
      <c r="J774" t="inlineStr">
        <is>
          <t>0</t>
        </is>
      </c>
      <c r="K774" t="inlineStr">
        <is>
          <t>Bruegel, Pieter, approximately 1525-1569.</t>
        </is>
      </c>
      <c r="L774" t="inlineStr">
        <is>
          <t>New York] : Phaidon ; [distributed by Praeger, 1973]</t>
        </is>
      </c>
      <c r="M774" t="inlineStr">
        <is>
          <t>1973</t>
        </is>
      </c>
      <c r="N774" t="inlineStr">
        <is>
          <t>[3d ed., rev.</t>
        </is>
      </c>
      <c r="O774" t="inlineStr">
        <is>
          <t>eng</t>
        </is>
      </c>
      <c r="P774" t="inlineStr">
        <is>
          <t>nyu</t>
        </is>
      </c>
      <c r="R774" t="inlineStr">
        <is>
          <t xml:space="preserve">ND </t>
        </is>
      </c>
      <c r="S774" t="n">
        <v>3</v>
      </c>
      <c r="T774" t="n">
        <v>3</v>
      </c>
      <c r="U774" t="inlineStr">
        <is>
          <t>2003-01-30</t>
        </is>
      </c>
      <c r="V774" t="inlineStr">
        <is>
          <t>2003-01-30</t>
        </is>
      </c>
      <c r="W774" t="inlineStr">
        <is>
          <t>1993-04-14</t>
        </is>
      </c>
      <c r="X774" t="inlineStr">
        <is>
          <t>1993-04-14</t>
        </is>
      </c>
      <c r="Y774" t="n">
        <v>552</v>
      </c>
      <c r="Z774" t="n">
        <v>463</v>
      </c>
      <c r="AA774" t="n">
        <v>517</v>
      </c>
      <c r="AB774" t="n">
        <v>3</v>
      </c>
      <c r="AC774" t="n">
        <v>3</v>
      </c>
      <c r="AD774" t="n">
        <v>15</v>
      </c>
      <c r="AE774" t="n">
        <v>17</v>
      </c>
      <c r="AF774" t="n">
        <v>7</v>
      </c>
      <c r="AG774" t="n">
        <v>8</v>
      </c>
      <c r="AH774" t="n">
        <v>2</v>
      </c>
      <c r="AI774" t="n">
        <v>3</v>
      </c>
      <c r="AJ774" t="n">
        <v>7</v>
      </c>
      <c r="AK774" t="n">
        <v>8</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HYPERLINK("https://creighton-primo.hosted.exlibrisgroup.com/primo-explore/search?tab=default_tab&amp;search_scope=EVERYTHING&amp;vid=01CRU&amp;lang=en_US&amp;offset=0&amp;query=any,contains,991003268119702656","Catalog Record")</f>
        <v/>
      </c>
      <c r="AT774">
        <f>HYPERLINK("http://www.worldcat.org/oclc/794244","WorldCat Record")</f>
        <v/>
      </c>
      <c r="AU774" t="inlineStr">
        <is>
          <t>12542096:eng</t>
        </is>
      </c>
      <c r="AV774" t="inlineStr">
        <is>
          <t>794244</t>
        </is>
      </c>
      <c r="AW774" t="inlineStr">
        <is>
          <t>991003268119702656</t>
        </is>
      </c>
      <c r="AX774" t="inlineStr">
        <is>
          <t>991003268119702656</t>
        </is>
      </c>
      <c r="AY774" t="inlineStr">
        <is>
          <t>2263792070002656</t>
        </is>
      </c>
      <c r="AZ774" t="inlineStr">
        <is>
          <t>BOOK</t>
        </is>
      </c>
      <c r="BB774" t="inlineStr">
        <is>
          <t>9780714815114</t>
        </is>
      </c>
      <c r="BC774" t="inlineStr">
        <is>
          <t>32285001580454</t>
        </is>
      </c>
      <c r="BD774" t="inlineStr">
        <is>
          <t>893705071</t>
        </is>
      </c>
    </row>
    <row r="775">
      <c r="A775" t="inlineStr">
        <is>
          <t>No</t>
        </is>
      </c>
      <c r="B775" t="inlineStr">
        <is>
          <t>ND673.B73 S672 1969</t>
        </is>
      </c>
      <c r="C775" t="inlineStr">
        <is>
          <t>0                      ND 0673000B  73                 S  672         1969</t>
        </is>
      </c>
      <c r="D775" t="inlineStr">
        <is>
          <t>Pieter Bruegel, the elder / text by Wolfgang Stechow.</t>
        </is>
      </c>
      <c r="F775" t="inlineStr">
        <is>
          <t>No</t>
        </is>
      </c>
      <c r="G775" t="inlineStr">
        <is>
          <t>1</t>
        </is>
      </c>
      <c r="H775" t="inlineStr">
        <is>
          <t>No</t>
        </is>
      </c>
      <c r="I775" t="inlineStr">
        <is>
          <t>No</t>
        </is>
      </c>
      <c r="J775" t="inlineStr">
        <is>
          <t>0</t>
        </is>
      </c>
      <c r="K775" t="inlineStr">
        <is>
          <t>Bruegel, Pieter, approximately 1525-1569.</t>
        </is>
      </c>
      <c r="L775" t="inlineStr">
        <is>
          <t>New York : H. N. Abrams, [1969]</t>
        </is>
      </c>
      <c r="M775" t="inlineStr">
        <is>
          <t>1969</t>
        </is>
      </c>
      <c r="O775" t="inlineStr">
        <is>
          <t>eng</t>
        </is>
      </c>
      <c r="P775" t="inlineStr">
        <is>
          <t>nyu</t>
        </is>
      </c>
      <c r="Q775" t="inlineStr">
        <is>
          <t>Great art of the ages</t>
        </is>
      </c>
      <c r="R775" t="inlineStr">
        <is>
          <t xml:space="preserve">ND </t>
        </is>
      </c>
      <c r="S775" t="n">
        <v>6</v>
      </c>
      <c r="T775" t="n">
        <v>6</v>
      </c>
      <c r="U775" t="inlineStr">
        <is>
          <t>1996-09-12</t>
        </is>
      </c>
      <c r="V775" t="inlineStr">
        <is>
          <t>1996-09-12</t>
        </is>
      </c>
      <c r="W775" t="inlineStr">
        <is>
          <t>1992-04-13</t>
        </is>
      </c>
      <c r="X775" t="inlineStr">
        <is>
          <t>1992-04-13</t>
        </is>
      </c>
      <c r="Y775" t="n">
        <v>385</v>
      </c>
      <c r="Z775" t="n">
        <v>331</v>
      </c>
      <c r="AA775" t="n">
        <v>594</v>
      </c>
      <c r="AB775" t="n">
        <v>2</v>
      </c>
      <c r="AC775" t="n">
        <v>4</v>
      </c>
      <c r="AD775" t="n">
        <v>8</v>
      </c>
      <c r="AE775" t="n">
        <v>22</v>
      </c>
      <c r="AF775" t="n">
        <v>3</v>
      </c>
      <c r="AG775" t="n">
        <v>11</v>
      </c>
      <c r="AH775" t="n">
        <v>2</v>
      </c>
      <c r="AI775" t="n">
        <v>4</v>
      </c>
      <c r="AJ775" t="n">
        <v>3</v>
      </c>
      <c r="AK775" t="n">
        <v>11</v>
      </c>
      <c r="AL775" t="n">
        <v>1</v>
      </c>
      <c r="AM775" t="n">
        <v>3</v>
      </c>
      <c r="AN775" t="n">
        <v>0</v>
      </c>
      <c r="AO775" t="n">
        <v>0</v>
      </c>
      <c r="AP775" t="inlineStr">
        <is>
          <t>No</t>
        </is>
      </c>
      <c r="AQ775" t="inlineStr">
        <is>
          <t>Yes</t>
        </is>
      </c>
      <c r="AR775">
        <f>HYPERLINK("http://catalog.hathitrust.org/Record/004504875","HathiTrust Record")</f>
        <v/>
      </c>
      <c r="AS775">
        <f>HYPERLINK("https://creighton-primo.hosted.exlibrisgroup.com/primo-explore/search?tab=default_tab&amp;search_scope=EVERYTHING&amp;vid=01CRU&amp;lang=en_US&amp;offset=0&amp;query=any,contains,991004186519702656","Catalog Record")</f>
        <v/>
      </c>
      <c r="AT775">
        <f>HYPERLINK("http://www.worldcat.org/oclc/2616469","WorldCat Record")</f>
        <v/>
      </c>
      <c r="AU775" t="inlineStr">
        <is>
          <t>4417274725:eng</t>
        </is>
      </c>
      <c r="AV775" t="inlineStr">
        <is>
          <t>2616469</t>
        </is>
      </c>
      <c r="AW775" t="inlineStr">
        <is>
          <t>991004186519702656</t>
        </is>
      </c>
      <c r="AX775" t="inlineStr">
        <is>
          <t>991004186519702656</t>
        </is>
      </c>
      <c r="AY775" t="inlineStr">
        <is>
          <t>2265025980002656</t>
        </is>
      </c>
      <c r="AZ775" t="inlineStr">
        <is>
          <t>BOOK</t>
        </is>
      </c>
      <c r="BB775" t="inlineStr">
        <is>
          <t>9780810951037</t>
        </is>
      </c>
      <c r="BC775" t="inlineStr">
        <is>
          <t>32285001058832</t>
        </is>
      </c>
      <c r="BD775" t="inlineStr">
        <is>
          <t>893535858</t>
        </is>
      </c>
    </row>
    <row r="776">
      <c r="A776" t="inlineStr">
        <is>
          <t>No</t>
        </is>
      </c>
      <c r="B776" t="inlineStr">
        <is>
          <t>ND673.D9 B7 1983</t>
        </is>
      </c>
      <c r="C776" t="inlineStr">
        <is>
          <t>0                      ND 0673000D  9                  B  7           1983</t>
        </is>
      </c>
      <c r="D776" t="inlineStr">
        <is>
          <t>Van Dyck / Christopher Brown.</t>
        </is>
      </c>
      <c r="F776" t="inlineStr">
        <is>
          <t>No</t>
        </is>
      </c>
      <c r="G776" t="inlineStr">
        <is>
          <t>1</t>
        </is>
      </c>
      <c r="H776" t="inlineStr">
        <is>
          <t>No</t>
        </is>
      </c>
      <c r="I776" t="inlineStr">
        <is>
          <t>No</t>
        </is>
      </c>
      <c r="J776" t="inlineStr">
        <is>
          <t>0</t>
        </is>
      </c>
      <c r="K776" t="inlineStr">
        <is>
          <t>Brown, Christopher, 1948-</t>
        </is>
      </c>
      <c r="L776" t="inlineStr">
        <is>
          <t>Ithaca, N.Y. : Cornell University Press, 1983, c1982.</t>
        </is>
      </c>
      <c r="M776" t="inlineStr">
        <is>
          <t>1983</t>
        </is>
      </c>
      <c r="O776" t="inlineStr">
        <is>
          <t>eng</t>
        </is>
      </c>
      <c r="P776" t="inlineStr">
        <is>
          <t>nyu</t>
        </is>
      </c>
      <c r="R776" t="inlineStr">
        <is>
          <t xml:space="preserve">ND </t>
        </is>
      </c>
      <c r="S776" t="n">
        <v>2</v>
      </c>
      <c r="T776" t="n">
        <v>2</v>
      </c>
      <c r="U776" t="inlineStr">
        <is>
          <t>1998-07-01</t>
        </is>
      </c>
      <c r="V776" t="inlineStr">
        <is>
          <t>1998-07-01</t>
        </is>
      </c>
      <c r="W776" t="inlineStr">
        <is>
          <t>1992-02-06</t>
        </is>
      </c>
      <c r="X776" t="inlineStr">
        <is>
          <t>1992-02-06</t>
        </is>
      </c>
      <c r="Y776" t="n">
        <v>574</v>
      </c>
      <c r="Z776" t="n">
        <v>533</v>
      </c>
      <c r="AA776" t="n">
        <v>609</v>
      </c>
      <c r="AB776" t="n">
        <v>2</v>
      </c>
      <c r="AC776" t="n">
        <v>4</v>
      </c>
      <c r="AD776" t="n">
        <v>17</v>
      </c>
      <c r="AE776" t="n">
        <v>19</v>
      </c>
      <c r="AF776" t="n">
        <v>8</v>
      </c>
      <c r="AG776" t="n">
        <v>8</v>
      </c>
      <c r="AH776" t="n">
        <v>3</v>
      </c>
      <c r="AI776" t="n">
        <v>3</v>
      </c>
      <c r="AJ776" t="n">
        <v>10</v>
      </c>
      <c r="AK776" t="n">
        <v>10</v>
      </c>
      <c r="AL776" t="n">
        <v>0</v>
      </c>
      <c r="AM776" t="n">
        <v>2</v>
      </c>
      <c r="AN776" t="n">
        <v>0</v>
      </c>
      <c r="AO776" t="n">
        <v>0</v>
      </c>
      <c r="AP776" t="inlineStr">
        <is>
          <t>No</t>
        </is>
      </c>
      <c r="AQ776" t="inlineStr">
        <is>
          <t>Yes</t>
        </is>
      </c>
      <c r="AR776">
        <f>HYPERLINK("http://catalog.hathitrust.org/Record/000196100","HathiTrust Record")</f>
        <v/>
      </c>
      <c r="AS776">
        <f>HYPERLINK("https://creighton-primo.hosted.exlibrisgroup.com/primo-explore/search?tab=default_tab&amp;search_scope=EVERYTHING&amp;vid=01CRU&amp;lang=en_US&amp;offset=0&amp;query=any,contains,991000193329702656","Catalog Record")</f>
        <v/>
      </c>
      <c r="AT776">
        <f>HYPERLINK("http://www.worldcat.org/oclc/9418696","WorldCat Record")</f>
        <v/>
      </c>
      <c r="AU776" t="inlineStr">
        <is>
          <t>3768363557:eng</t>
        </is>
      </c>
      <c r="AV776" t="inlineStr">
        <is>
          <t>9418696</t>
        </is>
      </c>
      <c r="AW776" t="inlineStr">
        <is>
          <t>991000193329702656</t>
        </is>
      </c>
      <c r="AX776" t="inlineStr">
        <is>
          <t>991000193329702656</t>
        </is>
      </c>
      <c r="AY776" t="inlineStr">
        <is>
          <t>2265547980002656</t>
        </is>
      </c>
      <c r="AZ776" t="inlineStr">
        <is>
          <t>BOOK</t>
        </is>
      </c>
      <c r="BB776" t="inlineStr">
        <is>
          <t>9780801415371</t>
        </is>
      </c>
      <c r="BC776" t="inlineStr">
        <is>
          <t>32285000943638</t>
        </is>
      </c>
      <c r="BD776" t="inlineStr">
        <is>
          <t>893683230</t>
        </is>
      </c>
    </row>
    <row r="777">
      <c r="A777" t="inlineStr">
        <is>
          <t>No</t>
        </is>
      </c>
      <c r="B777" t="inlineStr">
        <is>
          <t>ND673.E6 H313</t>
        </is>
      </c>
      <c r="C777" t="inlineStr">
        <is>
          <t>0                      ND 0673000E  6                  H  313</t>
        </is>
      </c>
      <c r="D777" t="inlineStr">
        <is>
          <t>James Ensor. Pref. by Jean Cassou. [Translated from the French by Norbert Guterman]</t>
        </is>
      </c>
      <c r="F777" t="inlineStr">
        <is>
          <t>No</t>
        </is>
      </c>
      <c r="G777" t="inlineStr">
        <is>
          <t>1</t>
        </is>
      </c>
      <c r="H777" t="inlineStr">
        <is>
          <t>No</t>
        </is>
      </c>
      <c r="I777" t="inlineStr">
        <is>
          <t>No</t>
        </is>
      </c>
      <c r="J777" t="inlineStr">
        <is>
          <t>0</t>
        </is>
      </c>
      <c r="K777" t="inlineStr">
        <is>
          <t>Haesaerts, Paul, 1901-1974.</t>
        </is>
      </c>
      <c r="L777" t="inlineStr">
        <is>
          <t>New York, Abrams [1959, c1957]</t>
        </is>
      </c>
      <c r="M777" t="inlineStr">
        <is>
          <t>1959</t>
        </is>
      </c>
      <c r="O777" t="inlineStr">
        <is>
          <t>eng</t>
        </is>
      </c>
      <c r="P777" t="inlineStr">
        <is>
          <t>nyu</t>
        </is>
      </c>
      <c r="R777" t="inlineStr">
        <is>
          <t xml:space="preserve">ND </t>
        </is>
      </c>
      <c r="S777" t="n">
        <v>6</v>
      </c>
      <c r="T777" t="n">
        <v>6</v>
      </c>
      <c r="U777" t="inlineStr">
        <is>
          <t>2000-01-21</t>
        </is>
      </c>
      <c r="V777" t="inlineStr">
        <is>
          <t>2000-01-21</t>
        </is>
      </c>
      <c r="W777" t="inlineStr">
        <is>
          <t>1997-08-05</t>
        </is>
      </c>
      <c r="X777" t="inlineStr">
        <is>
          <t>1997-08-05</t>
        </is>
      </c>
      <c r="Y777" t="n">
        <v>685</v>
      </c>
      <c r="Z777" t="n">
        <v>650</v>
      </c>
      <c r="AA777" t="n">
        <v>655</v>
      </c>
      <c r="AB777" t="n">
        <v>9</v>
      </c>
      <c r="AC777" t="n">
        <v>9</v>
      </c>
      <c r="AD777" t="n">
        <v>27</v>
      </c>
      <c r="AE777" t="n">
        <v>27</v>
      </c>
      <c r="AF777" t="n">
        <v>11</v>
      </c>
      <c r="AG777" t="n">
        <v>11</v>
      </c>
      <c r="AH777" t="n">
        <v>3</v>
      </c>
      <c r="AI777" t="n">
        <v>3</v>
      </c>
      <c r="AJ777" t="n">
        <v>10</v>
      </c>
      <c r="AK777" t="n">
        <v>10</v>
      </c>
      <c r="AL777" t="n">
        <v>7</v>
      </c>
      <c r="AM777" t="n">
        <v>7</v>
      </c>
      <c r="AN777" t="n">
        <v>0</v>
      </c>
      <c r="AO777" t="n">
        <v>0</v>
      </c>
      <c r="AP777" t="inlineStr">
        <is>
          <t>No</t>
        </is>
      </c>
      <c r="AQ777" t="inlineStr">
        <is>
          <t>Yes</t>
        </is>
      </c>
      <c r="AR777">
        <f>HYPERLINK("http://catalog.hathitrust.org/Record/000608769","HathiTrust Record")</f>
        <v/>
      </c>
      <c r="AS777">
        <f>HYPERLINK("https://creighton-primo.hosted.exlibrisgroup.com/primo-explore/search?tab=default_tab&amp;search_scope=EVERYTHING&amp;vid=01CRU&amp;lang=en_US&amp;offset=0&amp;query=any,contains,991002903519702656","Catalog Record")</f>
        <v/>
      </c>
      <c r="AT777">
        <f>HYPERLINK("http://www.worldcat.org/oclc/518328","WorldCat Record")</f>
        <v/>
      </c>
      <c r="AU777" t="inlineStr">
        <is>
          <t>4820458692:eng</t>
        </is>
      </c>
      <c r="AV777" t="inlineStr">
        <is>
          <t>518328</t>
        </is>
      </c>
      <c r="AW777" t="inlineStr">
        <is>
          <t>991002903519702656</t>
        </is>
      </c>
      <c r="AX777" t="inlineStr">
        <is>
          <t>991002903519702656</t>
        </is>
      </c>
      <c r="AY777" t="inlineStr">
        <is>
          <t>2255830650002656</t>
        </is>
      </c>
      <c r="AZ777" t="inlineStr">
        <is>
          <t>BOOK</t>
        </is>
      </c>
      <c r="BC777" t="inlineStr">
        <is>
          <t>32285002969268</t>
        </is>
      </c>
      <c r="BD777" t="inlineStr">
        <is>
          <t>893610448</t>
        </is>
      </c>
    </row>
    <row r="778">
      <c r="A778" t="inlineStr">
        <is>
          <t>No</t>
        </is>
      </c>
      <c r="B778" t="inlineStr">
        <is>
          <t>ND673.E6 J3613 1978</t>
        </is>
      </c>
      <c r="C778" t="inlineStr">
        <is>
          <t>0                      ND 0673000E  6                  J  3613        1978</t>
        </is>
      </c>
      <c r="D778" t="inlineStr">
        <is>
          <t>James Ensor / by Jacques Janssens.</t>
        </is>
      </c>
      <c r="F778" t="inlineStr">
        <is>
          <t>No</t>
        </is>
      </c>
      <c r="G778" t="inlineStr">
        <is>
          <t>1</t>
        </is>
      </c>
      <c r="H778" t="inlineStr">
        <is>
          <t>No</t>
        </is>
      </c>
      <c r="I778" t="inlineStr">
        <is>
          <t>No</t>
        </is>
      </c>
      <c r="J778" t="inlineStr">
        <is>
          <t>0</t>
        </is>
      </c>
      <c r="K778" t="inlineStr">
        <is>
          <t>Janssens, Jacques.</t>
        </is>
      </c>
      <c r="L778" t="inlineStr">
        <is>
          <t>New York : Crown Publishers, c1978.</t>
        </is>
      </c>
      <c r="M778" t="inlineStr">
        <is>
          <t>1978</t>
        </is>
      </c>
      <c r="O778" t="inlineStr">
        <is>
          <t>eng</t>
        </is>
      </c>
      <c r="P778" t="inlineStr">
        <is>
          <t>nyu</t>
        </is>
      </c>
      <c r="R778" t="inlineStr">
        <is>
          <t xml:space="preserve">ND </t>
        </is>
      </c>
      <c r="S778" t="n">
        <v>7</v>
      </c>
      <c r="T778" t="n">
        <v>7</v>
      </c>
      <c r="U778" t="inlineStr">
        <is>
          <t>2000-01-21</t>
        </is>
      </c>
      <c r="V778" t="inlineStr">
        <is>
          <t>2000-01-21</t>
        </is>
      </c>
      <c r="W778" t="inlineStr">
        <is>
          <t>1993-05-24</t>
        </is>
      </c>
      <c r="X778" t="inlineStr">
        <is>
          <t>1993-05-24</t>
        </is>
      </c>
      <c r="Y778" t="n">
        <v>473</v>
      </c>
      <c r="Z778" t="n">
        <v>418</v>
      </c>
      <c r="AA778" t="n">
        <v>440</v>
      </c>
      <c r="AB778" t="n">
        <v>2</v>
      </c>
      <c r="AC778" t="n">
        <v>2</v>
      </c>
      <c r="AD778" t="n">
        <v>12</v>
      </c>
      <c r="AE778" t="n">
        <v>13</v>
      </c>
      <c r="AF778" t="n">
        <v>5</v>
      </c>
      <c r="AG778" t="n">
        <v>5</v>
      </c>
      <c r="AH778" t="n">
        <v>5</v>
      </c>
      <c r="AI778" t="n">
        <v>5</v>
      </c>
      <c r="AJ778" t="n">
        <v>7</v>
      </c>
      <c r="AK778" t="n">
        <v>8</v>
      </c>
      <c r="AL778" t="n">
        <v>1</v>
      </c>
      <c r="AM778" t="n">
        <v>1</v>
      </c>
      <c r="AN778" t="n">
        <v>0</v>
      </c>
      <c r="AO778" t="n">
        <v>0</v>
      </c>
      <c r="AP778" t="inlineStr">
        <is>
          <t>No</t>
        </is>
      </c>
      <c r="AQ778" t="inlineStr">
        <is>
          <t>Yes</t>
        </is>
      </c>
      <c r="AR778">
        <f>HYPERLINK("http://catalog.hathitrust.org/Record/003307951","HathiTrust Record")</f>
        <v/>
      </c>
      <c r="AS778">
        <f>HYPERLINK("https://creighton-primo.hosted.exlibrisgroup.com/primo-explore/search?tab=default_tab&amp;search_scope=EVERYTHING&amp;vid=01CRU&amp;lang=en_US&amp;offset=0&amp;query=any,contains,991004655689702656","Catalog Record")</f>
        <v/>
      </c>
      <c r="AT778">
        <f>HYPERLINK("http://www.worldcat.org/oclc/4495221","WorldCat Record")</f>
        <v/>
      </c>
      <c r="AU778" t="inlineStr">
        <is>
          <t>1909035099:eng</t>
        </is>
      </c>
      <c r="AV778" t="inlineStr">
        <is>
          <t>4495221</t>
        </is>
      </c>
      <c r="AW778" t="inlineStr">
        <is>
          <t>991004655689702656</t>
        </is>
      </c>
      <c r="AX778" t="inlineStr">
        <is>
          <t>991004655689702656</t>
        </is>
      </c>
      <c r="AY778" t="inlineStr">
        <is>
          <t>2268019540002656</t>
        </is>
      </c>
      <c r="AZ778" t="inlineStr">
        <is>
          <t>BOOK</t>
        </is>
      </c>
      <c r="BB778" t="inlineStr">
        <is>
          <t>9780517532843</t>
        </is>
      </c>
      <c r="BC778" t="inlineStr">
        <is>
          <t>32285001692614</t>
        </is>
      </c>
      <c r="BD778" t="inlineStr">
        <is>
          <t>893241700</t>
        </is>
      </c>
    </row>
    <row r="779">
      <c r="A779" t="inlineStr">
        <is>
          <t>No</t>
        </is>
      </c>
      <c r="B779" t="inlineStr">
        <is>
          <t>ND673.E87 B72 1971</t>
        </is>
      </c>
      <c r="C779" t="inlineStr">
        <is>
          <t>0                      ND 0673000E  87                 B  72          1971</t>
        </is>
      </c>
      <c r="D779" t="inlineStr">
        <is>
          <t>The Van Eyck problem.</t>
        </is>
      </c>
      <c r="F779" t="inlineStr">
        <is>
          <t>No</t>
        </is>
      </c>
      <c r="G779" t="inlineStr">
        <is>
          <t>1</t>
        </is>
      </c>
      <c r="H779" t="inlineStr">
        <is>
          <t>No</t>
        </is>
      </c>
      <c r="I779" t="inlineStr">
        <is>
          <t>No</t>
        </is>
      </c>
      <c r="J779" t="inlineStr">
        <is>
          <t>0</t>
        </is>
      </c>
      <c r="K779" t="inlineStr">
        <is>
          <t>Brockwell, Maurice W., 1869-1958.</t>
        </is>
      </c>
      <c r="L779" t="inlineStr">
        <is>
          <t>Westport, Conn. : Greenwood Press, [1971]</t>
        </is>
      </c>
      <c r="M779" t="inlineStr">
        <is>
          <t>1971</t>
        </is>
      </c>
      <c r="O779" t="inlineStr">
        <is>
          <t>eng</t>
        </is>
      </c>
      <c r="P779" t="inlineStr">
        <is>
          <t>ctu</t>
        </is>
      </c>
      <c r="R779" t="inlineStr">
        <is>
          <t xml:space="preserve">ND </t>
        </is>
      </c>
      <c r="S779" t="n">
        <v>5</v>
      </c>
      <c r="T779" t="n">
        <v>5</v>
      </c>
      <c r="U779" t="inlineStr">
        <is>
          <t>2010-02-13</t>
        </is>
      </c>
      <c r="V779" t="inlineStr">
        <is>
          <t>2010-02-13</t>
        </is>
      </c>
      <c r="W779" t="inlineStr">
        <is>
          <t>1993-12-17</t>
        </is>
      </c>
      <c r="X779" t="inlineStr">
        <is>
          <t>1993-12-17</t>
        </is>
      </c>
      <c r="Y779" t="n">
        <v>219</v>
      </c>
      <c r="Z779" t="n">
        <v>196</v>
      </c>
      <c r="AA779" t="n">
        <v>278</v>
      </c>
      <c r="AB779" t="n">
        <v>2</v>
      </c>
      <c r="AC779" t="n">
        <v>3</v>
      </c>
      <c r="AD779" t="n">
        <v>9</v>
      </c>
      <c r="AE779" t="n">
        <v>14</v>
      </c>
      <c r="AF779" t="n">
        <v>1</v>
      </c>
      <c r="AG779" t="n">
        <v>2</v>
      </c>
      <c r="AH779" t="n">
        <v>6</v>
      </c>
      <c r="AI779" t="n">
        <v>6</v>
      </c>
      <c r="AJ779" t="n">
        <v>4</v>
      </c>
      <c r="AK779" t="n">
        <v>8</v>
      </c>
      <c r="AL779" t="n">
        <v>1</v>
      </c>
      <c r="AM779" t="n">
        <v>2</v>
      </c>
      <c r="AN779" t="n">
        <v>0</v>
      </c>
      <c r="AO779" t="n">
        <v>0</v>
      </c>
      <c r="AP779" t="inlineStr">
        <is>
          <t>No</t>
        </is>
      </c>
      <c r="AQ779" t="inlineStr">
        <is>
          <t>Yes</t>
        </is>
      </c>
      <c r="AR779">
        <f>HYPERLINK("http://catalog.hathitrust.org/Record/004504883","HathiTrust Record")</f>
        <v/>
      </c>
      <c r="AS779">
        <f>HYPERLINK("https://creighton-primo.hosted.exlibrisgroup.com/primo-explore/search?tab=default_tab&amp;search_scope=EVERYTHING&amp;vid=01CRU&amp;lang=en_US&amp;offset=0&amp;query=any,contains,991000830799702656","Catalog Record")</f>
        <v/>
      </c>
      <c r="AT779">
        <f>HYPERLINK("http://www.worldcat.org/oclc/147701","WorldCat Record")</f>
        <v/>
      </c>
      <c r="AU779" t="inlineStr">
        <is>
          <t>1331094:eng</t>
        </is>
      </c>
      <c r="AV779" t="inlineStr">
        <is>
          <t>147701</t>
        </is>
      </c>
      <c r="AW779" t="inlineStr">
        <is>
          <t>991000830799702656</t>
        </is>
      </c>
      <c r="AX779" t="inlineStr">
        <is>
          <t>991000830799702656</t>
        </is>
      </c>
      <c r="AY779" t="inlineStr">
        <is>
          <t>2259025420002656</t>
        </is>
      </c>
      <c r="AZ779" t="inlineStr">
        <is>
          <t>BOOK</t>
        </is>
      </c>
      <c r="BB779" t="inlineStr">
        <is>
          <t>9780837156774</t>
        </is>
      </c>
      <c r="BC779" t="inlineStr">
        <is>
          <t>32285001825461</t>
        </is>
      </c>
      <c r="BD779" t="inlineStr">
        <is>
          <t>893528431</t>
        </is>
      </c>
    </row>
    <row r="780">
      <c r="A780" t="inlineStr">
        <is>
          <t>No</t>
        </is>
      </c>
      <c r="B780" t="inlineStr">
        <is>
          <t>ND673.E87 D49 1973</t>
        </is>
      </c>
      <c r="C780" t="inlineStr">
        <is>
          <t>0                      ND 0673000E  87                 D  49          1973</t>
        </is>
      </c>
      <c r="D780" t="inlineStr">
        <is>
          <t>Van Eyck : the Ghent altarpiece / [by] Elisabeth Dhanens.</t>
        </is>
      </c>
      <c r="F780" t="inlineStr">
        <is>
          <t>No</t>
        </is>
      </c>
      <c r="G780" t="inlineStr">
        <is>
          <t>1</t>
        </is>
      </c>
      <c r="H780" t="inlineStr">
        <is>
          <t>No</t>
        </is>
      </c>
      <c r="I780" t="inlineStr">
        <is>
          <t>No</t>
        </is>
      </c>
      <c r="J780" t="inlineStr">
        <is>
          <t>0</t>
        </is>
      </c>
      <c r="K780" t="inlineStr">
        <is>
          <t>Dhanens, Elisabeth.</t>
        </is>
      </c>
      <c r="L780" t="inlineStr">
        <is>
          <t>New York : Viking Press, [1973]</t>
        </is>
      </c>
      <c r="M780" t="inlineStr">
        <is>
          <t>1973</t>
        </is>
      </c>
      <c r="O780" t="inlineStr">
        <is>
          <t>eng</t>
        </is>
      </c>
      <c r="P780" t="inlineStr">
        <is>
          <t>nyu</t>
        </is>
      </c>
      <c r="Q780" t="inlineStr">
        <is>
          <t>Art in context</t>
        </is>
      </c>
      <c r="R780" t="inlineStr">
        <is>
          <t xml:space="preserve">ND </t>
        </is>
      </c>
      <c r="S780" t="n">
        <v>6</v>
      </c>
      <c r="T780" t="n">
        <v>6</v>
      </c>
      <c r="U780" t="inlineStr">
        <is>
          <t>2010-11-01</t>
        </is>
      </c>
      <c r="V780" t="inlineStr">
        <is>
          <t>2010-11-01</t>
        </is>
      </c>
      <c r="W780" t="inlineStr">
        <is>
          <t>1990-07-25</t>
        </is>
      </c>
      <c r="X780" t="inlineStr">
        <is>
          <t>1990-07-25</t>
        </is>
      </c>
      <c r="Y780" t="n">
        <v>573</v>
      </c>
      <c r="Z780" t="n">
        <v>542</v>
      </c>
      <c r="AA780" t="n">
        <v>582</v>
      </c>
      <c r="AB780" t="n">
        <v>4</v>
      </c>
      <c r="AC780" t="n">
        <v>4</v>
      </c>
      <c r="AD780" t="n">
        <v>15</v>
      </c>
      <c r="AE780" t="n">
        <v>16</v>
      </c>
      <c r="AF780" t="n">
        <v>5</v>
      </c>
      <c r="AG780" t="n">
        <v>5</v>
      </c>
      <c r="AH780" t="n">
        <v>3</v>
      </c>
      <c r="AI780" t="n">
        <v>4</v>
      </c>
      <c r="AJ780" t="n">
        <v>9</v>
      </c>
      <c r="AK780" t="n">
        <v>9</v>
      </c>
      <c r="AL780" t="n">
        <v>2</v>
      </c>
      <c r="AM780" t="n">
        <v>2</v>
      </c>
      <c r="AN780" t="n">
        <v>0</v>
      </c>
      <c r="AO780" t="n">
        <v>0</v>
      </c>
      <c r="AP780" t="inlineStr">
        <is>
          <t>No</t>
        </is>
      </c>
      <c r="AQ780" t="inlineStr">
        <is>
          <t>Yes</t>
        </is>
      </c>
      <c r="AR780">
        <f>HYPERLINK("http://catalog.hathitrust.org/Record/000011321","HathiTrust Record")</f>
        <v/>
      </c>
      <c r="AS780">
        <f>HYPERLINK("https://creighton-primo.hosted.exlibrisgroup.com/primo-explore/search?tab=default_tab&amp;search_scope=EVERYTHING&amp;vid=01CRU&amp;lang=en_US&amp;offset=0&amp;query=any,contains,991003242909702656","Catalog Record")</f>
        <v/>
      </c>
      <c r="AT780">
        <f>HYPERLINK("http://www.worldcat.org/oclc/765947","WorldCat Record")</f>
        <v/>
      </c>
      <c r="AU780" t="inlineStr">
        <is>
          <t>1658165:eng</t>
        </is>
      </c>
      <c r="AV780" t="inlineStr">
        <is>
          <t>765947</t>
        </is>
      </c>
      <c r="AW780" t="inlineStr">
        <is>
          <t>991003242909702656</t>
        </is>
      </c>
      <c r="AX780" t="inlineStr">
        <is>
          <t>991003242909702656</t>
        </is>
      </c>
      <c r="AY780" t="inlineStr">
        <is>
          <t>2270298840002656</t>
        </is>
      </c>
      <c r="AZ780" t="inlineStr">
        <is>
          <t>BOOK</t>
        </is>
      </c>
      <c r="BB780" t="inlineStr">
        <is>
          <t>9780670742738</t>
        </is>
      </c>
      <c r="BC780" t="inlineStr">
        <is>
          <t>32285000233691</t>
        </is>
      </c>
      <c r="BD780" t="inlineStr">
        <is>
          <t>893348471</t>
        </is>
      </c>
    </row>
    <row r="781">
      <c r="A781" t="inlineStr">
        <is>
          <t>No</t>
        </is>
      </c>
      <c r="B781" t="inlineStr">
        <is>
          <t>ND673.E87 P5</t>
        </is>
      </c>
      <c r="C781" t="inlineStr">
        <is>
          <t>0                      ND 0673000E  87                 P  5</t>
        </is>
      </c>
      <c r="D781" t="inlineStr">
        <is>
          <t>The Ghent altarpiece and the art of Jan van Eyck.</t>
        </is>
      </c>
      <c r="F781" t="inlineStr">
        <is>
          <t>No</t>
        </is>
      </c>
      <c r="G781" t="inlineStr">
        <is>
          <t>1</t>
        </is>
      </c>
      <c r="H781" t="inlineStr">
        <is>
          <t>No</t>
        </is>
      </c>
      <c r="I781" t="inlineStr">
        <is>
          <t>No</t>
        </is>
      </c>
      <c r="J781" t="inlineStr">
        <is>
          <t>0</t>
        </is>
      </c>
      <c r="K781" t="inlineStr">
        <is>
          <t>Philip, Lotte Brand.</t>
        </is>
      </c>
      <c r="L781" t="inlineStr">
        <is>
          <t>Princeton, N.J. : Princeton University Press, 1971.</t>
        </is>
      </c>
      <c r="M781" t="inlineStr">
        <is>
          <t>1971</t>
        </is>
      </c>
      <c r="O781" t="inlineStr">
        <is>
          <t>eng</t>
        </is>
      </c>
      <c r="P781" t="inlineStr">
        <is>
          <t>nju</t>
        </is>
      </c>
      <c r="R781" t="inlineStr">
        <is>
          <t xml:space="preserve">ND </t>
        </is>
      </c>
      <c r="S781" t="n">
        <v>4</v>
      </c>
      <c r="T781" t="n">
        <v>4</v>
      </c>
      <c r="U781" t="inlineStr">
        <is>
          <t>2010-11-01</t>
        </is>
      </c>
      <c r="V781" t="inlineStr">
        <is>
          <t>2010-11-01</t>
        </is>
      </c>
      <c r="W781" t="inlineStr">
        <is>
          <t>1990-04-25</t>
        </is>
      </c>
      <c r="X781" t="inlineStr">
        <is>
          <t>1990-04-25</t>
        </is>
      </c>
      <c r="Y781" t="n">
        <v>779</v>
      </c>
      <c r="Z781" t="n">
        <v>643</v>
      </c>
      <c r="AA781" t="n">
        <v>650</v>
      </c>
      <c r="AB781" t="n">
        <v>4</v>
      </c>
      <c r="AC781" t="n">
        <v>4</v>
      </c>
      <c r="AD781" t="n">
        <v>22</v>
      </c>
      <c r="AE781" t="n">
        <v>23</v>
      </c>
      <c r="AF781" t="n">
        <v>6</v>
      </c>
      <c r="AG781" t="n">
        <v>7</v>
      </c>
      <c r="AH781" t="n">
        <v>6</v>
      </c>
      <c r="AI781" t="n">
        <v>6</v>
      </c>
      <c r="AJ781" t="n">
        <v>11</v>
      </c>
      <c r="AK781" t="n">
        <v>12</v>
      </c>
      <c r="AL781" t="n">
        <v>3</v>
      </c>
      <c r="AM781" t="n">
        <v>3</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HYPERLINK("https://creighton-primo.hosted.exlibrisgroup.com/primo-explore/search?tab=default_tab&amp;search_scope=EVERYTHING&amp;vid=01CRU&amp;lang=en_US&amp;offset=0&amp;query=any,contains,991002248599702656","Catalog Record")</f>
        <v/>
      </c>
      <c r="AT781">
        <f>HYPERLINK("http://www.worldcat.org/oclc/298335","WorldCat Record")</f>
        <v/>
      </c>
      <c r="AU781" t="inlineStr">
        <is>
          <t>1503983:eng</t>
        </is>
      </c>
      <c r="AV781" t="inlineStr">
        <is>
          <t>298335</t>
        </is>
      </c>
      <c r="AW781" t="inlineStr">
        <is>
          <t>991002248599702656</t>
        </is>
      </c>
      <c r="AX781" t="inlineStr">
        <is>
          <t>991002248599702656</t>
        </is>
      </c>
      <c r="AY781" t="inlineStr">
        <is>
          <t>2264972710002656</t>
        </is>
      </c>
      <c r="AZ781" t="inlineStr">
        <is>
          <t>BOOK</t>
        </is>
      </c>
      <c r="BB781" t="inlineStr">
        <is>
          <t>9780691038704</t>
        </is>
      </c>
      <c r="BC781" t="inlineStr">
        <is>
          <t>32285000119148</t>
        </is>
      </c>
      <c r="BD781" t="inlineStr">
        <is>
          <t>893439940</t>
        </is>
      </c>
    </row>
    <row r="782">
      <c r="A782" t="inlineStr">
        <is>
          <t>No</t>
        </is>
      </c>
      <c r="B782" t="inlineStr">
        <is>
          <t>ND673.E87 P75</t>
        </is>
      </c>
      <c r="C782" t="inlineStr">
        <is>
          <t>0                      ND 0673000E  87                 P  75</t>
        </is>
      </c>
      <c r="D782" t="inlineStr">
        <is>
          <t>The Marian paintings of Jan van Eyck / Carol J. Purtle.</t>
        </is>
      </c>
      <c r="F782" t="inlineStr">
        <is>
          <t>No</t>
        </is>
      </c>
      <c r="G782" t="inlineStr">
        <is>
          <t>1</t>
        </is>
      </c>
      <c r="H782" t="inlineStr">
        <is>
          <t>No</t>
        </is>
      </c>
      <c r="I782" t="inlineStr">
        <is>
          <t>No</t>
        </is>
      </c>
      <c r="J782" t="inlineStr">
        <is>
          <t>0</t>
        </is>
      </c>
      <c r="K782" t="inlineStr">
        <is>
          <t>Purtle, Carol J., 1939-</t>
        </is>
      </c>
      <c r="L782" t="inlineStr">
        <is>
          <t>Princeton, N.J. : Princeton University Press, c1982.</t>
        </is>
      </c>
      <c r="M782" t="inlineStr">
        <is>
          <t>1982</t>
        </is>
      </c>
      <c r="O782" t="inlineStr">
        <is>
          <t>eng</t>
        </is>
      </c>
      <c r="P782" t="inlineStr">
        <is>
          <t>nju</t>
        </is>
      </c>
      <c r="R782" t="inlineStr">
        <is>
          <t xml:space="preserve">ND </t>
        </is>
      </c>
      <c r="S782" t="n">
        <v>6</v>
      </c>
      <c r="T782" t="n">
        <v>6</v>
      </c>
      <c r="U782" t="inlineStr">
        <is>
          <t>2010-11-01</t>
        </is>
      </c>
      <c r="V782" t="inlineStr">
        <is>
          <t>2010-11-01</t>
        </is>
      </c>
      <c r="W782" t="inlineStr">
        <is>
          <t>1990-07-03</t>
        </is>
      </c>
      <c r="X782" t="inlineStr">
        <is>
          <t>1990-07-03</t>
        </is>
      </c>
      <c r="Y782" t="n">
        <v>547</v>
      </c>
      <c r="Z782" t="n">
        <v>424</v>
      </c>
      <c r="AA782" t="n">
        <v>425</v>
      </c>
      <c r="AB782" t="n">
        <v>3</v>
      </c>
      <c r="AC782" t="n">
        <v>3</v>
      </c>
      <c r="AD782" t="n">
        <v>20</v>
      </c>
      <c r="AE782" t="n">
        <v>20</v>
      </c>
      <c r="AF782" t="n">
        <v>8</v>
      </c>
      <c r="AG782" t="n">
        <v>8</v>
      </c>
      <c r="AH782" t="n">
        <v>4</v>
      </c>
      <c r="AI782" t="n">
        <v>4</v>
      </c>
      <c r="AJ782" t="n">
        <v>12</v>
      </c>
      <c r="AK782" t="n">
        <v>12</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HYPERLINK("https://creighton-primo.hosted.exlibrisgroup.com/primo-explore/search?tab=default_tab&amp;search_scope=EVERYTHING&amp;vid=01CRU&amp;lang=en_US&amp;offset=0&amp;query=any,contains,991005173269702656","Catalog Record")</f>
        <v/>
      </c>
      <c r="AT782">
        <f>HYPERLINK("http://www.worldcat.org/oclc/7876788","WorldCat Record")</f>
        <v/>
      </c>
      <c r="AU782" t="inlineStr">
        <is>
          <t>441172:eng</t>
        </is>
      </c>
      <c r="AV782" t="inlineStr">
        <is>
          <t>7876788</t>
        </is>
      </c>
      <c r="AW782" t="inlineStr">
        <is>
          <t>991005173269702656</t>
        </is>
      </c>
      <c r="AX782" t="inlineStr">
        <is>
          <t>991005173269702656</t>
        </is>
      </c>
      <c r="AY782" t="inlineStr">
        <is>
          <t>2268747390002656</t>
        </is>
      </c>
      <c r="AZ782" t="inlineStr">
        <is>
          <t>BOOK</t>
        </is>
      </c>
      <c r="BB782" t="inlineStr">
        <is>
          <t>9780691039893</t>
        </is>
      </c>
      <c r="BC782" t="inlineStr">
        <is>
          <t>32285000220805</t>
        </is>
      </c>
      <c r="BD782" t="inlineStr">
        <is>
          <t>893613246</t>
        </is>
      </c>
    </row>
    <row r="783">
      <c r="A783" t="inlineStr">
        <is>
          <t>No</t>
        </is>
      </c>
      <c r="B783" t="inlineStr">
        <is>
          <t>ND673.E9 N8</t>
        </is>
      </c>
      <c r="C783" t="inlineStr">
        <is>
          <t>0                      ND 0673000E  9                  N  8</t>
        </is>
      </c>
      <c r="D783" t="inlineStr">
        <is>
          <t>Jan van Eyck : master painter.</t>
        </is>
      </c>
      <c r="F783" t="inlineStr">
        <is>
          <t>No</t>
        </is>
      </c>
      <c r="G783" t="inlineStr">
        <is>
          <t>1</t>
        </is>
      </c>
      <c r="H783" t="inlineStr">
        <is>
          <t>No</t>
        </is>
      </c>
      <c r="I783" t="inlineStr">
        <is>
          <t>No</t>
        </is>
      </c>
      <c r="J783" t="inlineStr">
        <is>
          <t>0</t>
        </is>
      </c>
      <c r="K783" t="inlineStr">
        <is>
          <t>Nugent, Frances Roberts.</t>
        </is>
      </c>
      <c r="L783" t="inlineStr">
        <is>
          <t>Chicago : Rand McNally, [1962]</t>
        </is>
      </c>
      <c r="M783" t="inlineStr">
        <is>
          <t>1962</t>
        </is>
      </c>
      <c r="O783" t="inlineStr">
        <is>
          <t>eng</t>
        </is>
      </c>
      <c r="P783" t="inlineStr">
        <is>
          <t xml:space="preserve">xx </t>
        </is>
      </c>
      <c r="R783" t="inlineStr">
        <is>
          <t xml:space="preserve">ND </t>
        </is>
      </c>
      <c r="S783" t="n">
        <v>6</v>
      </c>
      <c r="T783" t="n">
        <v>6</v>
      </c>
      <c r="U783" t="inlineStr">
        <is>
          <t>2010-11-01</t>
        </is>
      </c>
      <c r="V783" t="inlineStr">
        <is>
          <t>2010-11-01</t>
        </is>
      </c>
      <c r="W783" t="inlineStr">
        <is>
          <t>1990-07-25</t>
        </is>
      </c>
      <c r="X783" t="inlineStr">
        <is>
          <t>1990-07-25</t>
        </is>
      </c>
      <c r="Y783" t="n">
        <v>243</v>
      </c>
      <c r="Z783" t="n">
        <v>238</v>
      </c>
      <c r="AA783" t="n">
        <v>239</v>
      </c>
      <c r="AB783" t="n">
        <v>2</v>
      </c>
      <c r="AC783" t="n">
        <v>2</v>
      </c>
      <c r="AD783" t="n">
        <v>4</v>
      </c>
      <c r="AE783" t="n">
        <v>4</v>
      </c>
      <c r="AF783" t="n">
        <v>3</v>
      </c>
      <c r="AG783" t="n">
        <v>3</v>
      </c>
      <c r="AH783" t="n">
        <v>0</v>
      </c>
      <c r="AI783" t="n">
        <v>0</v>
      </c>
      <c r="AJ783" t="n">
        <v>1</v>
      </c>
      <c r="AK783" t="n">
        <v>1</v>
      </c>
      <c r="AL783" t="n">
        <v>1</v>
      </c>
      <c r="AM783" t="n">
        <v>1</v>
      </c>
      <c r="AN783" t="n">
        <v>0</v>
      </c>
      <c r="AO783" t="n">
        <v>0</v>
      </c>
      <c r="AP783" t="inlineStr">
        <is>
          <t>No</t>
        </is>
      </c>
      <c r="AQ783" t="inlineStr">
        <is>
          <t>No</t>
        </is>
      </c>
      <c r="AR783">
        <f>HYPERLINK("http://catalog.hathitrust.org/Record/007122038","HathiTrust Record")</f>
        <v/>
      </c>
      <c r="AS783">
        <f>HYPERLINK("https://creighton-primo.hosted.exlibrisgroup.com/primo-explore/search?tab=default_tab&amp;search_scope=EVERYTHING&amp;vid=01CRU&amp;lang=en_US&amp;offset=0&amp;query=any,contains,991002903479702656","Catalog Record")</f>
        <v/>
      </c>
      <c r="AT783">
        <f>HYPERLINK("http://www.worldcat.org/oclc/518325","WorldCat Record")</f>
        <v/>
      </c>
      <c r="AU783" t="inlineStr">
        <is>
          <t>1508190:eng</t>
        </is>
      </c>
      <c r="AV783" t="inlineStr">
        <is>
          <t>518325</t>
        </is>
      </c>
      <c r="AW783" t="inlineStr">
        <is>
          <t>991002903479702656</t>
        </is>
      </c>
      <c r="AX783" t="inlineStr">
        <is>
          <t>991002903479702656</t>
        </is>
      </c>
      <c r="AY783" t="inlineStr">
        <is>
          <t>2255831250002656</t>
        </is>
      </c>
      <c r="AZ783" t="inlineStr">
        <is>
          <t>BOOK</t>
        </is>
      </c>
      <c r="BC783" t="inlineStr">
        <is>
          <t>32285000233683</t>
        </is>
      </c>
      <c r="BD783" t="inlineStr">
        <is>
          <t>893504968</t>
        </is>
      </c>
    </row>
    <row r="784">
      <c r="A784" t="inlineStr">
        <is>
          <t>No</t>
        </is>
      </c>
      <c r="B784" t="inlineStr">
        <is>
          <t>ND673.M35 W3</t>
        </is>
      </c>
      <c r="C784" t="inlineStr">
        <is>
          <t>0                      ND 0673000M  35                 W  3</t>
        </is>
      </c>
      <c r="D784" t="inlineStr">
        <is>
          <t>René Magritte / suivi d'une bibliographie générale par André Blavier.</t>
        </is>
      </c>
      <c r="F784" t="inlineStr">
        <is>
          <t>No</t>
        </is>
      </c>
      <c r="G784" t="inlineStr">
        <is>
          <t>1</t>
        </is>
      </c>
      <c r="H784" t="inlineStr">
        <is>
          <t>No</t>
        </is>
      </c>
      <c r="I784" t="inlineStr">
        <is>
          <t>No</t>
        </is>
      </c>
      <c r="J784" t="inlineStr">
        <is>
          <t>0</t>
        </is>
      </c>
      <c r="K784" t="inlineStr">
        <is>
          <t>Waldberg, Patrick.</t>
        </is>
      </c>
      <c r="L784" t="inlineStr">
        <is>
          <t>(Bruxelles) : A. De Rache, (1965)</t>
        </is>
      </c>
      <c r="M784" t="inlineStr">
        <is>
          <t>1965</t>
        </is>
      </c>
      <c r="O784" t="inlineStr">
        <is>
          <t>fre</t>
        </is>
      </c>
      <c r="P784" t="inlineStr">
        <is>
          <t xml:space="preserve">be </t>
        </is>
      </c>
      <c r="R784" t="inlineStr">
        <is>
          <t xml:space="preserve">ND </t>
        </is>
      </c>
      <c r="S784" t="n">
        <v>22</v>
      </c>
      <c r="T784" t="n">
        <v>22</v>
      </c>
      <c r="U784" t="inlineStr">
        <is>
          <t>2009-09-03</t>
        </is>
      </c>
      <c r="V784" t="inlineStr">
        <is>
          <t>2009-09-03</t>
        </is>
      </c>
      <c r="W784" t="inlineStr">
        <is>
          <t>1991-01-10</t>
        </is>
      </c>
      <c r="X784" t="inlineStr">
        <is>
          <t>1991-01-10</t>
        </is>
      </c>
      <c r="Y784" t="n">
        <v>145</v>
      </c>
      <c r="Z784" t="n">
        <v>120</v>
      </c>
      <c r="AA784" t="n">
        <v>136</v>
      </c>
      <c r="AB784" t="n">
        <v>4</v>
      </c>
      <c r="AC784" t="n">
        <v>4</v>
      </c>
      <c r="AD784" t="n">
        <v>4</v>
      </c>
      <c r="AE784" t="n">
        <v>4</v>
      </c>
      <c r="AF784" t="n">
        <v>2</v>
      </c>
      <c r="AG784" t="n">
        <v>2</v>
      </c>
      <c r="AH784" t="n">
        <v>0</v>
      </c>
      <c r="AI784" t="n">
        <v>0</v>
      </c>
      <c r="AJ784" t="n">
        <v>0</v>
      </c>
      <c r="AK784" t="n">
        <v>0</v>
      </c>
      <c r="AL784" t="n">
        <v>2</v>
      </c>
      <c r="AM784" t="n">
        <v>2</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HYPERLINK("https://creighton-primo.hosted.exlibrisgroup.com/primo-explore/search?tab=default_tab&amp;search_scope=EVERYTHING&amp;vid=01CRU&amp;lang=en_US&amp;offset=0&amp;query=any,contains,991003174129702656","Catalog Record")</f>
        <v/>
      </c>
      <c r="AT784">
        <f>HYPERLINK("http://www.worldcat.org/oclc/709656","WorldCat Record")</f>
        <v/>
      </c>
      <c r="AU784" t="inlineStr">
        <is>
          <t>1650043:fre</t>
        </is>
      </c>
      <c r="AV784" t="inlineStr">
        <is>
          <t>709656</t>
        </is>
      </c>
      <c r="AW784" t="inlineStr">
        <is>
          <t>991003174129702656</t>
        </is>
      </c>
      <c r="AX784" t="inlineStr">
        <is>
          <t>991003174129702656</t>
        </is>
      </c>
      <c r="AY784" t="inlineStr">
        <is>
          <t>2267551710002656</t>
        </is>
      </c>
      <c r="AZ784" t="inlineStr">
        <is>
          <t>BOOK</t>
        </is>
      </c>
      <c r="BC784" t="inlineStr">
        <is>
          <t>32285000430016</t>
        </is>
      </c>
      <c r="BD784" t="inlineStr">
        <is>
          <t>893252108</t>
        </is>
      </c>
    </row>
    <row r="785">
      <c r="A785" t="inlineStr">
        <is>
          <t>No</t>
        </is>
      </c>
      <c r="B785" t="inlineStr">
        <is>
          <t>ND673.R9 A4 1990</t>
        </is>
      </c>
      <c r="C785" t="inlineStr">
        <is>
          <t>0                      ND 0673000R  9                  A  4           1990</t>
        </is>
      </c>
      <c r="D785" t="inlineStr">
        <is>
          <t>Rubens en zijn tijd : eigen collectie = Rubens and his age : own collection / Nora de Poorter, Guido Jansen, Jeroen Giltaij.</t>
        </is>
      </c>
      <c r="F785" t="inlineStr">
        <is>
          <t>No</t>
        </is>
      </c>
      <c r="G785" t="inlineStr">
        <is>
          <t>1</t>
        </is>
      </c>
      <c r="H785" t="inlineStr">
        <is>
          <t>No</t>
        </is>
      </c>
      <c r="I785" t="inlineStr">
        <is>
          <t>No</t>
        </is>
      </c>
      <c r="J785" t="inlineStr">
        <is>
          <t>0</t>
        </is>
      </c>
      <c r="K785" t="inlineStr">
        <is>
          <t>Museum Boymans-Van Beuningen.</t>
        </is>
      </c>
      <c r="L785" t="inlineStr">
        <is>
          <t>Rotterdam : Het Museum, 1990.</t>
        </is>
      </c>
      <c r="M785" t="inlineStr">
        <is>
          <t>1990</t>
        </is>
      </c>
      <c r="O785" t="inlineStr">
        <is>
          <t>dut</t>
        </is>
      </c>
      <c r="P785" t="inlineStr">
        <is>
          <t xml:space="preserve">ne </t>
        </is>
      </c>
      <c r="R785" t="inlineStr">
        <is>
          <t xml:space="preserve">ND </t>
        </is>
      </c>
      <c r="S785" t="n">
        <v>2</v>
      </c>
      <c r="T785" t="n">
        <v>2</v>
      </c>
      <c r="U785" t="inlineStr">
        <is>
          <t>1995-11-06</t>
        </is>
      </c>
      <c r="V785" t="inlineStr">
        <is>
          <t>1995-11-06</t>
        </is>
      </c>
      <c r="W785" t="inlineStr">
        <is>
          <t>1991-12-15</t>
        </is>
      </c>
      <c r="X785" t="inlineStr">
        <is>
          <t>1991-12-15</t>
        </is>
      </c>
      <c r="Y785" t="n">
        <v>234</v>
      </c>
      <c r="Z785" t="n">
        <v>200</v>
      </c>
      <c r="AA785" t="n">
        <v>203</v>
      </c>
      <c r="AB785" t="n">
        <v>3</v>
      </c>
      <c r="AC785" t="n">
        <v>3</v>
      </c>
      <c r="AD785" t="n">
        <v>8</v>
      </c>
      <c r="AE785" t="n">
        <v>8</v>
      </c>
      <c r="AF785" t="n">
        <v>2</v>
      </c>
      <c r="AG785" t="n">
        <v>2</v>
      </c>
      <c r="AH785" t="n">
        <v>2</v>
      </c>
      <c r="AI785" t="n">
        <v>2</v>
      </c>
      <c r="AJ785" t="n">
        <v>5</v>
      </c>
      <c r="AK785" t="n">
        <v>5</v>
      </c>
      <c r="AL785" t="n">
        <v>1</v>
      </c>
      <c r="AM785" t="n">
        <v>1</v>
      </c>
      <c r="AN785" t="n">
        <v>0</v>
      </c>
      <c r="AO785" t="n">
        <v>0</v>
      </c>
      <c r="AP785" t="inlineStr">
        <is>
          <t>No</t>
        </is>
      </c>
      <c r="AQ785" t="inlineStr">
        <is>
          <t>Yes</t>
        </is>
      </c>
      <c r="AR785">
        <f>HYPERLINK("http://catalog.hathitrust.org/Record/002480437","HathiTrust Record")</f>
        <v/>
      </c>
      <c r="AS785">
        <f>HYPERLINK("https://creighton-primo.hosted.exlibrisgroup.com/primo-explore/search?tab=default_tab&amp;search_scope=EVERYTHING&amp;vid=01CRU&amp;lang=en_US&amp;offset=0&amp;query=any,contains,991001888439702656","Catalog Record")</f>
        <v/>
      </c>
      <c r="AT785">
        <f>HYPERLINK("http://www.worldcat.org/oclc/23769767","WorldCat Record")</f>
        <v/>
      </c>
      <c r="AU785" t="inlineStr">
        <is>
          <t>24688362:dut</t>
        </is>
      </c>
      <c r="AV785" t="inlineStr">
        <is>
          <t>23769767</t>
        </is>
      </c>
      <c r="AW785" t="inlineStr">
        <is>
          <t>991001888439702656</t>
        </is>
      </c>
      <c r="AX785" t="inlineStr">
        <is>
          <t>991001888439702656</t>
        </is>
      </c>
      <c r="AY785" t="inlineStr">
        <is>
          <t>2272032550002656</t>
        </is>
      </c>
      <c r="AZ785" t="inlineStr">
        <is>
          <t>BOOK</t>
        </is>
      </c>
      <c r="BB785" t="inlineStr">
        <is>
          <t>9789069180632</t>
        </is>
      </c>
      <c r="BC785" t="inlineStr">
        <is>
          <t>32285000860063</t>
        </is>
      </c>
      <c r="BD785" t="inlineStr">
        <is>
          <t>893226201</t>
        </is>
      </c>
    </row>
    <row r="786">
      <c r="A786" t="inlineStr">
        <is>
          <t>No</t>
        </is>
      </c>
      <c r="B786" t="inlineStr">
        <is>
          <t>ND673.R9 S88 2004</t>
        </is>
      </c>
      <c r="C786" t="inlineStr">
        <is>
          <t>0                      ND 0673000R  9                  S  88          2004</t>
        </is>
      </c>
      <c r="D786" t="inlineStr">
        <is>
          <t>Drawn by the brush : oil sketches by Peter Paul Rubens / Peter C. Sutton, Marjorie E. Wieseman with Nico van Hout.</t>
        </is>
      </c>
      <c r="F786" t="inlineStr">
        <is>
          <t>No</t>
        </is>
      </c>
      <c r="G786" t="inlineStr">
        <is>
          <t>1</t>
        </is>
      </c>
      <c r="H786" t="inlineStr">
        <is>
          <t>No</t>
        </is>
      </c>
      <c r="I786" t="inlineStr">
        <is>
          <t>No</t>
        </is>
      </c>
      <c r="J786" t="inlineStr">
        <is>
          <t>0</t>
        </is>
      </c>
      <c r="K786" t="inlineStr">
        <is>
          <t>Sutton, Peter C.</t>
        </is>
      </c>
      <c r="L786" t="inlineStr">
        <is>
          <t>New Haven, CT ; London : Yale University Press, c2004.</t>
        </is>
      </c>
      <c r="M786" t="inlineStr">
        <is>
          <t>2004</t>
        </is>
      </c>
      <c r="O786" t="inlineStr">
        <is>
          <t>eng</t>
        </is>
      </c>
      <c r="P786" t="inlineStr">
        <is>
          <t>ctu</t>
        </is>
      </c>
      <c r="R786" t="inlineStr">
        <is>
          <t xml:space="preserve">ND </t>
        </is>
      </c>
      <c r="S786" t="n">
        <v>2</v>
      </c>
      <c r="T786" t="n">
        <v>2</v>
      </c>
      <c r="U786" t="inlineStr">
        <is>
          <t>2006-10-09</t>
        </is>
      </c>
      <c r="V786" t="inlineStr">
        <is>
          <t>2006-10-09</t>
        </is>
      </c>
      <c r="W786" t="inlineStr">
        <is>
          <t>2006-10-09</t>
        </is>
      </c>
      <c r="X786" t="inlineStr">
        <is>
          <t>2006-10-09</t>
        </is>
      </c>
      <c r="Y786" t="n">
        <v>491</v>
      </c>
      <c r="Z786" t="n">
        <v>425</v>
      </c>
      <c r="AA786" t="n">
        <v>426</v>
      </c>
      <c r="AB786" t="n">
        <v>2</v>
      </c>
      <c r="AC786" t="n">
        <v>2</v>
      </c>
      <c r="AD786" t="n">
        <v>21</v>
      </c>
      <c r="AE786" t="n">
        <v>21</v>
      </c>
      <c r="AF786" t="n">
        <v>8</v>
      </c>
      <c r="AG786" t="n">
        <v>8</v>
      </c>
      <c r="AH786" t="n">
        <v>7</v>
      </c>
      <c r="AI786" t="n">
        <v>7</v>
      </c>
      <c r="AJ786" t="n">
        <v>13</v>
      </c>
      <c r="AK786" t="n">
        <v>13</v>
      </c>
      <c r="AL786" t="n">
        <v>1</v>
      </c>
      <c r="AM786" t="n">
        <v>1</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HYPERLINK("https://creighton-primo.hosted.exlibrisgroup.com/primo-explore/search?tab=default_tab&amp;search_scope=EVERYTHING&amp;vid=01CRU&amp;lang=en_US&amp;offset=0&amp;query=any,contains,991004921339702656","Catalog Record")</f>
        <v/>
      </c>
      <c r="AT786">
        <f>HYPERLINK("http://www.worldcat.org/oclc/56930925","WorldCat Record")</f>
        <v/>
      </c>
      <c r="AU786" t="inlineStr">
        <is>
          <t>891088403:eng</t>
        </is>
      </c>
      <c r="AV786" t="inlineStr">
        <is>
          <t>56930925</t>
        </is>
      </c>
      <c r="AW786" t="inlineStr">
        <is>
          <t>991004921339702656</t>
        </is>
      </c>
      <c r="AX786" t="inlineStr">
        <is>
          <t>991004921339702656</t>
        </is>
      </c>
      <c r="AY786" t="inlineStr">
        <is>
          <t>2256869750002656</t>
        </is>
      </c>
      <c r="AZ786" t="inlineStr">
        <is>
          <t>BOOK</t>
        </is>
      </c>
      <c r="BB786" t="inlineStr">
        <is>
          <t>9780300106268</t>
        </is>
      </c>
      <c r="BC786" t="inlineStr">
        <is>
          <t>32285005228522</t>
        </is>
      </c>
      <c r="BD786" t="inlineStr">
        <is>
          <t>893520176</t>
        </is>
      </c>
    </row>
    <row r="787">
      <c r="A787" t="inlineStr">
        <is>
          <t>No</t>
        </is>
      </c>
      <c r="B787" t="inlineStr">
        <is>
          <t>ND673.R9 V37 1982</t>
        </is>
      </c>
      <c r="C787" t="inlineStr">
        <is>
          <t>0                      ND 0673000R  9                  V  37          1982</t>
        </is>
      </c>
      <c r="D787" t="inlineStr">
        <is>
          <t>Rubens and the poetics of landscape / Lisa Vergara.</t>
        </is>
      </c>
      <c r="F787" t="inlineStr">
        <is>
          <t>No</t>
        </is>
      </c>
      <c r="G787" t="inlineStr">
        <is>
          <t>1</t>
        </is>
      </c>
      <c r="H787" t="inlineStr">
        <is>
          <t>No</t>
        </is>
      </c>
      <c r="I787" t="inlineStr">
        <is>
          <t>No</t>
        </is>
      </c>
      <c r="J787" t="inlineStr">
        <is>
          <t>0</t>
        </is>
      </c>
      <c r="K787" t="inlineStr">
        <is>
          <t>Vergara, Lisa, 1948-</t>
        </is>
      </c>
      <c r="L787" t="inlineStr">
        <is>
          <t>New Haven : Yale University Press, c1982.</t>
        </is>
      </c>
      <c r="M787" t="inlineStr">
        <is>
          <t>1982</t>
        </is>
      </c>
      <c r="O787" t="inlineStr">
        <is>
          <t>eng</t>
        </is>
      </c>
      <c r="P787" t="inlineStr">
        <is>
          <t>ctu</t>
        </is>
      </c>
      <c r="R787" t="inlineStr">
        <is>
          <t xml:space="preserve">ND </t>
        </is>
      </c>
      <c r="S787" t="n">
        <v>5</v>
      </c>
      <c r="T787" t="n">
        <v>5</v>
      </c>
      <c r="U787" t="inlineStr">
        <is>
          <t>2004-11-12</t>
        </is>
      </c>
      <c r="V787" t="inlineStr">
        <is>
          <t>2004-11-12</t>
        </is>
      </c>
      <c r="W787" t="inlineStr">
        <is>
          <t>1993-05-24</t>
        </is>
      </c>
      <c r="X787" t="inlineStr">
        <is>
          <t>1993-05-24</t>
        </is>
      </c>
      <c r="Y787" t="n">
        <v>538</v>
      </c>
      <c r="Z787" t="n">
        <v>399</v>
      </c>
      <c r="AA787" t="n">
        <v>401</v>
      </c>
      <c r="AB787" t="n">
        <v>4</v>
      </c>
      <c r="AC787" t="n">
        <v>4</v>
      </c>
      <c r="AD787" t="n">
        <v>19</v>
      </c>
      <c r="AE787" t="n">
        <v>20</v>
      </c>
      <c r="AF787" t="n">
        <v>7</v>
      </c>
      <c r="AG787" t="n">
        <v>8</v>
      </c>
      <c r="AH787" t="n">
        <v>5</v>
      </c>
      <c r="AI787" t="n">
        <v>5</v>
      </c>
      <c r="AJ787" t="n">
        <v>11</v>
      </c>
      <c r="AK787" t="n">
        <v>12</v>
      </c>
      <c r="AL787" t="n">
        <v>2</v>
      </c>
      <c r="AM787" t="n">
        <v>2</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HYPERLINK("https://creighton-primo.hosted.exlibrisgroup.com/primo-explore/search?tab=default_tab&amp;search_scope=EVERYTHING&amp;vid=01CRU&amp;lang=en_US&amp;offset=0&amp;query=any,contains,991005139529702656","Catalog Record")</f>
        <v/>
      </c>
      <c r="AT787">
        <f>HYPERLINK("http://www.worldcat.org/oclc/7597435","WorldCat Record")</f>
        <v/>
      </c>
      <c r="AU787" t="inlineStr">
        <is>
          <t>118149577:eng</t>
        </is>
      </c>
      <c r="AV787" t="inlineStr">
        <is>
          <t>7597435</t>
        </is>
      </c>
      <c r="AW787" t="inlineStr">
        <is>
          <t>991005139529702656</t>
        </is>
      </c>
      <c r="AX787" t="inlineStr">
        <is>
          <t>991005139529702656</t>
        </is>
      </c>
      <c r="AY787" t="inlineStr">
        <is>
          <t>2254826950002656</t>
        </is>
      </c>
      <c r="AZ787" t="inlineStr">
        <is>
          <t>BOOK</t>
        </is>
      </c>
      <c r="BB787" t="inlineStr">
        <is>
          <t>9780300025088</t>
        </is>
      </c>
      <c r="BC787" t="inlineStr">
        <is>
          <t>32285001692622</t>
        </is>
      </c>
      <c r="BD787" t="inlineStr">
        <is>
          <t>893707324</t>
        </is>
      </c>
    </row>
    <row r="788">
      <c r="A788" t="inlineStr">
        <is>
          <t>No</t>
        </is>
      </c>
      <c r="B788" t="inlineStr">
        <is>
          <t>ND673.W4 D3</t>
        </is>
      </c>
      <c r="C788" t="inlineStr">
        <is>
          <t>0                      ND 0673000W  4                  D  3</t>
        </is>
      </c>
      <c r="D788" t="inlineStr">
        <is>
          <t>Rogier van der Weyden : an essay, with a critical catalogue of paintings assigned to him and to Robert Campin.</t>
        </is>
      </c>
      <c r="F788" t="inlineStr">
        <is>
          <t>No</t>
        </is>
      </c>
      <c r="G788" t="inlineStr">
        <is>
          <t>1</t>
        </is>
      </c>
      <c r="H788" t="inlineStr">
        <is>
          <t>No</t>
        </is>
      </c>
      <c r="I788" t="inlineStr">
        <is>
          <t>No</t>
        </is>
      </c>
      <c r="J788" t="inlineStr">
        <is>
          <t>0</t>
        </is>
      </c>
      <c r="K788" t="inlineStr">
        <is>
          <t>Davies, Martin, 1908-1975.</t>
        </is>
      </c>
      <c r="L788" t="inlineStr">
        <is>
          <t>London : Phaidon, 1972.</t>
        </is>
      </c>
      <c r="M788" t="inlineStr">
        <is>
          <t>1972</t>
        </is>
      </c>
      <c r="O788" t="inlineStr">
        <is>
          <t>eng</t>
        </is>
      </c>
      <c r="P788" t="inlineStr">
        <is>
          <t>enk</t>
        </is>
      </c>
      <c r="R788" t="inlineStr">
        <is>
          <t xml:space="preserve">ND </t>
        </is>
      </c>
      <c r="S788" t="n">
        <v>3</v>
      </c>
      <c r="T788" t="n">
        <v>3</v>
      </c>
      <c r="U788" t="inlineStr">
        <is>
          <t>1999-02-16</t>
        </is>
      </c>
      <c r="V788" t="inlineStr">
        <is>
          <t>1999-02-16</t>
        </is>
      </c>
      <c r="W788" t="inlineStr">
        <is>
          <t>1992-06-16</t>
        </is>
      </c>
      <c r="X788" t="inlineStr">
        <is>
          <t>1992-06-16</t>
        </is>
      </c>
      <c r="Y788" t="n">
        <v>667</v>
      </c>
      <c r="Z788" t="n">
        <v>499</v>
      </c>
      <c r="AA788" t="n">
        <v>504</v>
      </c>
      <c r="AB788" t="n">
        <v>4</v>
      </c>
      <c r="AC788" t="n">
        <v>4</v>
      </c>
      <c r="AD788" t="n">
        <v>15</v>
      </c>
      <c r="AE788" t="n">
        <v>15</v>
      </c>
      <c r="AF788" t="n">
        <v>4</v>
      </c>
      <c r="AG788" t="n">
        <v>4</v>
      </c>
      <c r="AH788" t="n">
        <v>4</v>
      </c>
      <c r="AI788" t="n">
        <v>4</v>
      </c>
      <c r="AJ788" t="n">
        <v>7</v>
      </c>
      <c r="AK788" t="n">
        <v>7</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HYPERLINK("https://creighton-primo.hosted.exlibrisgroup.com/primo-explore/search?tab=default_tab&amp;search_scope=EVERYTHING&amp;vid=01CRU&amp;lang=en_US&amp;offset=0&amp;query=any,contains,991003000579702656","Catalog Record")</f>
        <v/>
      </c>
      <c r="AT788">
        <f>HYPERLINK("http://www.worldcat.org/oclc/568483","WorldCat Record")</f>
        <v/>
      </c>
      <c r="AU788" t="inlineStr">
        <is>
          <t>499577502:eng</t>
        </is>
      </c>
      <c r="AV788" t="inlineStr">
        <is>
          <t>568483</t>
        </is>
      </c>
      <c r="AW788" t="inlineStr">
        <is>
          <t>991003000579702656</t>
        </is>
      </c>
      <c r="AX788" t="inlineStr">
        <is>
          <t>991003000579702656</t>
        </is>
      </c>
      <c r="AY788" t="inlineStr">
        <is>
          <t>2257554390002656</t>
        </is>
      </c>
      <c r="AZ788" t="inlineStr">
        <is>
          <t>BOOK</t>
        </is>
      </c>
      <c r="BB788" t="inlineStr">
        <is>
          <t>9780714815169</t>
        </is>
      </c>
      <c r="BC788" t="inlineStr">
        <is>
          <t>32285001131589</t>
        </is>
      </c>
      <c r="BD788" t="inlineStr">
        <is>
          <t>893233713</t>
        </is>
      </c>
    </row>
    <row r="789">
      <c r="A789" t="inlineStr">
        <is>
          <t>No</t>
        </is>
      </c>
      <c r="B789" t="inlineStr">
        <is>
          <t>ND681 .R85 1977</t>
        </is>
      </c>
      <c r="C789" t="inlineStr">
        <is>
          <t>0                      ND 0681000R  85          1977</t>
        </is>
      </c>
      <c r="D789" t="inlineStr">
        <is>
          <t>Russian and Soviet painting : an exhibition from the museums of the USSR presented at the Metropolitan Museum of Art, New York, and the Fine Arts Museums of San Francisco / introd. by Dmitrii Vladimirovich Sarabianov ; catalogue information by E. Yu. Korotkevich and E. A. Uspenskaia ; translation, foreword and bibliography by John E. Bowlt.</t>
        </is>
      </c>
      <c r="F789" t="inlineStr">
        <is>
          <t>No</t>
        </is>
      </c>
      <c r="G789" t="inlineStr">
        <is>
          <t>1</t>
        </is>
      </c>
      <c r="H789" t="inlineStr">
        <is>
          <t>No</t>
        </is>
      </c>
      <c r="I789" t="inlineStr">
        <is>
          <t>No</t>
        </is>
      </c>
      <c r="J789" t="inlineStr">
        <is>
          <t>0</t>
        </is>
      </c>
      <c r="L789" t="inlineStr">
        <is>
          <t>New York : The Museum ; trade edition distributed by Rizzoli International Publications, 1977.</t>
        </is>
      </c>
      <c r="M789" t="inlineStr">
        <is>
          <t>1977</t>
        </is>
      </c>
      <c r="O789" t="inlineStr">
        <is>
          <t>eng</t>
        </is>
      </c>
      <c r="P789" t="inlineStr">
        <is>
          <t>nyu</t>
        </is>
      </c>
      <c r="R789" t="inlineStr">
        <is>
          <t xml:space="preserve">ND </t>
        </is>
      </c>
      <c r="S789" t="n">
        <v>3</v>
      </c>
      <c r="T789" t="n">
        <v>3</v>
      </c>
      <c r="U789" t="inlineStr">
        <is>
          <t>1994-04-06</t>
        </is>
      </c>
      <c r="V789" t="inlineStr">
        <is>
          <t>1994-04-06</t>
        </is>
      </c>
      <c r="W789" t="inlineStr">
        <is>
          <t>1992-04-09</t>
        </is>
      </c>
      <c r="X789" t="inlineStr">
        <is>
          <t>1992-04-09</t>
        </is>
      </c>
      <c r="Y789" t="n">
        <v>793</v>
      </c>
      <c r="Z789" t="n">
        <v>709</v>
      </c>
      <c r="AA789" t="n">
        <v>717</v>
      </c>
      <c r="AB789" t="n">
        <v>3</v>
      </c>
      <c r="AC789" t="n">
        <v>3</v>
      </c>
      <c r="AD789" t="n">
        <v>20</v>
      </c>
      <c r="AE789" t="n">
        <v>20</v>
      </c>
      <c r="AF789" t="n">
        <v>9</v>
      </c>
      <c r="AG789" t="n">
        <v>9</v>
      </c>
      <c r="AH789" t="n">
        <v>5</v>
      </c>
      <c r="AI789" t="n">
        <v>5</v>
      </c>
      <c r="AJ789" t="n">
        <v>11</v>
      </c>
      <c r="AK789" t="n">
        <v>11</v>
      </c>
      <c r="AL789" t="n">
        <v>1</v>
      </c>
      <c r="AM789" t="n">
        <v>1</v>
      </c>
      <c r="AN789" t="n">
        <v>0</v>
      </c>
      <c r="AO789" t="n">
        <v>0</v>
      </c>
      <c r="AP789" t="inlineStr">
        <is>
          <t>No</t>
        </is>
      </c>
      <c r="AQ789" t="inlineStr">
        <is>
          <t>Yes</t>
        </is>
      </c>
      <c r="AR789">
        <f>HYPERLINK("http://catalog.hathitrust.org/Record/000210493","HathiTrust Record")</f>
        <v/>
      </c>
      <c r="AS789">
        <f>HYPERLINK("https://creighton-primo.hosted.exlibrisgroup.com/primo-explore/search?tab=default_tab&amp;search_scope=EVERYTHING&amp;vid=01CRU&amp;lang=en_US&amp;offset=0&amp;query=any,contains,991004252909702656","Catalog Record")</f>
        <v/>
      </c>
      <c r="AT789">
        <f>HYPERLINK("http://www.worldcat.org/oclc/2818170","WorldCat Record")</f>
        <v/>
      </c>
      <c r="AU789" t="inlineStr">
        <is>
          <t>907311848:eng</t>
        </is>
      </c>
      <c r="AV789" t="inlineStr">
        <is>
          <t>2818170</t>
        </is>
      </c>
      <c r="AW789" t="inlineStr">
        <is>
          <t>991004252909702656</t>
        </is>
      </c>
      <c r="AX789" t="inlineStr">
        <is>
          <t>991004252909702656</t>
        </is>
      </c>
      <c r="AY789" t="inlineStr">
        <is>
          <t>2265174150002656</t>
        </is>
      </c>
      <c r="AZ789" t="inlineStr">
        <is>
          <t>BOOK</t>
        </is>
      </c>
      <c r="BB789" t="inlineStr">
        <is>
          <t>9780847800438</t>
        </is>
      </c>
      <c r="BC789" t="inlineStr">
        <is>
          <t>32285001066512</t>
        </is>
      </c>
      <c r="BD789" t="inlineStr">
        <is>
          <t>893429840</t>
        </is>
      </c>
    </row>
    <row r="790">
      <c r="A790" t="inlineStr">
        <is>
          <t>No</t>
        </is>
      </c>
      <c r="B790" t="inlineStr">
        <is>
          <t>ND687.5.R4 V34</t>
        </is>
      </c>
      <c r="C790" t="inlineStr">
        <is>
          <t>0                      ND 0687500R  4                  V  34</t>
        </is>
      </c>
      <c r="D790" t="inlineStr">
        <is>
          <t>Russian realist art : the state and society : the Peredvizhniki and their tradition / by Elizabeth Valkenier.</t>
        </is>
      </c>
      <c r="F790" t="inlineStr">
        <is>
          <t>No</t>
        </is>
      </c>
      <c r="G790" t="inlineStr">
        <is>
          <t>1</t>
        </is>
      </c>
      <c r="H790" t="inlineStr">
        <is>
          <t>No</t>
        </is>
      </c>
      <c r="I790" t="inlineStr">
        <is>
          <t>No</t>
        </is>
      </c>
      <c r="J790" t="inlineStr">
        <is>
          <t>0</t>
        </is>
      </c>
      <c r="K790" t="inlineStr">
        <is>
          <t>Valkenier, Elizabeth Kridl.</t>
        </is>
      </c>
      <c r="L790" t="inlineStr">
        <is>
          <t>Ann Arbor : Ardis, c1977.</t>
        </is>
      </c>
      <c r="M790" t="inlineStr">
        <is>
          <t>1977</t>
        </is>
      </c>
      <c r="O790" t="inlineStr">
        <is>
          <t>eng</t>
        </is>
      </c>
      <c r="P790" t="inlineStr">
        <is>
          <t>miu</t>
        </is>
      </c>
      <c r="Q790" t="inlineStr">
        <is>
          <t>Studies of the Russian Institute, Columbia University</t>
        </is>
      </c>
      <c r="R790" t="inlineStr">
        <is>
          <t xml:space="preserve">ND </t>
        </is>
      </c>
      <c r="S790" t="n">
        <v>1</v>
      </c>
      <c r="T790" t="n">
        <v>1</v>
      </c>
      <c r="U790" t="inlineStr">
        <is>
          <t>1994-02-25</t>
        </is>
      </c>
      <c r="V790" t="inlineStr">
        <is>
          <t>1994-02-25</t>
        </is>
      </c>
      <c r="W790" t="inlineStr">
        <is>
          <t>1991-05-16</t>
        </is>
      </c>
      <c r="X790" t="inlineStr">
        <is>
          <t>1991-05-16</t>
        </is>
      </c>
      <c r="Y790" t="n">
        <v>554</v>
      </c>
      <c r="Z790" t="n">
        <v>456</v>
      </c>
      <c r="AA790" t="n">
        <v>592</v>
      </c>
      <c r="AB790" t="n">
        <v>3</v>
      </c>
      <c r="AC790" t="n">
        <v>5</v>
      </c>
      <c r="AD790" t="n">
        <v>16</v>
      </c>
      <c r="AE790" t="n">
        <v>23</v>
      </c>
      <c r="AF790" t="n">
        <v>4</v>
      </c>
      <c r="AG790" t="n">
        <v>8</v>
      </c>
      <c r="AH790" t="n">
        <v>6</v>
      </c>
      <c r="AI790" t="n">
        <v>6</v>
      </c>
      <c r="AJ790" t="n">
        <v>9</v>
      </c>
      <c r="AK790" t="n">
        <v>13</v>
      </c>
      <c r="AL790" t="n">
        <v>2</v>
      </c>
      <c r="AM790" t="n">
        <v>3</v>
      </c>
      <c r="AN790" t="n">
        <v>0</v>
      </c>
      <c r="AO790" t="n">
        <v>0</v>
      </c>
      <c r="AP790" t="inlineStr">
        <is>
          <t>No</t>
        </is>
      </c>
      <c r="AQ790" t="inlineStr">
        <is>
          <t>Yes</t>
        </is>
      </c>
      <c r="AR790">
        <f>HYPERLINK("http://catalog.hathitrust.org/Record/004504894","HathiTrust Record")</f>
        <v/>
      </c>
      <c r="AS790">
        <f>HYPERLINK("https://creighton-primo.hosted.exlibrisgroup.com/primo-explore/search?tab=default_tab&amp;search_scope=EVERYTHING&amp;vid=01CRU&amp;lang=en_US&amp;offset=0&amp;query=any,contains,991004361369702656","Catalog Record")</f>
        <v/>
      </c>
      <c r="AT790">
        <f>HYPERLINK("http://www.worldcat.org/oclc/3167612","WorldCat Record")</f>
        <v/>
      </c>
      <c r="AU790" t="inlineStr">
        <is>
          <t>811866744:eng</t>
        </is>
      </c>
      <c r="AV790" t="inlineStr">
        <is>
          <t>3167612</t>
        </is>
      </c>
      <c r="AW790" t="inlineStr">
        <is>
          <t>991004361369702656</t>
        </is>
      </c>
      <c r="AX790" t="inlineStr">
        <is>
          <t>991004361369702656</t>
        </is>
      </c>
      <c r="AY790" t="inlineStr">
        <is>
          <t>2262172190002656</t>
        </is>
      </c>
      <c r="AZ790" t="inlineStr">
        <is>
          <t>BOOK</t>
        </is>
      </c>
      <c r="BB790" t="inlineStr">
        <is>
          <t>9780882332642</t>
        </is>
      </c>
      <c r="BC790" t="inlineStr">
        <is>
          <t>32285000604966</t>
        </is>
      </c>
      <c r="BD790" t="inlineStr">
        <is>
          <t>893442530</t>
        </is>
      </c>
    </row>
    <row r="791">
      <c r="A791" t="inlineStr">
        <is>
          <t>No</t>
        </is>
      </c>
      <c r="B791" t="inlineStr">
        <is>
          <t>ND697.M6 Q4 1990</t>
        </is>
      </c>
      <c r="C791" t="inlineStr">
        <is>
          <t>0                      ND 0697000M  6                  Q  4           1990</t>
        </is>
      </c>
      <c r="D791" t="inlineStr">
        <is>
          <t>The Quest for self-expression : painting in Moscow and Leningrad, 1965-1990 / introduction by John E. Bowlt ; essay by Elena Kornetchuk ; edited by Norma Roberts.</t>
        </is>
      </c>
      <c r="F791" t="inlineStr">
        <is>
          <t>No</t>
        </is>
      </c>
      <c r="G791" t="inlineStr">
        <is>
          <t>1</t>
        </is>
      </c>
      <c r="H791" t="inlineStr">
        <is>
          <t>No</t>
        </is>
      </c>
      <c r="I791" t="inlineStr">
        <is>
          <t>No</t>
        </is>
      </c>
      <c r="J791" t="inlineStr">
        <is>
          <t>0</t>
        </is>
      </c>
      <c r="L791" t="inlineStr">
        <is>
          <t>Columbus, Ohio : Columbus Museum of Art ; Seattle : Distributed by University of Washington Press, 1990.</t>
        </is>
      </c>
      <c r="M791" t="inlineStr">
        <is>
          <t>1990</t>
        </is>
      </c>
      <c r="O791" t="inlineStr">
        <is>
          <t>eng</t>
        </is>
      </c>
      <c r="P791" t="inlineStr">
        <is>
          <t>ohu</t>
        </is>
      </c>
      <c r="R791" t="inlineStr">
        <is>
          <t xml:space="preserve">ND </t>
        </is>
      </c>
      <c r="S791" t="n">
        <v>10</v>
      </c>
      <c r="T791" t="n">
        <v>10</v>
      </c>
      <c r="U791" t="inlineStr">
        <is>
          <t>2008-04-27</t>
        </is>
      </c>
      <c r="V791" t="inlineStr">
        <is>
          <t>2008-04-27</t>
        </is>
      </c>
      <c r="W791" t="inlineStr">
        <is>
          <t>1991-07-10</t>
        </is>
      </c>
      <c r="X791" t="inlineStr">
        <is>
          <t>1991-07-10</t>
        </is>
      </c>
      <c r="Y791" t="n">
        <v>477</v>
      </c>
      <c r="Z791" t="n">
        <v>387</v>
      </c>
      <c r="AA791" t="n">
        <v>389</v>
      </c>
      <c r="AB791" t="n">
        <v>5</v>
      </c>
      <c r="AC791" t="n">
        <v>5</v>
      </c>
      <c r="AD791" t="n">
        <v>19</v>
      </c>
      <c r="AE791" t="n">
        <v>19</v>
      </c>
      <c r="AF791" t="n">
        <v>7</v>
      </c>
      <c r="AG791" t="n">
        <v>7</v>
      </c>
      <c r="AH791" t="n">
        <v>6</v>
      </c>
      <c r="AI791" t="n">
        <v>6</v>
      </c>
      <c r="AJ791" t="n">
        <v>8</v>
      </c>
      <c r="AK791" t="n">
        <v>8</v>
      </c>
      <c r="AL791" t="n">
        <v>3</v>
      </c>
      <c r="AM791" t="n">
        <v>3</v>
      </c>
      <c r="AN791" t="n">
        <v>0</v>
      </c>
      <c r="AO791" t="n">
        <v>0</v>
      </c>
      <c r="AP791" t="inlineStr">
        <is>
          <t>No</t>
        </is>
      </c>
      <c r="AQ791" t="inlineStr">
        <is>
          <t>Yes</t>
        </is>
      </c>
      <c r="AR791">
        <f>HYPERLINK("http://catalog.hathitrust.org/Record/002448166","HathiTrust Record")</f>
        <v/>
      </c>
      <c r="AS791">
        <f>HYPERLINK("https://creighton-primo.hosted.exlibrisgroup.com/primo-explore/search?tab=default_tab&amp;search_scope=EVERYTHING&amp;vid=01CRU&amp;lang=en_US&amp;offset=0&amp;query=any,contains,991001758709702656","Catalog Record")</f>
        <v/>
      </c>
      <c r="AT791">
        <f>HYPERLINK("http://www.worldcat.org/oclc/22240791","WorldCat Record")</f>
        <v/>
      </c>
      <c r="AU791" t="inlineStr">
        <is>
          <t>55372495:eng</t>
        </is>
      </c>
      <c r="AV791" t="inlineStr">
        <is>
          <t>22240791</t>
        </is>
      </c>
      <c r="AW791" t="inlineStr">
        <is>
          <t>991001758709702656</t>
        </is>
      </c>
      <c r="AX791" t="inlineStr">
        <is>
          <t>991001758709702656</t>
        </is>
      </c>
      <c r="AY791" t="inlineStr">
        <is>
          <t>2271601290002656</t>
        </is>
      </c>
      <c r="AZ791" t="inlineStr">
        <is>
          <t>BOOK</t>
        </is>
      </c>
      <c r="BB791" t="inlineStr">
        <is>
          <t>9780295970615</t>
        </is>
      </c>
      <c r="BC791" t="inlineStr">
        <is>
          <t>32285000660943</t>
        </is>
      </c>
      <c r="BD791" t="inlineStr">
        <is>
          <t>893516466</t>
        </is>
      </c>
    </row>
    <row r="792">
      <c r="A792" t="inlineStr">
        <is>
          <t>No</t>
        </is>
      </c>
      <c r="B792" t="inlineStr">
        <is>
          <t>ND699.C5 B33 1998</t>
        </is>
      </c>
      <c r="C792" t="inlineStr">
        <is>
          <t>0                      ND 0699000C  5                  B  33          1998</t>
        </is>
      </c>
      <c r="D792" t="inlineStr">
        <is>
          <t>Marc Chagall, 1887-1985 / Jacob Baal-Teshuva.</t>
        </is>
      </c>
      <c r="F792" t="inlineStr">
        <is>
          <t>No</t>
        </is>
      </c>
      <c r="G792" t="inlineStr">
        <is>
          <t>1</t>
        </is>
      </c>
      <c r="H792" t="inlineStr">
        <is>
          <t>No</t>
        </is>
      </c>
      <c r="I792" t="inlineStr">
        <is>
          <t>No</t>
        </is>
      </c>
      <c r="J792" t="inlineStr">
        <is>
          <t>0</t>
        </is>
      </c>
      <c r="K792" t="inlineStr">
        <is>
          <t>Baal-Teshuva, Jacob.</t>
        </is>
      </c>
      <c r="L792" t="inlineStr">
        <is>
          <t>Kol̈n ; London : Taschen, c1998.</t>
        </is>
      </c>
      <c r="M792" t="inlineStr">
        <is>
          <t>1998</t>
        </is>
      </c>
      <c r="O792" t="inlineStr">
        <is>
          <t>eng</t>
        </is>
      </c>
      <c r="P792" t="inlineStr">
        <is>
          <t>enk</t>
        </is>
      </c>
      <c r="R792" t="inlineStr">
        <is>
          <t xml:space="preserve">ND </t>
        </is>
      </c>
      <c r="S792" t="n">
        <v>8</v>
      </c>
      <c r="T792" t="n">
        <v>8</v>
      </c>
      <c r="U792" t="inlineStr">
        <is>
          <t>2005-04-13</t>
        </is>
      </c>
      <c r="V792" t="inlineStr">
        <is>
          <t>2005-04-13</t>
        </is>
      </c>
      <c r="W792" t="inlineStr">
        <is>
          <t>1998-10-22</t>
        </is>
      </c>
      <c r="X792" t="inlineStr">
        <is>
          <t>1998-10-22</t>
        </is>
      </c>
      <c r="Y792" t="n">
        <v>655</v>
      </c>
      <c r="Z792" t="n">
        <v>579</v>
      </c>
      <c r="AA792" t="n">
        <v>582</v>
      </c>
      <c r="AB792" t="n">
        <v>3</v>
      </c>
      <c r="AC792" t="n">
        <v>3</v>
      </c>
      <c r="AD792" t="n">
        <v>16</v>
      </c>
      <c r="AE792" t="n">
        <v>16</v>
      </c>
      <c r="AF792" t="n">
        <v>7</v>
      </c>
      <c r="AG792" t="n">
        <v>7</v>
      </c>
      <c r="AH792" t="n">
        <v>4</v>
      </c>
      <c r="AI792" t="n">
        <v>4</v>
      </c>
      <c r="AJ792" t="n">
        <v>8</v>
      </c>
      <c r="AK792" t="n">
        <v>8</v>
      </c>
      <c r="AL792" t="n">
        <v>2</v>
      </c>
      <c r="AM792" t="n">
        <v>2</v>
      </c>
      <c r="AN792" t="n">
        <v>0</v>
      </c>
      <c r="AO792" t="n">
        <v>0</v>
      </c>
      <c r="AP792" t="inlineStr">
        <is>
          <t>No</t>
        </is>
      </c>
      <c r="AQ792" t="inlineStr">
        <is>
          <t>Yes</t>
        </is>
      </c>
      <c r="AR792">
        <f>HYPERLINK("http://catalog.hathitrust.org/Record/003304925","HathiTrust Record")</f>
        <v/>
      </c>
      <c r="AS792">
        <f>HYPERLINK("https://creighton-primo.hosted.exlibrisgroup.com/primo-explore/search?tab=default_tab&amp;search_scope=EVERYTHING&amp;vid=01CRU&amp;lang=en_US&amp;offset=0&amp;query=any,contains,991002928169702656","Catalog Record")</f>
        <v/>
      </c>
      <c r="AT792">
        <f>HYPERLINK("http://www.worldcat.org/oclc/38924922","WorldCat Record")</f>
        <v/>
      </c>
      <c r="AU792" t="inlineStr">
        <is>
          <t>1862928987:eng</t>
        </is>
      </c>
      <c r="AV792" t="inlineStr">
        <is>
          <t>38924922</t>
        </is>
      </c>
      <c r="AW792" t="inlineStr">
        <is>
          <t>991002928169702656</t>
        </is>
      </c>
      <c r="AX792" t="inlineStr">
        <is>
          <t>991002928169702656</t>
        </is>
      </c>
      <c r="AY792" t="inlineStr">
        <is>
          <t>2264782060002656</t>
        </is>
      </c>
      <c r="AZ792" t="inlineStr">
        <is>
          <t>BOOK</t>
        </is>
      </c>
      <c r="BB792" t="inlineStr">
        <is>
          <t>9783822882719</t>
        </is>
      </c>
      <c r="BC792" t="inlineStr">
        <is>
          <t>32285003476750</t>
        </is>
      </c>
      <c r="BD792" t="inlineStr">
        <is>
          <t>893348114</t>
        </is>
      </c>
    </row>
    <row r="793">
      <c r="A793" t="inlineStr">
        <is>
          <t>No</t>
        </is>
      </c>
      <c r="B793" t="inlineStr">
        <is>
          <t>ND699.C5 B5</t>
        </is>
      </c>
      <c r="C793" t="inlineStr">
        <is>
          <t>0                      ND 0699000C  5                  B  5</t>
        </is>
      </c>
      <c r="D793" t="inlineStr">
        <is>
          <t>The world of Marc Chagall / photographed by Izis Bidermanas. Text by Roy McMullen.</t>
        </is>
      </c>
      <c r="F793" t="inlineStr">
        <is>
          <t>No</t>
        </is>
      </c>
      <c r="G793" t="inlineStr">
        <is>
          <t>1</t>
        </is>
      </c>
      <c r="H793" t="inlineStr">
        <is>
          <t>No</t>
        </is>
      </c>
      <c r="I793" t="inlineStr">
        <is>
          <t>No</t>
        </is>
      </c>
      <c r="J793" t="inlineStr">
        <is>
          <t>0</t>
        </is>
      </c>
      <c r="K793" t="inlineStr">
        <is>
          <t>Izis, 1911-1980.</t>
        </is>
      </c>
      <c r="L793" t="inlineStr">
        <is>
          <t>Garden City, N.Y. : Doubleday, [1968]</t>
        </is>
      </c>
      <c r="M793" t="inlineStr">
        <is>
          <t>1968</t>
        </is>
      </c>
      <c r="O793" t="inlineStr">
        <is>
          <t>eng</t>
        </is>
      </c>
      <c r="P793" t="inlineStr">
        <is>
          <t>nyu</t>
        </is>
      </c>
      <c r="R793" t="inlineStr">
        <is>
          <t xml:space="preserve">ND </t>
        </is>
      </c>
      <c r="S793" t="n">
        <v>9</v>
      </c>
      <c r="T793" t="n">
        <v>9</v>
      </c>
      <c r="U793" t="inlineStr">
        <is>
          <t>2004-11-08</t>
        </is>
      </c>
      <c r="V793" t="inlineStr">
        <is>
          <t>2004-11-08</t>
        </is>
      </c>
      <c r="W793" t="inlineStr">
        <is>
          <t>1992-01-17</t>
        </is>
      </c>
      <c r="X793" t="inlineStr">
        <is>
          <t>1992-01-17</t>
        </is>
      </c>
      <c r="Y793" t="n">
        <v>661</v>
      </c>
      <c r="Z793" t="n">
        <v>629</v>
      </c>
      <c r="AA793" t="n">
        <v>674</v>
      </c>
      <c r="AB793" t="n">
        <v>6</v>
      </c>
      <c r="AC793" t="n">
        <v>6</v>
      </c>
      <c r="AD793" t="n">
        <v>21</v>
      </c>
      <c r="AE793" t="n">
        <v>23</v>
      </c>
      <c r="AF793" t="n">
        <v>5</v>
      </c>
      <c r="AG793" t="n">
        <v>5</v>
      </c>
      <c r="AH793" t="n">
        <v>5</v>
      </c>
      <c r="AI793" t="n">
        <v>6</v>
      </c>
      <c r="AJ793" t="n">
        <v>10</v>
      </c>
      <c r="AK793" t="n">
        <v>12</v>
      </c>
      <c r="AL793" t="n">
        <v>4</v>
      </c>
      <c r="AM793" t="n">
        <v>4</v>
      </c>
      <c r="AN793" t="n">
        <v>0</v>
      </c>
      <c r="AO793" t="n">
        <v>0</v>
      </c>
      <c r="AP793" t="inlineStr">
        <is>
          <t>No</t>
        </is>
      </c>
      <c r="AQ793" t="inlineStr">
        <is>
          <t>Yes</t>
        </is>
      </c>
      <c r="AR793">
        <f>HYPERLINK("http://catalog.hathitrust.org/Record/000609655","HathiTrust Record")</f>
        <v/>
      </c>
      <c r="AS793">
        <f>HYPERLINK("https://creighton-primo.hosted.exlibrisgroup.com/primo-explore/search?tab=default_tab&amp;search_scope=EVERYTHING&amp;vid=01CRU&amp;lang=en_US&amp;offset=0&amp;query=any,contains,991001006749702656","Catalog Record")</f>
        <v/>
      </c>
      <c r="AT793">
        <f>HYPERLINK("http://www.worldcat.org/oclc/172803","WorldCat Record")</f>
        <v/>
      </c>
      <c r="AU793" t="inlineStr">
        <is>
          <t>114408387:eng</t>
        </is>
      </c>
      <c r="AV793" t="inlineStr">
        <is>
          <t>172803</t>
        </is>
      </c>
      <c r="AW793" t="inlineStr">
        <is>
          <t>991001006749702656</t>
        </is>
      </c>
      <c r="AX793" t="inlineStr">
        <is>
          <t>991001006749702656</t>
        </is>
      </c>
      <c r="AY793" t="inlineStr">
        <is>
          <t>2270324690002656</t>
        </is>
      </c>
      <c r="AZ793" t="inlineStr">
        <is>
          <t>BOOK</t>
        </is>
      </c>
      <c r="BC793" t="inlineStr">
        <is>
          <t>32285000914266</t>
        </is>
      </c>
      <c r="BD793" t="inlineStr">
        <is>
          <t>893608458</t>
        </is>
      </c>
    </row>
    <row r="794">
      <c r="A794" t="inlineStr">
        <is>
          <t>No</t>
        </is>
      </c>
      <c r="B794" t="inlineStr">
        <is>
          <t>ND699.C5 M43</t>
        </is>
      </c>
      <c r="C794" t="inlineStr">
        <is>
          <t>0                      ND 0699000C  5                  M  43</t>
        </is>
      </c>
      <c r="D794" t="inlineStr">
        <is>
          <t>Marc Chagall / [translated from the German by Robert Allen]</t>
        </is>
      </c>
      <c r="F794" t="inlineStr">
        <is>
          <t>No</t>
        </is>
      </c>
      <c r="G794" t="inlineStr">
        <is>
          <t>1</t>
        </is>
      </c>
      <c r="H794" t="inlineStr">
        <is>
          <t>No</t>
        </is>
      </c>
      <c r="I794" t="inlineStr">
        <is>
          <t>No</t>
        </is>
      </c>
      <c r="J794" t="inlineStr">
        <is>
          <t>0</t>
        </is>
      </c>
      <c r="K794" t="inlineStr">
        <is>
          <t>Meyer, Franz, 1919-2007.</t>
        </is>
      </c>
      <c r="L794" t="inlineStr">
        <is>
          <t>New York : H. N. Abrams, [1964]</t>
        </is>
      </c>
      <c r="M794" t="inlineStr">
        <is>
          <t>1964</t>
        </is>
      </c>
      <c r="O794" t="inlineStr">
        <is>
          <t>eng</t>
        </is>
      </c>
      <c r="P794" t="inlineStr">
        <is>
          <t>nyu</t>
        </is>
      </c>
      <c r="R794" t="inlineStr">
        <is>
          <t xml:space="preserve">ND </t>
        </is>
      </c>
      <c r="S794" t="n">
        <v>10</v>
      </c>
      <c r="T794" t="n">
        <v>10</v>
      </c>
      <c r="U794" t="inlineStr">
        <is>
          <t>2003-09-21</t>
        </is>
      </c>
      <c r="V794" t="inlineStr">
        <is>
          <t>2003-09-21</t>
        </is>
      </c>
      <c r="W794" t="inlineStr">
        <is>
          <t>1994-05-06</t>
        </is>
      </c>
      <c r="X794" t="inlineStr">
        <is>
          <t>1994-05-06</t>
        </is>
      </c>
      <c r="Y794" t="n">
        <v>1322</v>
      </c>
      <c r="Z794" t="n">
        <v>1227</v>
      </c>
      <c r="AA794" t="n">
        <v>1240</v>
      </c>
      <c r="AB794" t="n">
        <v>10</v>
      </c>
      <c r="AC794" t="n">
        <v>10</v>
      </c>
      <c r="AD794" t="n">
        <v>35</v>
      </c>
      <c r="AE794" t="n">
        <v>35</v>
      </c>
      <c r="AF794" t="n">
        <v>13</v>
      </c>
      <c r="AG794" t="n">
        <v>13</v>
      </c>
      <c r="AH794" t="n">
        <v>6</v>
      </c>
      <c r="AI794" t="n">
        <v>6</v>
      </c>
      <c r="AJ794" t="n">
        <v>16</v>
      </c>
      <c r="AK794" t="n">
        <v>16</v>
      </c>
      <c r="AL794" t="n">
        <v>8</v>
      </c>
      <c r="AM794" t="n">
        <v>8</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HYPERLINK("https://creighton-primo.hosted.exlibrisgroup.com/primo-explore/search?tab=default_tab&amp;search_scope=EVERYTHING&amp;vid=01CRU&amp;lang=en_US&amp;offset=0&amp;query=any,contains,991000942559702656","Catalog Record")</f>
        <v/>
      </c>
      <c r="AT794">
        <f>HYPERLINK("http://www.worldcat.org/oclc/166501","WorldCat Record")</f>
        <v/>
      </c>
      <c r="AU794" t="inlineStr">
        <is>
          <t>9323715201:eng</t>
        </is>
      </c>
      <c r="AV794" t="inlineStr">
        <is>
          <t>166501</t>
        </is>
      </c>
      <c r="AW794" t="inlineStr">
        <is>
          <t>991000942559702656</t>
        </is>
      </c>
      <c r="AX794" t="inlineStr">
        <is>
          <t>991000942559702656</t>
        </is>
      </c>
      <c r="AY794" t="inlineStr">
        <is>
          <t>2271359170002656</t>
        </is>
      </c>
      <c r="AZ794" t="inlineStr">
        <is>
          <t>BOOK</t>
        </is>
      </c>
      <c r="BC794" t="inlineStr">
        <is>
          <t>32285001907459</t>
        </is>
      </c>
      <c r="BD794" t="inlineStr">
        <is>
          <t>893897352</t>
        </is>
      </c>
    </row>
    <row r="795">
      <c r="A795" t="inlineStr">
        <is>
          <t>No</t>
        </is>
      </c>
      <c r="B795" t="inlineStr">
        <is>
          <t>ND699.C5 V42</t>
        </is>
      </c>
      <c r="C795" t="inlineStr">
        <is>
          <t>0                      ND 0699000C  5                  V  42</t>
        </is>
      </c>
      <c r="D795" t="inlineStr">
        <is>
          <t>Chagall : [biographical and critical study / translated by S.J.C. Harrison and James Emmons.</t>
        </is>
      </c>
      <c r="F795" t="inlineStr">
        <is>
          <t>No</t>
        </is>
      </c>
      <c r="G795" t="inlineStr">
        <is>
          <t>1</t>
        </is>
      </c>
      <c r="H795" t="inlineStr">
        <is>
          <t>No</t>
        </is>
      </c>
      <c r="I795" t="inlineStr">
        <is>
          <t>No</t>
        </is>
      </c>
      <c r="J795" t="inlineStr">
        <is>
          <t>0</t>
        </is>
      </c>
      <c r="K795" t="inlineStr">
        <is>
          <t>Venturi, Lionello, 1885-1961.</t>
        </is>
      </c>
      <c r="L795" t="inlineStr">
        <is>
          <t>New York] : Skira, [1956]</t>
        </is>
      </c>
      <c r="M795" t="inlineStr">
        <is>
          <t>1956</t>
        </is>
      </c>
      <c r="O795" t="inlineStr">
        <is>
          <t>eng</t>
        </is>
      </c>
      <c r="P795" t="inlineStr">
        <is>
          <t>nyu</t>
        </is>
      </c>
      <c r="Q795" t="inlineStr">
        <is>
          <t>The Taste of our time, v. 18</t>
        </is>
      </c>
      <c r="R795" t="inlineStr">
        <is>
          <t xml:space="preserve">ND </t>
        </is>
      </c>
      <c r="S795" t="n">
        <v>3</v>
      </c>
      <c r="T795" t="n">
        <v>3</v>
      </c>
      <c r="U795" t="inlineStr">
        <is>
          <t>2004-11-08</t>
        </is>
      </c>
      <c r="V795" t="inlineStr">
        <is>
          <t>2004-11-08</t>
        </is>
      </c>
      <c r="W795" t="inlineStr">
        <is>
          <t>1992-01-17</t>
        </is>
      </c>
      <c r="X795" t="inlineStr">
        <is>
          <t>1992-01-17</t>
        </is>
      </c>
      <c r="Y795" t="n">
        <v>910</v>
      </c>
      <c r="Z795" t="n">
        <v>844</v>
      </c>
      <c r="AA795" t="n">
        <v>910</v>
      </c>
      <c r="AB795" t="n">
        <v>9</v>
      </c>
      <c r="AC795" t="n">
        <v>9</v>
      </c>
      <c r="AD795" t="n">
        <v>29</v>
      </c>
      <c r="AE795" t="n">
        <v>31</v>
      </c>
      <c r="AF795" t="n">
        <v>13</v>
      </c>
      <c r="AG795" t="n">
        <v>14</v>
      </c>
      <c r="AH795" t="n">
        <v>3</v>
      </c>
      <c r="AI795" t="n">
        <v>3</v>
      </c>
      <c r="AJ795" t="n">
        <v>11</v>
      </c>
      <c r="AK795" t="n">
        <v>13</v>
      </c>
      <c r="AL795" t="n">
        <v>6</v>
      </c>
      <c r="AM795" t="n">
        <v>6</v>
      </c>
      <c r="AN795" t="n">
        <v>0</v>
      </c>
      <c r="AO795" t="n">
        <v>0</v>
      </c>
      <c r="AP795" t="inlineStr">
        <is>
          <t>No</t>
        </is>
      </c>
      <c r="AQ795" t="inlineStr">
        <is>
          <t>No</t>
        </is>
      </c>
      <c r="AR795">
        <f>HYPERLINK("http://catalog.hathitrust.org/Record/000609978","HathiTrust Record")</f>
        <v/>
      </c>
      <c r="AS795">
        <f>HYPERLINK("https://creighton-primo.hosted.exlibrisgroup.com/primo-explore/search?tab=default_tab&amp;search_scope=EVERYTHING&amp;vid=01CRU&amp;lang=en_US&amp;offset=0&amp;query=any,contains,991002999359702656","Catalog Record")</f>
        <v/>
      </c>
      <c r="AT795">
        <f>HYPERLINK("http://www.worldcat.org/oclc/567565","WorldCat Record")</f>
        <v/>
      </c>
      <c r="AU795" t="inlineStr">
        <is>
          <t>10142110640:eng</t>
        </is>
      </c>
      <c r="AV795" t="inlineStr">
        <is>
          <t>567565</t>
        </is>
      </c>
      <c r="AW795" t="inlineStr">
        <is>
          <t>991002999359702656</t>
        </is>
      </c>
      <c r="AX795" t="inlineStr">
        <is>
          <t>991002999359702656</t>
        </is>
      </c>
      <c r="AY795" t="inlineStr">
        <is>
          <t>2257690280002656</t>
        </is>
      </c>
      <c r="AZ795" t="inlineStr">
        <is>
          <t>BOOK</t>
        </is>
      </c>
      <c r="BC795" t="inlineStr">
        <is>
          <t>32285000914050</t>
        </is>
      </c>
      <c r="BD795" t="inlineStr">
        <is>
          <t>893780505</t>
        </is>
      </c>
    </row>
    <row r="796">
      <c r="A796" t="inlineStr">
        <is>
          <t>No</t>
        </is>
      </c>
      <c r="B796" t="inlineStr">
        <is>
          <t>ND70 .B413 1962</t>
        </is>
      </c>
      <c r="C796" t="inlineStr">
        <is>
          <t>0                      ND 0070000B  413         1962</t>
        </is>
      </c>
      <c r="D796" t="inlineStr">
        <is>
          <t>Prehistoric to classical painting / Gian Guido Belloni ; [translated from the Italian by Annabella Cloudsley].</t>
        </is>
      </c>
      <c r="F796" t="inlineStr">
        <is>
          <t>No</t>
        </is>
      </c>
      <c r="G796" t="inlineStr">
        <is>
          <t>1</t>
        </is>
      </c>
      <c r="H796" t="inlineStr">
        <is>
          <t>No</t>
        </is>
      </c>
      <c r="I796" t="inlineStr">
        <is>
          <t>No</t>
        </is>
      </c>
      <c r="J796" t="inlineStr">
        <is>
          <t>0</t>
        </is>
      </c>
      <c r="K796" t="inlineStr">
        <is>
          <t>Belloni, Gian Guido.</t>
        </is>
      </c>
      <c r="L796" t="inlineStr">
        <is>
          <t>London : P. Hamlyn, c1962.</t>
        </is>
      </c>
      <c r="M796" t="inlineStr">
        <is>
          <t>1962</t>
        </is>
      </c>
      <c r="O796" t="inlineStr">
        <is>
          <t>eng</t>
        </is>
      </c>
      <c r="P796" t="inlineStr">
        <is>
          <t xml:space="preserve">xx </t>
        </is>
      </c>
      <c r="Q796" t="inlineStr">
        <is>
          <t>Art of the Western World</t>
        </is>
      </c>
      <c r="R796" t="inlineStr">
        <is>
          <t xml:space="preserve">ND </t>
        </is>
      </c>
      <c r="S796" t="n">
        <v>1</v>
      </c>
      <c r="T796" t="n">
        <v>1</v>
      </c>
      <c r="U796" t="inlineStr">
        <is>
          <t>1994-06-13</t>
        </is>
      </c>
      <c r="V796" t="inlineStr">
        <is>
          <t>1994-06-13</t>
        </is>
      </c>
      <c r="W796" t="inlineStr">
        <is>
          <t>1994-06-07</t>
        </is>
      </c>
      <c r="X796" t="inlineStr">
        <is>
          <t>1994-06-07</t>
        </is>
      </c>
      <c r="Y796" t="n">
        <v>106</v>
      </c>
      <c r="Z796" t="n">
        <v>57</v>
      </c>
      <c r="AA796" t="n">
        <v>314</v>
      </c>
      <c r="AB796" t="n">
        <v>3</v>
      </c>
      <c r="AC796" t="n">
        <v>3</v>
      </c>
      <c r="AD796" t="n">
        <v>3</v>
      </c>
      <c r="AE796" t="n">
        <v>11</v>
      </c>
      <c r="AF796" t="n">
        <v>1</v>
      </c>
      <c r="AG796" t="n">
        <v>5</v>
      </c>
      <c r="AH796" t="n">
        <v>0</v>
      </c>
      <c r="AI796" t="n">
        <v>0</v>
      </c>
      <c r="AJ796" t="n">
        <v>0</v>
      </c>
      <c r="AK796" t="n">
        <v>6</v>
      </c>
      <c r="AL796" t="n">
        <v>2</v>
      </c>
      <c r="AM796" t="n">
        <v>2</v>
      </c>
      <c r="AN796" t="n">
        <v>0</v>
      </c>
      <c r="AO796" t="n">
        <v>0</v>
      </c>
      <c r="AP796" t="inlineStr">
        <is>
          <t>No</t>
        </is>
      </c>
      <c r="AQ796" t="inlineStr">
        <is>
          <t>Yes</t>
        </is>
      </c>
      <c r="AR796">
        <f>HYPERLINK("http://catalog.hathitrust.org/Record/012263835","HathiTrust Record")</f>
        <v/>
      </c>
      <c r="AS796">
        <f>HYPERLINK("https://creighton-primo.hosted.exlibrisgroup.com/primo-explore/search?tab=default_tab&amp;search_scope=EVERYTHING&amp;vid=01CRU&amp;lang=en_US&amp;offset=0&amp;query=any,contains,991004949469702656","Catalog Record")</f>
        <v/>
      </c>
      <c r="AT796">
        <f>HYPERLINK("http://www.worldcat.org/oclc/6227262","WorldCat Record")</f>
        <v/>
      </c>
      <c r="AU796" t="inlineStr">
        <is>
          <t>1752931:eng</t>
        </is>
      </c>
      <c r="AV796" t="inlineStr">
        <is>
          <t>6227262</t>
        </is>
      </c>
      <c r="AW796" t="inlineStr">
        <is>
          <t>991004949469702656</t>
        </is>
      </c>
      <c r="AX796" t="inlineStr">
        <is>
          <t>991004949469702656</t>
        </is>
      </c>
      <c r="AY796" t="inlineStr">
        <is>
          <t>2263876220002656</t>
        </is>
      </c>
      <c r="AZ796" t="inlineStr">
        <is>
          <t>BOOK</t>
        </is>
      </c>
      <c r="BC796" t="inlineStr">
        <is>
          <t>32285001916096</t>
        </is>
      </c>
      <c r="BD796" t="inlineStr">
        <is>
          <t>893782835</t>
        </is>
      </c>
    </row>
    <row r="797">
      <c r="A797" t="inlineStr">
        <is>
          <t>No</t>
        </is>
      </c>
      <c r="B797" t="inlineStr">
        <is>
          <t>ND773.M8 M47</t>
        </is>
      </c>
      <c r="C797" t="inlineStr">
        <is>
          <t>0                      ND 0773000M  8                  M  47</t>
        </is>
      </c>
      <c r="D797" t="inlineStr">
        <is>
          <t>Edvard Munch / text by Thomas M. Messer.</t>
        </is>
      </c>
      <c r="F797" t="inlineStr">
        <is>
          <t>No</t>
        </is>
      </c>
      <c r="G797" t="inlineStr">
        <is>
          <t>1</t>
        </is>
      </c>
      <c r="H797" t="inlineStr">
        <is>
          <t>No</t>
        </is>
      </c>
      <c r="I797" t="inlineStr">
        <is>
          <t>No</t>
        </is>
      </c>
      <c r="J797" t="inlineStr">
        <is>
          <t>0</t>
        </is>
      </c>
      <c r="K797" t="inlineStr">
        <is>
          <t>Munch, Edvard, 1863-1944.</t>
        </is>
      </c>
      <c r="L797" t="inlineStr">
        <is>
          <t>New York : H. N. Abrams, [1971 or 2]</t>
        </is>
      </c>
      <c r="M797" t="inlineStr">
        <is>
          <t>1971</t>
        </is>
      </c>
      <c r="O797" t="inlineStr">
        <is>
          <t>eng</t>
        </is>
      </c>
      <c r="P797" t="inlineStr">
        <is>
          <t>nyu</t>
        </is>
      </c>
      <c r="Q797" t="inlineStr">
        <is>
          <t>The Library of great painters</t>
        </is>
      </c>
      <c r="R797" t="inlineStr">
        <is>
          <t xml:space="preserve">ND </t>
        </is>
      </c>
      <c r="S797" t="n">
        <v>13</v>
      </c>
      <c r="T797" t="n">
        <v>13</v>
      </c>
      <c r="U797" t="inlineStr">
        <is>
          <t>1999-11-16</t>
        </is>
      </c>
      <c r="V797" t="inlineStr">
        <is>
          <t>1999-11-16</t>
        </is>
      </c>
      <c r="W797" t="inlineStr">
        <is>
          <t>1994-03-01</t>
        </is>
      </c>
      <c r="X797" t="inlineStr">
        <is>
          <t>1994-03-01</t>
        </is>
      </c>
      <c r="Y797" t="n">
        <v>629</v>
      </c>
      <c r="Z797" t="n">
        <v>562</v>
      </c>
      <c r="AA797" t="n">
        <v>843</v>
      </c>
      <c r="AB797" t="n">
        <v>4</v>
      </c>
      <c r="AC797" t="n">
        <v>5</v>
      </c>
      <c r="AD797" t="n">
        <v>12</v>
      </c>
      <c r="AE797" t="n">
        <v>18</v>
      </c>
      <c r="AF797" t="n">
        <v>3</v>
      </c>
      <c r="AG797" t="n">
        <v>7</v>
      </c>
      <c r="AH797" t="n">
        <v>4</v>
      </c>
      <c r="AI797" t="n">
        <v>5</v>
      </c>
      <c r="AJ797" t="n">
        <v>5</v>
      </c>
      <c r="AK797" t="n">
        <v>8</v>
      </c>
      <c r="AL797" t="n">
        <v>3</v>
      </c>
      <c r="AM797" t="n">
        <v>4</v>
      </c>
      <c r="AN797" t="n">
        <v>0</v>
      </c>
      <c r="AO797" t="n">
        <v>0</v>
      </c>
      <c r="AP797" t="inlineStr">
        <is>
          <t>No</t>
        </is>
      </c>
      <c r="AQ797" t="inlineStr">
        <is>
          <t>Yes</t>
        </is>
      </c>
      <c r="AR797">
        <f>HYPERLINK("http://catalog.hathitrust.org/Record/000009440","HathiTrust Record")</f>
        <v/>
      </c>
      <c r="AS797">
        <f>HYPERLINK("https://creighton-primo.hosted.exlibrisgroup.com/primo-explore/search?tab=default_tab&amp;search_scope=EVERYTHING&amp;vid=01CRU&amp;lang=en_US&amp;offset=0&amp;query=any,contains,991003126879702656","Catalog Record")</f>
        <v/>
      </c>
      <c r="AT797">
        <f>HYPERLINK("http://www.worldcat.org/oclc/670812","WorldCat Record")</f>
        <v/>
      </c>
      <c r="AU797" t="inlineStr">
        <is>
          <t>2829616985:eng</t>
        </is>
      </c>
      <c r="AV797" t="inlineStr">
        <is>
          <t>670812</t>
        </is>
      </c>
      <c r="AW797" t="inlineStr">
        <is>
          <t>991003126879702656</t>
        </is>
      </c>
      <c r="AX797" t="inlineStr">
        <is>
          <t>991003126879702656</t>
        </is>
      </c>
      <c r="AY797" t="inlineStr">
        <is>
          <t>2267764950002656</t>
        </is>
      </c>
      <c r="AZ797" t="inlineStr">
        <is>
          <t>BOOK</t>
        </is>
      </c>
      <c r="BC797" t="inlineStr">
        <is>
          <t>32285001777498</t>
        </is>
      </c>
      <c r="BD797" t="inlineStr">
        <is>
          <t>893246045</t>
        </is>
      </c>
    </row>
    <row r="798">
      <c r="A798" t="inlineStr">
        <is>
          <t>No</t>
        </is>
      </c>
      <c r="B798" t="inlineStr">
        <is>
          <t>ND773.N39 A4 2001</t>
        </is>
      </c>
      <c r="C798" t="inlineStr">
        <is>
          <t>0                      ND 0773000N  39                 A  4           2001</t>
        </is>
      </c>
      <c r="D798" t="inlineStr">
        <is>
          <t>Odd Nerdrum : paintings sketches and drawings.</t>
        </is>
      </c>
      <c r="F798" t="inlineStr">
        <is>
          <t>No</t>
        </is>
      </c>
      <c r="G798" t="inlineStr">
        <is>
          <t>1</t>
        </is>
      </c>
      <c r="H798" t="inlineStr">
        <is>
          <t>No</t>
        </is>
      </c>
      <c r="I798" t="inlineStr">
        <is>
          <t>No</t>
        </is>
      </c>
      <c r="J798" t="inlineStr">
        <is>
          <t>0</t>
        </is>
      </c>
      <c r="K798" t="inlineStr">
        <is>
          <t>Nerdrum, Odd, 1944-</t>
        </is>
      </c>
      <c r="L798" t="inlineStr">
        <is>
          <t>Oslo : Gyldendal Fakta, c2001.</t>
        </is>
      </c>
      <c r="M798" t="inlineStr">
        <is>
          <t>2001</t>
        </is>
      </c>
      <c r="O798" t="inlineStr">
        <is>
          <t>eng</t>
        </is>
      </c>
      <c r="P798" t="inlineStr">
        <is>
          <t xml:space="preserve">no </t>
        </is>
      </c>
      <c r="R798" t="inlineStr">
        <is>
          <t xml:space="preserve">ND </t>
        </is>
      </c>
      <c r="S798" t="n">
        <v>2</v>
      </c>
      <c r="T798" t="n">
        <v>2</v>
      </c>
      <c r="U798" t="inlineStr">
        <is>
          <t>2008-07-11</t>
        </is>
      </c>
      <c r="V798" t="inlineStr">
        <is>
          <t>2008-07-11</t>
        </is>
      </c>
      <c r="W798" t="inlineStr">
        <is>
          <t>2003-11-08</t>
        </is>
      </c>
      <c r="X798" t="inlineStr">
        <is>
          <t>2003-11-08</t>
        </is>
      </c>
      <c r="Y798" t="n">
        <v>218</v>
      </c>
      <c r="Z798" t="n">
        <v>196</v>
      </c>
      <c r="AA798" t="n">
        <v>233</v>
      </c>
      <c r="AB798" t="n">
        <v>1</v>
      </c>
      <c r="AC798" t="n">
        <v>2</v>
      </c>
      <c r="AD798" t="n">
        <v>5</v>
      </c>
      <c r="AE798" t="n">
        <v>7</v>
      </c>
      <c r="AF798" t="n">
        <v>1</v>
      </c>
      <c r="AG798" t="n">
        <v>2</v>
      </c>
      <c r="AH798" t="n">
        <v>2</v>
      </c>
      <c r="AI798" t="n">
        <v>2</v>
      </c>
      <c r="AJ798" t="n">
        <v>3</v>
      </c>
      <c r="AK798" t="n">
        <v>3</v>
      </c>
      <c r="AL798" t="n">
        <v>0</v>
      </c>
      <c r="AM798" t="n">
        <v>1</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HYPERLINK("https://creighton-primo.hosted.exlibrisgroup.com/primo-explore/search?tab=default_tab&amp;search_scope=EVERYTHING&amp;vid=01CRU&amp;lang=en_US&amp;offset=0&amp;query=any,contains,991004014499702656","Catalog Record")</f>
        <v/>
      </c>
      <c r="AT798">
        <f>HYPERLINK("http://www.worldcat.org/oclc/48652063","WorldCat Record")</f>
        <v/>
      </c>
      <c r="AU798" t="inlineStr">
        <is>
          <t>17824508:eng</t>
        </is>
      </c>
      <c r="AV798" t="inlineStr">
        <is>
          <t>48652063</t>
        </is>
      </c>
      <c r="AW798" t="inlineStr">
        <is>
          <t>991004014499702656</t>
        </is>
      </c>
      <c r="AX798" t="inlineStr">
        <is>
          <t>991004014499702656</t>
        </is>
      </c>
      <c r="AY798" t="inlineStr">
        <is>
          <t>2267027130002656</t>
        </is>
      </c>
      <c r="AZ798" t="inlineStr">
        <is>
          <t>BOOK</t>
        </is>
      </c>
      <c r="BB798" t="inlineStr">
        <is>
          <t>9788248901211</t>
        </is>
      </c>
      <c r="BC798" t="inlineStr">
        <is>
          <t>32285004795877</t>
        </is>
      </c>
      <c r="BD798" t="inlineStr">
        <is>
          <t>893331107</t>
        </is>
      </c>
    </row>
    <row r="799">
      <c r="A799" t="inlineStr">
        <is>
          <t>No</t>
        </is>
      </c>
      <c r="B799" t="inlineStr">
        <is>
          <t>ND801 .L343</t>
        </is>
      </c>
      <c r="C799" t="inlineStr">
        <is>
          <t>0                      ND 0801000L  343</t>
        </is>
      </c>
      <c r="D799" t="inlineStr">
        <is>
          <t>Spanish painting / translated by Stuart Gilbert.</t>
        </is>
      </c>
      <c r="E799" t="inlineStr">
        <is>
          <t>V.2</t>
        </is>
      </c>
      <c r="F799" t="inlineStr">
        <is>
          <t>Yes</t>
        </is>
      </c>
      <c r="G799" t="inlineStr">
        <is>
          <t>1</t>
        </is>
      </c>
      <c r="H799" t="inlineStr">
        <is>
          <t>No</t>
        </is>
      </c>
      <c r="I799" t="inlineStr">
        <is>
          <t>No</t>
        </is>
      </c>
      <c r="J799" t="inlineStr">
        <is>
          <t>0</t>
        </is>
      </c>
      <c r="K799" t="inlineStr">
        <is>
          <t>Lassaigne, Jacques, 1911-1983.</t>
        </is>
      </c>
      <c r="L799" t="inlineStr">
        <is>
          <t>[Geneva ; New York] : Skira, [1952-</t>
        </is>
      </c>
      <c r="M799" t="inlineStr">
        <is>
          <t>1952</t>
        </is>
      </c>
      <c r="O799" t="inlineStr">
        <is>
          <t>eng</t>
        </is>
      </c>
      <c r="P799" t="inlineStr">
        <is>
          <t xml:space="preserve">sz </t>
        </is>
      </c>
      <c r="Q799" t="inlineStr">
        <is>
          <t>Paintings, color, history, v. 6</t>
        </is>
      </c>
      <c r="R799" t="inlineStr">
        <is>
          <t xml:space="preserve">ND </t>
        </is>
      </c>
      <c r="S799" t="n">
        <v>5</v>
      </c>
      <c r="T799" t="n">
        <v>17</v>
      </c>
      <c r="U799" t="inlineStr">
        <is>
          <t>2006-02-26</t>
        </is>
      </c>
      <c r="V799" t="inlineStr">
        <is>
          <t>2006-02-26</t>
        </is>
      </c>
      <c r="W799" t="inlineStr">
        <is>
          <t>1991-12-10</t>
        </is>
      </c>
      <c r="X799" t="inlineStr">
        <is>
          <t>1993-05-24</t>
        </is>
      </c>
      <c r="Y799" t="n">
        <v>1068</v>
      </c>
      <c r="Z799" t="n">
        <v>983</v>
      </c>
      <c r="AA799" t="n">
        <v>1002</v>
      </c>
      <c r="AB799" t="n">
        <v>9</v>
      </c>
      <c r="AC799" t="n">
        <v>9</v>
      </c>
      <c r="AD799" t="n">
        <v>36</v>
      </c>
      <c r="AE799" t="n">
        <v>37</v>
      </c>
      <c r="AF799" t="n">
        <v>16</v>
      </c>
      <c r="AG799" t="n">
        <v>17</v>
      </c>
      <c r="AH799" t="n">
        <v>7</v>
      </c>
      <c r="AI799" t="n">
        <v>7</v>
      </c>
      <c r="AJ799" t="n">
        <v>15</v>
      </c>
      <c r="AK799" t="n">
        <v>16</v>
      </c>
      <c r="AL799" t="n">
        <v>6</v>
      </c>
      <c r="AM799" t="n">
        <v>6</v>
      </c>
      <c r="AN799" t="n">
        <v>0</v>
      </c>
      <c r="AO799" t="n">
        <v>0</v>
      </c>
      <c r="AP799" t="inlineStr">
        <is>
          <t>No</t>
        </is>
      </c>
      <c r="AQ799" t="inlineStr">
        <is>
          <t>Yes</t>
        </is>
      </c>
      <c r="AR799">
        <f>HYPERLINK("http://catalog.hathitrust.org/Record/000611624","HathiTrust Record")</f>
        <v/>
      </c>
      <c r="AS799">
        <f>HYPERLINK("https://creighton-primo.hosted.exlibrisgroup.com/primo-explore/search?tab=default_tab&amp;search_scope=EVERYTHING&amp;vid=01CRU&amp;lang=en_US&amp;offset=0&amp;query=any,contains,991001659369702656","Catalog Record")</f>
        <v/>
      </c>
      <c r="AT799">
        <f>HYPERLINK("http://www.worldcat.org/oclc/233986","WorldCat Record")</f>
        <v/>
      </c>
      <c r="AU799" t="inlineStr">
        <is>
          <t>4898831378:eng</t>
        </is>
      </c>
      <c r="AV799" t="inlineStr">
        <is>
          <t>233986</t>
        </is>
      </c>
      <c r="AW799" t="inlineStr">
        <is>
          <t>991001659369702656</t>
        </is>
      </c>
      <c r="AX799" t="inlineStr">
        <is>
          <t>991001659369702656</t>
        </is>
      </c>
      <c r="AY799" t="inlineStr">
        <is>
          <t>2259206510002656</t>
        </is>
      </c>
      <c r="AZ799" t="inlineStr">
        <is>
          <t>BOOK</t>
        </is>
      </c>
      <c r="BC799" t="inlineStr">
        <is>
          <t>32285000875350</t>
        </is>
      </c>
      <c r="BD799" t="inlineStr">
        <is>
          <t>893803787</t>
        </is>
      </c>
    </row>
    <row r="800">
      <c r="A800" t="inlineStr">
        <is>
          <t>No</t>
        </is>
      </c>
      <c r="B800" t="inlineStr">
        <is>
          <t>ND801 .L343</t>
        </is>
      </c>
      <c r="C800" t="inlineStr">
        <is>
          <t>0                      ND 0801000L  343</t>
        </is>
      </c>
      <c r="D800" t="inlineStr">
        <is>
          <t>Spanish painting / translated by Stuart Gilbert.</t>
        </is>
      </c>
      <c r="E800" t="inlineStr">
        <is>
          <t>V.1</t>
        </is>
      </c>
      <c r="F800" t="inlineStr">
        <is>
          <t>Yes</t>
        </is>
      </c>
      <c r="G800" t="inlineStr">
        <is>
          <t>1</t>
        </is>
      </c>
      <c r="H800" t="inlineStr">
        <is>
          <t>No</t>
        </is>
      </c>
      <c r="I800" t="inlineStr">
        <is>
          <t>No</t>
        </is>
      </c>
      <c r="J800" t="inlineStr">
        <is>
          <t>0</t>
        </is>
      </c>
      <c r="K800" t="inlineStr">
        <is>
          <t>Lassaigne, Jacques, 1911-1983.</t>
        </is>
      </c>
      <c r="L800" t="inlineStr">
        <is>
          <t>[Geneva ; New York] : Skira, [1952-</t>
        </is>
      </c>
      <c r="M800" t="inlineStr">
        <is>
          <t>1952</t>
        </is>
      </c>
      <c r="O800" t="inlineStr">
        <is>
          <t>eng</t>
        </is>
      </c>
      <c r="P800" t="inlineStr">
        <is>
          <t xml:space="preserve">sz </t>
        </is>
      </c>
      <c r="Q800" t="inlineStr">
        <is>
          <t>Paintings, color, history, v. 6</t>
        </is>
      </c>
      <c r="R800" t="inlineStr">
        <is>
          <t xml:space="preserve">ND </t>
        </is>
      </c>
      <c r="S800" t="n">
        <v>12</v>
      </c>
      <c r="T800" t="n">
        <v>17</v>
      </c>
      <c r="U800" t="inlineStr">
        <is>
          <t>2004-11-17</t>
        </is>
      </c>
      <c r="V800" t="inlineStr">
        <is>
          <t>2006-02-26</t>
        </is>
      </c>
      <c r="W800" t="inlineStr">
        <is>
          <t>1993-05-24</t>
        </is>
      </c>
      <c r="X800" t="inlineStr">
        <is>
          <t>1993-05-24</t>
        </is>
      </c>
      <c r="Y800" t="n">
        <v>1068</v>
      </c>
      <c r="Z800" t="n">
        <v>983</v>
      </c>
      <c r="AA800" t="n">
        <v>1002</v>
      </c>
      <c r="AB800" t="n">
        <v>9</v>
      </c>
      <c r="AC800" t="n">
        <v>9</v>
      </c>
      <c r="AD800" t="n">
        <v>36</v>
      </c>
      <c r="AE800" t="n">
        <v>37</v>
      </c>
      <c r="AF800" t="n">
        <v>16</v>
      </c>
      <c r="AG800" t="n">
        <v>17</v>
      </c>
      <c r="AH800" t="n">
        <v>7</v>
      </c>
      <c r="AI800" t="n">
        <v>7</v>
      </c>
      <c r="AJ800" t="n">
        <v>15</v>
      </c>
      <c r="AK800" t="n">
        <v>16</v>
      </c>
      <c r="AL800" t="n">
        <v>6</v>
      </c>
      <c r="AM800" t="n">
        <v>6</v>
      </c>
      <c r="AN800" t="n">
        <v>0</v>
      </c>
      <c r="AO800" t="n">
        <v>0</v>
      </c>
      <c r="AP800" t="inlineStr">
        <is>
          <t>No</t>
        </is>
      </c>
      <c r="AQ800" t="inlineStr">
        <is>
          <t>Yes</t>
        </is>
      </c>
      <c r="AR800">
        <f>HYPERLINK("http://catalog.hathitrust.org/Record/000611624","HathiTrust Record")</f>
        <v/>
      </c>
      <c r="AS800">
        <f>HYPERLINK("https://creighton-primo.hosted.exlibrisgroup.com/primo-explore/search?tab=default_tab&amp;search_scope=EVERYTHING&amp;vid=01CRU&amp;lang=en_US&amp;offset=0&amp;query=any,contains,991001659369702656","Catalog Record")</f>
        <v/>
      </c>
      <c r="AT800">
        <f>HYPERLINK("http://www.worldcat.org/oclc/233986","WorldCat Record")</f>
        <v/>
      </c>
      <c r="AU800" t="inlineStr">
        <is>
          <t>4898831378:eng</t>
        </is>
      </c>
      <c r="AV800" t="inlineStr">
        <is>
          <t>233986</t>
        </is>
      </c>
      <c r="AW800" t="inlineStr">
        <is>
          <t>991001659369702656</t>
        </is>
      </c>
      <c r="AX800" t="inlineStr">
        <is>
          <t>991001659369702656</t>
        </is>
      </c>
      <c r="AY800" t="inlineStr">
        <is>
          <t>2259206510002656</t>
        </is>
      </c>
      <c r="AZ800" t="inlineStr">
        <is>
          <t>BOOK</t>
        </is>
      </c>
      <c r="BC800" t="inlineStr">
        <is>
          <t>32285001692648</t>
        </is>
      </c>
      <c r="BD800" t="inlineStr">
        <is>
          <t>893785288</t>
        </is>
      </c>
    </row>
    <row r="801">
      <c r="A801" t="inlineStr">
        <is>
          <t>No</t>
        </is>
      </c>
      <c r="B801" t="inlineStr">
        <is>
          <t>ND804 .B52 1963</t>
        </is>
      </c>
      <c r="C801" t="inlineStr">
        <is>
          <t>0                      ND 0804000B  52          1963</t>
        </is>
      </c>
      <c r="D801" t="inlineStr">
        <is>
          <t>Spanish painting / Ugo, Bicchi.</t>
        </is>
      </c>
      <c r="F801" t="inlineStr">
        <is>
          <t>No</t>
        </is>
      </c>
      <c r="G801" t="inlineStr">
        <is>
          <t>1</t>
        </is>
      </c>
      <c r="H801" t="inlineStr">
        <is>
          <t>No</t>
        </is>
      </c>
      <c r="I801" t="inlineStr">
        <is>
          <t>No</t>
        </is>
      </c>
      <c r="J801" t="inlineStr">
        <is>
          <t>0</t>
        </is>
      </c>
      <c r="K801" t="inlineStr">
        <is>
          <t>Bicchi, Ugo.</t>
        </is>
      </c>
      <c r="L801" t="inlineStr">
        <is>
          <t>London : P. Hamlyn, [1963]</t>
        </is>
      </c>
      <c r="M801" t="inlineStr">
        <is>
          <t>1963</t>
        </is>
      </c>
      <c r="O801" t="inlineStr">
        <is>
          <t>eng</t>
        </is>
      </c>
      <c r="P801" t="inlineStr">
        <is>
          <t>enk</t>
        </is>
      </c>
      <c r="Q801" t="inlineStr">
        <is>
          <t>Art of the Western world</t>
        </is>
      </c>
      <c r="R801" t="inlineStr">
        <is>
          <t xml:space="preserve">ND </t>
        </is>
      </c>
      <c r="S801" t="n">
        <v>2</v>
      </c>
      <c r="T801" t="n">
        <v>2</v>
      </c>
      <c r="U801" t="inlineStr">
        <is>
          <t>1994-06-27</t>
        </is>
      </c>
      <c r="V801" t="inlineStr">
        <is>
          <t>1994-06-27</t>
        </is>
      </c>
      <c r="W801" t="inlineStr">
        <is>
          <t>1994-08-30</t>
        </is>
      </c>
      <c r="X801" t="inlineStr">
        <is>
          <t>1994-08-30</t>
        </is>
      </c>
      <c r="Y801" t="n">
        <v>109</v>
      </c>
      <c r="Z801" t="n">
        <v>73</v>
      </c>
      <c r="AA801" t="n">
        <v>305</v>
      </c>
      <c r="AB801" t="n">
        <v>1</v>
      </c>
      <c r="AC801" t="n">
        <v>4</v>
      </c>
      <c r="AD801" t="n">
        <v>6</v>
      </c>
      <c r="AE801" t="n">
        <v>16</v>
      </c>
      <c r="AF801" t="n">
        <v>4</v>
      </c>
      <c r="AG801" t="n">
        <v>7</v>
      </c>
      <c r="AH801" t="n">
        <v>1</v>
      </c>
      <c r="AI801" t="n">
        <v>3</v>
      </c>
      <c r="AJ801" t="n">
        <v>1</v>
      </c>
      <c r="AK801" t="n">
        <v>6</v>
      </c>
      <c r="AL801" t="n">
        <v>0</v>
      </c>
      <c r="AM801" t="n">
        <v>2</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HYPERLINK("https://creighton-primo.hosted.exlibrisgroup.com/primo-explore/search?tab=default_tab&amp;search_scope=EVERYTHING&amp;vid=01CRU&amp;lang=en_US&amp;offset=0&amp;query=any,contains,991004109439702656","Catalog Record")</f>
        <v/>
      </c>
      <c r="AT801">
        <f>HYPERLINK("http://www.worldcat.org/oclc/2391973","WorldCat Record")</f>
        <v/>
      </c>
      <c r="AU801" t="inlineStr">
        <is>
          <t>1754477:eng</t>
        </is>
      </c>
      <c r="AV801" t="inlineStr">
        <is>
          <t>2391973</t>
        </is>
      </c>
      <c r="AW801" t="inlineStr">
        <is>
          <t>991004109439702656</t>
        </is>
      </c>
      <c r="AX801" t="inlineStr">
        <is>
          <t>991004109439702656</t>
        </is>
      </c>
      <c r="AY801" t="inlineStr">
        <is>
          <t>2270624190002656</t>
        </is>
      </c>
      <c r="AZ801" t="inlineStr">
        <is>
          <t>BOOK</t>
        </is>
      </c>
      <c r="BC801" t="inlineStr">
        <is>
          <t>32285001777977</t>
        </is>
      </c>
      <c r="BD801" t="inlineStr">
        <is>
          <t>893775625</t>
        </is>
      </c>
    </row>
    <row r="802">
      <c r="A802" t="inlineStr">
        <is>
          <t>No</t>
        </is>
      </c>
      <c r="B802" t="inlineStr">
        <is>
          <t>ND804 .J43 1964</t>
        </is>
      </c>
      <c r="C802" t="inlineStr">
        <is>
          <t>0                      ND 0804000J  43          1964</t>
        </is>
      </c>
      <c r="D802" t="inlineStr">
        <is>
          <t>Spanish painting. [Translated from the German by J. Maxwell Brownjohn]</t>
        </is>
      </c>
      <c r="F802" t="inlineStr">
        <is>
          <t>No</t>
        </is>
      </c>
      <c r="G802" t="inlineStr">
        <is>
          <t>1</t>
        </is>
      </c>
      <c r="H802" t="inlineStr">
        <is>
          <t>No</t>
        </is>
      </c>
      <c r="I802" t="inlineStr">
        <is>
          <t>No</t>
        </is>
      </c>
      <c r="J802" t="inlineStr">
        <is>
          <t>0</t>
        </is>
      </c>
      <c r="K802" t="inlineStr">
        <is>
          <t>Jedlicka, Gotthard, 1899-1965.</t>
        </is>
      </c>
      <c r="L802" t="inlineStr">
        <is>
          <t>New York, Viking Press [1964,c1963]</t>
        </is>
      </c>
      <c r="M802" t="inlineStr">
        <is>
          <t>1964</t>
        </is>
      </c>
      <c r="O802" t="inlineStr">
        <is>
          <t>eng</t>
        </is>
      </c>
      <c r="P802" t="inlineStr">
        <is>
          <t xml:space="preserve">xx </t>
        </is>
      </c>
      <c r="Q802" t="inlineStr">
        <is>
          <t>A Studio book</t>
        </is>
      </c>
      <c r="R802" t="inlineStr">
        <is>
          <t xml:space="preserve">ND </t>
        </is>
      </c>
      <c r="S802" t="n">
        <v>18</v>
      </c>
      <c r="T802" t="n">
        <v>18</v>
      </c>
      <c r="U802" t="inlineStr">
        <is>
          <t>1997-02-19</t>
        </is>
      </c>
      <c r="V802" t="inlineStr">
        <is>
          <t>1997-02-19</t>
        </is>
      </c>
      <c r="W802" t="inlineStr">
        <is>
          <t>1991-12-10</t>
        </is>
      </c>
      <c r="X802" t="inlineStr">
        <is>
          <t>1991-12-10</t>
        </is>
      </c>
      <c r="Y802" t="n">
        <v>397</v>
      </c>
      <c r="Z802" t="n">
        <v>387</v>
      </c>
      <c r="AA802" t="n">
        <v>413</v>
      </c>
      <c r="AB802" t="n">
        <v>4</v>
      </c>
      <c r="AC802" t="n">
        <v>4</v>
      </c>
      <c r="AD802" t="n">
        <v>11</v>
      </c>
      <c r="AE802" t="n">
        <v>11</v>
      </c>
      <c r="AF802" t="n">
        <v>3</v>
      </c>
      <c r="AG802" t="n">
        <v>3</v>
      </c>
      <c r="AH802" t="n">
        <v>3</v>
      </c>
      <c r="AI802" t="n">
        <v>3</v>
      </c>
      <c r="AJ802" t="n">
        <v>5</v>
      </c>
      <c r="AK802" t="n">
        <v>5</v>
      </c>
      <c r="AL802" t="n">
        <v>2</v>
      </c>
      <c r="AM802" t="n">
        <v>2</v>
      </c>
      <c r="AN802" t="n">
        <v>0</v>
      </c>
      <c r="AO802" t="n">
        <v>0</v>
      </c>
      <c r="AP802" t="inlineStr">
        <is>
          <t>No</t>
        </is>
      </c>
      <c r="AQ802" t="inlineStr">
        <is>
          <t>Yes</t>
        </is>
      </c>
      <c r="AR802">
        <f>HYPERLINK("http://catalog.hathitrust.org/Record/008513154","HathiTrust Record")</f>
        <v/>
      </c>
      <c r="AS802">
        <f>HYPERLINK("https://creighton-primo.hosted.exlibrisgroup.com/primo-explore/search?tab=default_tab&amp;search_scope=EVERYTHING&amp;vid=01CRU&amp;lang=en_US&amp;offset=0&amp;query=any,contains,991002834849702656","Catalog Record")</f>
        <v/>
      </c>
      <c r="AT802">
        <f>HYPERLINK("http://www.worldcat.org/oclc/479524","WorldCat Record")</f>
        <v/>
      </c>
      <c r="AU802" t="inlineStr">
        <is>
          <t>1555884:eng</t>
        </is>
      </c>
      <c r="AV802" t="inlineStr">
        <is>
          <t>479524</t>
        </is>
      </c>
      <c r="AW802" t="inlineStr">
        <is>
          <t>991002834849702656</t>
        </is>
      </c>
      <c r="AX802" t="inlineStr">
        <is>
          <t>991002834849702656</t>
        </is>
      </c>
      <c r="AY802" t="inlineStr">
        <is>
          <t>2263654210002656</t>
        </is>
      </c>
      <c r="AZ802" t="inlineStr">
        <is>
          <t>BOOK</t>
        </is>
      </c>
      <c r="BC802" t="inlineStr">
        <is>
          <t>32285000719590</t>
        </is>
      </c>
      <c r="BD802" t="inlineStr">
        <is>
          <t>893591836</t>
        </is>
      </c>
    </row>
    <row r="803">
      <c r="A803" t="inlineStr">
        <is>
          <t>No</t>
        </is>
      </c>
      <c r="B803" t="inlineStr">
        <is>
          <t>ND805 .M35 1990</t>
        </is>
      </c>
      <c r="C803" t="inlineStr">
        <is>
          <t>0                      ND 0805000M  35          1990</t>
        </is>
      </c>
      <c r="D803" t="inlineStr">
        <is>
          <t>El Greco to Murillo : Spanish painting in the Golden Age, 1556-1700 / Nina Ayala Mallory.</t>
        </is>
      </c>
      <c r="F803" t="inlineStr">
        <is>
          <t>No</t>
        </is>
      </c>
      <c r="G803" t="inlineStr">
        <is>
          <t>1</t>
        </is>
      </c>
      <c r="H803" t="inlineStr">
        <is>
          <t>No</t>
        </is>
      </c>
      <c r="I803" t="inlineStr">
        <is>
          <t>No</t>
        </is>
      </c>
      <c r="J803" t="inlineStr">
        <is>
          <t>0</t>
        </is>
      </c>
      <c r="K803" t="inlineStr">
        <is>
          <t>Mallory, Nina A.</t>
        </is>
      </c>
      <c r="L803" t="inlineStr">
        <is>
          <t>New York : HarperCollins, c1990.</t>
        </is>
      </c>
      <c r="M803" t="inlineStr">
        <is>
          <t>1990</t>
        </is>
      </c>
      <c r="N803" t="inlineStr">
        <is>
          <t>1st ed.</t>
        </is>
      </c>
      <c r="O803" t="inlineStr">
        <is>
          <t>eng</t>
        </is>
      </c>
      <c r="P803" t="inlineStr">
        <is>
          <t>nyu</t>
        </is>
      </c>
      <c r="Q803" t="inlineStr">
        <is>
          <t>Icon editions</t>
        </is>
      </c>
      <c r="R803" t="inlineStr">
        <is>
          <t xml:space="preserve">ND </t>
        </is>
      </c>
      <c r="S803" t="n">
        <v>24</v>
      </c>
      <c r="T803" t="n">
        <v>24</v>
      </c>
      <c r="U803" t="inlineStr">
        <is>
          <t>2006-02-07</t>
        </is>
      </c>
      <c r="V803" t="inlineStr">
        <is>
          <t>2006-02-07</t>
        </is>
      </c>
      <c r="W803" t="inlineStr">
        <is>
          <t>1991-07-01</t>
        </is>
      </c>
      <c r="X803" t="inlineStr">
        <is>
          <t>1991-07-01</t>
        </is>
      </c>
      <c r="Y803" t="n">
        <v>436</v>
      </c>
      <c r="Z803" t="n">
        <v>387</v>
      </c>
      <c r="AA803" t="n">
        <v>397</v>
      </c>
      <c r="AB803" t="n">
        <v>4</v>
      </c>
      <c r="AC803" t="n">
        <v>4</v>
      </c>
      <c r="AD803" t="n">
        <v>17</v>
      </c>
      <c r="AE803" t="n">
        <v>18</v>
      </c>
      <c r="AF803" t="n">
        <v>7</v>
      </c>
      <c r="AG803" t="n">
        <v>7</v>
      </c>
      <c r="AH803" t="n">
        <v>3</v>
      </c>
      <c r="AI803" t="n">
        <v>4</v>
      </c>
      <c r="AJ803" t="n">
        <v>11</v>
      </c>
      <c r="AK803" t="n">
        <v>12</v>
      </c>
      <c r="AL803" t="n">
        <v>2</v>
      </c>
      <c r="AM803" t="n">
        <v>2</v>
      </c>
      <c r="AN803" t="n">
        <v>0</v>
      </c>
      <c r="AO803" t="n">
        <v>0</v>
      </c>
      <c r="AP803" t="inlineStr">
        <is>
          <t>No</t>
        </is>
      </c>
      <c r="AQ803" t="inlineStr">
        <is>
          <t>Yes</t>
        </is>
      </c>
      <c r="AR803">
        <f>HYPERLINK("http://catalog.hathitrust.org/Record/002425925","HathiTrust Record")</f>
        <v/>
      </c>
      <c r="AS803">
        <f>HYPERLINK("https://creighton-primo.hosted.exlibrisgroup.com/primo-explore/search?tab=default_tab&amp;search_scope=EVERYTHING&amp;vid=01CRU&amp;lang=en_US&amp;offset=0&amp;query=any,contains,991001532819702656","Catalog Record")</f>
        <v/>
      </c>
      <c r="AT803">
        <f>HYPERLINK("http://www.worldcat.org/oclc/20056141","WorldCat Record")</f>
        <v/>
      </c>
      <c r="AU803" t="inlineStr">
        <is>
          <t>427690418:eng</t>
        </is>
      </c>
      <c r="AV803" t="inlineStr">
        <is>
          <t>20056141</t>
        </is>
      </c>
      <c r="AW803" t="inlineStr">
        <is>
          <t>991001532819702656</t>
        </is>
      </c>
      <c r="AX803" t="inlineStr">
        <is>
          <t>991001532819702656</t>
        </is>
      </c>
      <c r="AY803" t="inlineStr">
        <is>
          <t>2271227450002656</t>
        </is>
      </c>
      <c r="AZ803" t="inlineStr">
        <is>
          <t>BOOK</t>
        </is>
      </c>
      <c r="BB803" t="inlineStr">
        <is>
          <t>9780064301954</t>
        </is>
      </c>
      <c r="BC803" t="inlineStr">
        <is>
          <t>32285000659341</t>
        </is>
      </c>
      <c r="BD803" t="inlineStr">
        <is>
          <t>893602659</t>
        </is>
      </c>
    </row>
    <row r="804">
      <c r="A804" t="inlineStr">
        <is>
          <t>No</t>
        </is>
      </c>
      <c r="B804" t="inlineStr">
        <is>
          <t>ND805 .S76 1995</t>
        </is>
      </c>
      <c r="C804" t="inlineStr">
        <is>
          <t>0                      ND 0805000S  76          1995</t>
        </is>
      </c>
      <c r="D804" t="inlineStr">
        <is>
          <t>Visionary experience in the golden age of Spanish art / Victor I. Stoichita ; [translated by Anne-Marie Glasheen].</t>
        </is>
      </c>
      <c r="F804" t="inlineStr">
        <is>
          <t>No</t>
        </is>
      </c>
      <c r="G804" t="inlineStr">
        <is>
          <t>1</t>
        </is>
      </c>
      <c r="H804" t="inlineStr">
        <is>
          <t>No</t>
        </is>
      </c>
      <c r="I804" t="inlineStr">
        <is>
          <t>No</t>
        </is>
      </c>
      <c r="J804" t="inlineStr">
        <is>
          <t>0</t>
        </is>
      </c>
      <c r="K804" t="inlineStr">
        <is>
          <t>Stoichiță, Victor Ieronim.</t>
        </is>
      </c>
      <c r="L804" t="inlineStr">
        <is>
          <t>London : Reaktion Books, 1995.</t>
        </is>
      </c>
      <c r="M804" t="inlineStr">
        <is>
          <t>1995</t>
        </is>
      </c>
      <c r="O804" t="inlineStr">
        <is>
          <t>eng</t>
        </is>
      </c>
      <c r="P804" t="inlineStr">
        <is>
          <t>enk</t>
        </is>
      </c>
      <c r="Q804" t="inlineStr">
        <is>
          <t>Essays in art and culture</t>
        </is>
      </c>
      <c r="R804" t="inlineStr">
        <is>
          <t xml:space="preserve">ND </t>
        </is>
      </c>
      <c r="S804" t="n">
        <v>9</v>
      </c>
      <c r="T804" t="n">
        <v>9</v>
      </c>
      <c r="U804" t="inlineStr">
        <is>
          <t>2008-10-08</t>
        </is>
      </c>
      <c r="V804" t="inlineStr">
        <is>
          <t>2008-10-08</t>
        </is>
      </c>
      <c r="W804" t="inlineStr">
        <is>
          <t>1997-03-20</t>
        </is>
      </c>
      <c r="X804" t="inlineStr">
        <is>
          <t>1997-03-20</t>
        </is>
      </c>
      <c r="Y804" t="n">
        <v>363</v>
      </c>
      <c r="Z804" t="n">
        <v>252</v>
      </c>
      <c r="AA804" t="n">
        <v>335</v>
      </c>
      <c r="AB804" t="n">
        <v>4</v>
      </c>
      <c r="AC804" t="n">
        <v>4</v>
      </c>
      <c r="AD804" t="n">
        <v>17</v>
      </c>
      <c r="AE804" t="n">
        <v>22</v>
      </c>
      <c r="AF804" t="n">
        <v>6</v>
      </c>
      <c r="AG804" t="n">
        <v>11</v>
      </c>
      <c r="AH804" t="n">
        <v>5</v>
      </c>
      <c r="AI804" t="n">
        <v>6</v>
      </c>
      <c r="AJ804" t="n">
        <v>9</v>
      </c>
      <c r="AK804" t="n">
        <v>9</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HYPERLINK("https://creighton-primo.hosted.exlibrisgroup.com/primo-explore/search?tab=default_tab&amp;search_scope=EVERYTHING&amp;vid=01CRU&amp;lang=en_US&amp;offset=0&amp;query=any,contains,991002599159702656","Catalog Record")</f>
        <v/>
      </c>
      <c r="AT804">
        <f>HYPERLINK("http://www.worldcat.org/oclc/34050351","WorldCat Record")</f>
        <v/>
      </c>
      <c r="AU804" t="inlineStr">
        <is>
          <t>988660:eng</t>
        </is>
      </c>
      <c r="AV804" t="inlineStr">
        <is>
          <t>34050351</t>
        </is>
      </c>
      <c r="AW804" t="inlineStr">
        <is>
          <t>991002599159702656</t>
        </is>
      </c>
      <c r="AX804" t="inlineStr">
        <is>
          <t>991002599159702656</t>
        </is>
      </c>
      <c r="AY804" t="inlineStr">
        <is>
          <t>2266852330002656</t>
        </is>
      </c>
      <c r="AZ804" t="inlineStr">
        <is>
          <t>BOOK</t>
        </is>
      </c>
      <c r="BB804" t="inlineStr">
        <is>
          <t>9780948462757</t>
        </is>
      </c>
      <c r="BC804" t="inlineStr">
        <is>
          <t>32285002444882</t>
        </is>
      </c>
      <c r="BD804" t="inlineStr">
        <is>
          <t>893245365</t>
        </is>
      </c>
    </row>
    <row r="805">
      <c r="A805" t="inlineStr">
        <is>
          <t>No</t>
        </is>
      </c>
      <c r="B805" t="inlineStr">
        <is>
          <t>ND813.G7 C453 1965</t>
        </is>
      </c>
      <c r="C805" t="inlineStr">
        <is>
          <t>0                      ND 0813000G  7                  C  453         1965</t>
        </is>
      </c>
      <c r="D805" t="inlineStr">
        <is>
          <t>Goya / [translated from the French by J. Maxwell Brownjohn]</t>
        </is>
      </c>
      <c r="F805" t="inlineStr">
        <is>
          <t>No</t>
        </is>
      </c>
      <c r="G805" t="inlineStr">
        <is>
          <t>1</t>
        </is>
      </c>
      <c r="H805" t="inlineStr">
        <is>
          <t>No</t>
        </is>
      </c>
      <c r="I805" t="inlineStr">
        <is>
          <t>No</t>
        </is>
      </c>
      <c r="J805" t="inlineStr">
        <is>
          <t>0</t>
        </is>
      </c>
      <c r="K805" t="inlineStr">
        <is>
          <t>Chabrun, Jean-François, 1920-1997.</t>
        </is>
      </c>
      <c r="L805" t="inlineStr">
        <is>
          <t>New York : Tudor Pub. Co., [c1965]</t>
        </is>
      </c>
      <c r="M805" t="inlineStr">
        <is>
          <t>1965</t>
        </is>
      </c>
      <c r="O805" t="inlineStr">
        <is>
          <t>eng</t>
        </is>
      </c>
      <c r="P805" t="inlineStr">
        <is>
          <t>nyu</t>
        </is>
      </c>
      <c r="R805" t="inlineStr">
        <is>
          <t xml:space="preserve">ND </t>
        </is>
      </c>
      <c r="S805" t="n">
        <v>22</v>
      </c>
      <c r="T805" t="n">
        <v>22</v>
      </c>
      <c r="U805" t="inlineStr">
        <is>
          <t>2003-11-09</t>
        </is>
      </c>
      <c r="V805" t="inlineStr">
        <is>
          <t>2003-11-09</t>
        </is>
      </c>
      <c r="W805" t="inlineStr">
        <is>
          <t>1992-01-30</t>
        </is>
      </c>
      <c r="X805" t="inlineStr">
        <is>
          <t>1992-01-30</t>
        </is>
      </c>
      <c r="Y805" t="n">
        <v>279</v>
      </c>
      <c r="Z805" t="n">
        <v>271</v>
      </c>
      <c r="AA805" t="n">
        <v>348</v>
      </c>
      <c r="AB805" t="n">
        <v>4</v>
      </c>
      <c r="AC805" t="n">
        <v>6</v>
      </c>
      <c r="AD805" t="n">
        <v>10</v>
      </c>
      <c r="AE805" t="n">
        <v>12</v>
      </c>
      <c r="AF805" t="n">
        <v>1</v>
      </c>
      <c r="AG805" t="n">
        <v>1</v>
      </c>
      <c r="AH805" t="n">
        <v>2</v>
      </c>
      <c r="AI805" t="n">
        <v>2</v>
      </c>
      <c r="AJ805" t="n">
        <v>5</v>
      </c>
      <c r="AK805" t="n">
        <v>5</v>
      </c>
      <c r="AL805" t="n">
        <v>3</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HYPERLINK("https://creighton-primo.hosted.exlibrisgroup.com/primo-explore/search?tab=default_tab&amp;search_scope=EVERYTHING&amp;vid=01CRU&amp;lang=en_US&amp;offset=0&amp;query=any,contains,991002928149702656","Catalog Record")</f>
        <v/>
      </c>
      <c r="AT805">
        <f>HYPERLINK("http://www.worldcat.org/oclc/529922","WorldCat Record")</f>
        <v/>
      </c>
      <c r="AU805" t="inlineStr">
        <is>
          <t>4663611524:eng</t>
        </is>
      </c>
      <c r="AV805" t="inlineStr">
        <is>
          <t>529922</t>
        </is>
      </c>
      <c r="AW805" t="inlineStr">
        <is>
          <t>991002928149702656</t>
        </is>
      </c>
      <c r="AX805" t="inlineStr">
        <is>
          <t>991002928149702656</t>
        </is>
      </c>
      <c r="AY805" t="inlineStr">
        <is>
          <t>2260895330002656</t>
        </is>
      </c>
      <c r="AZ805" t="inlineStr">
        <is>
          <t>BOOK</t>
        </is>
      </c>
      <c r="BC805" t="inlineStr">
        <is>
          <t>32285000931112</t>
        </is>
      </c>
      <c r="BD805" t="inlineStr">
        <is>
          <t>893504988</t>
        </is>
      </c>
    </row>
    <row r="806">
      <c r="A806" t="inlineStr">
        <is>
          <t>No</t>
        </is>
      </c>
      <c r="B806" t="inlineStr">
        <is>
          <t>ND813.G7 F3413 1971b</t>
        </is>
      </c>
      <c r="C806" t="inlineStr">
        <is>
          <t>0                      ND 0813000G  7                  F  3413        1971b</t>
        </is>
      </c>
      <c r="D806" t="inlineStr">
        <is>
          <t>The life and complete work of Francisco Goya : with a catalogue raisonné of the paintings, drawings and engravings / by Pierre Gassier and Juliet Wilson, edited by Franc̦ois Lachenal, pref. by Enrique Lafuente Ferrari.</t>
        </is>
      </c>
      <c r="F806" t="inlineStr">
        <is>
          <t>No</t>
        </is>
      </c>
      <c r="G806" t="inlineStr">
        <is>
          <t>1</t>
        </is>
      </c>
      <c r="H806" t="inlineStr">
        <is>
          <t>No</t>
        </is>
      </c>
      <c r="I806" t="inlineStr">
        <is>
          <t>No</t>
        </is>
      </c>
      <c r="J806" t="inlineStr">
        <is>
          <t>0</t>
        </is>
      </c>
      <c r="K806" t="inlineStr">
        <is>
          <t>Gassier, Pierre.</t>
        </is>
      </c>
      <c r="L806" t="inlineStr">
        <is>
          <t>New York : Reynal, in association with W. Morrow, [c1971]</t>
        </is>
      </c>
      <c r="M806" t="inlineStr">
        <is>
          <t>1971</t>
        </is>
      </c>
      <c r="O806" t="inlineStr">
        <is>
          <t>eng</t>
        </is>
      </c>
      <c r="P806" t="inlineStr">
        <is>
          <t>nyu</t>
        </is>
      </c>
      <c r="R806" t="inlineStr">
        <is>
          <t xml:space="preserve">ND </t>
        </is>
      </c>
      <c r="S806" t="n">
        <v>19</v>
      </c>
      <c r="T806" t="n">
        <v>19</v>
      </c>
      <c r="U806" t="inlineStr">
        <is>
          <t>2007-03-08</t>
        </is>
      </c>
      <c r="V806" t="inlineStr">
        <is>
          <t>2007-03-08</t>
        </is>
      </c>
      <c r="W806" t="inlineStr">
        <is>
          <t>1991-12-10</t>
        </is>
      </c>
      <c r="X806" t="inlineStr">
        <is>
          <t>1991-12-10</t>
        </is>
      </c>
      <c r="Y806" t="n">
        <v>595</v>
      </c>
      <c r="Z806" t="n">
        <v>575</v>
      </c>
      <c r="AA806" t="n">
        <v>614</v>
      </c>
      <c r="AB806" t="n">
        <v>6</v>
      </c>
      <c r="AC806" t="n">
        <v>6</v>
      </c>
      <c r="AD806" t="n">
        <v>26</v>
      </c>
      <c r="AE806" t="n">
        <v>26</v>
      </c>
      <c r="AF806" t="n">
        <v>9</v>
      </c>
      <c r="AG806" t="n">
        <v>9</v>
      </c>
      <c r="AH806" t="n">
        <v>3</v>
      </c>
      <c r="AI806" t="n">
        <v>3</v>
      </c>
      <c r="AJ806" t="n">
        <v>13</v>
      </c>
      <c r="AK806" t="n">
        <v>13</v>
      </c>
      <c r="AL806" t="n">
        <v>5</v>
      </c>
      <c r="AM806" t="n">
        <v>5</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HYPERLINK("https://creighton-primo.hosted.exlibrisgroup.com/primo-explore/search?tab=default_tab&amp;search_scope=EVERYTHING&amp;vid=01CRU&amp;lang=en_US&amp;offset=0&amp;query=any,contains,991002560109702656","Catalog Record")</f>
        <v/>
      </c>
      <c r="AT806">
        <f>HYPERLINK("http://www.worldcat.org/oclc/371580","WorldCat Record")</f>
        <v/>
      </c>
      <c r="AU806" t="inlineStr">
        <is>
          <t>3856139375:eng</t>
        </is>
      </c>
      <c r="AV806" t="inlineStr">
        <is>
          <t>371580</t>
        </is>
      </c>
      <c r="AW806" t="inlineStr">
        <is>
          <t>991002560109702656</t>
        </is>
      </c>
      <c r="AX806" t="inlineStr">
        <is>
          <t>991002560109702656</t>
        </is>
      </c>
      <c r="AY806" t="inlineStr">
        <is>
          <t>2260001480002656</t>
        </is>
      </c>
      <c r="AZ806" t="inlineStr">
        <is>
          <t>BOOK</t>
        </is>
      </c>
      <c r="BC806" t="inlineStr">
        <is>
          <t>32285000849090</t>
        </is>
      </c>
      <c r="BD806" t="inlineStr">
        <is>
          <t>893262351</t>
        </is>
      </c>
    </row>
    <row r="807">
      <c r="A807" t="inlineStr">
        <is>
          <t>No</t>
        </is>
      </c>
      <c r="B807" t="inlineStr">
        <is>
          <t>ND813.G7 G7</t>
        </is>
      </c>
      <c r="C807" t="inlineStr">
        <is>
          <t>0                      ND 0813000G  7                  G  7</t>
        </is>
      </c>
      <c r="D807" t="inlineStr">
        <is>
          <t>Goya. Text by José Gudiol. [Translated by Priscilla Muller]</t>
        </is>
      </c>
      <c r="F807" t="inlineStr">
        <is>
          <t>No</t>
        </is>
      </c>
      <c r="G807" t="inlineStr">
        <is>
          <t>1</t>
        </is>
      </c>
      <c r="H807" t="inlineStr">
        <is>
          <t>No</t>
        </is>
      </c>
      <c r="I807" t="inlineStr">
        <is>
          <t>No</t>
        </is>
      </c>
      <c r="J807" t="inlineStr">
        <is>
          <t>0</t>
        </is>
      </c>
      <c r="K807" t="inlineStr">
        <is>
          <t>Goya, Francisco, 1746-1828.</t>
        </is>
      </c>
      <c r="L807" t="inlineStr">
        <is>
          <t>New York, H. N. Abrams [1965]</t>
        </is>
      </c>
      <c r="M807" t="inlineStr">
        <is>
          <t>1965</t>
        </is>
      </c>
      <c r="O807" t="inlineStr">
        <is>
          <t>eng</t>
        </is>
      </c>
      <c r="P807" t="inlineStr">
        <is>
          <t>nyu</t>
        </is>
      </c>
      <c r="Q807" t="inlineStr">
        <is>
          <t>The Library of great painters</t>
        </is>
      </c>
      <c r="R807" t="inlineStr">
        <is>
          <t xml:space="preserve">ND </t>
        </is>
      </c>
      <c r="S807" t="n">
        <v>15</v>
      </c>
      <c r="T807" t="n">
        <v>15</v>
      </c>
      <c r="U807" t="inlineStr">
        <is>
          <t>2003-11-23</t>
        </is>
      </c>
      <c r="V807" t="inlineStr">
        <is>
          <t>2003-11-23</t>
        </is>
      </c>
      <c r="W807" t="inlineStr">
        <is>
          <t>1991-12-10</t>
        </is>
      </c>
      <c r="X807" t="inlineStr">
        <is>
          <t>1991-12-10</t>
        </is>
      </c>
      <c r="Y807" t="n">
        <v>1163</v>
      </c>
      <c r="Z807" t="n">
        <v>1052</v>
      </c>
      <c r="AA807" t="n">
        <v>1055</v>
      </c>
      <c r="AB807" t="n">
        <v>6</v>
      </c>
      <c r="AC807" t="n">
        <v>6</v>
      </c>
      <c r="AD807" t="n">
        <v>32</v>
      </c>
      <c r="AE807" t="n">
        <v>32</v>
      </c>
      <c r="AF807" t="n">
        <v>16</v>
      </c>
      <c r="AG807" t="n">
        <v>16</v>
      </c>
      <c r="AH807" t="n">
        <v>7</v>
      </c>
      <c r="AI807" t="n">
        <v>7</v>
      </c>
      <c r="AJ807" t="n">
        <v>14</v>
      </c>
      <c r="AK807" t="n">
        <v>14</v>
      </c>
      <c r="AL807" t="n">
        <v>2</v>
      </c>
      <c r="AM807" t="n">
        <v>2</v>
      </c>
      <c r="AN807" t="n">
        <v>0</v>
      </c>
      <c r="AO807" t="n">
        <v>0</v>
      </c>
      <c r="AP807" t="inlineStr">
        <is>
          <t>No</t>
        </is>
      </c>
      <c r="AQ807" t="inlineStr">
        <is>
          <t>Yes</t>
        </is>
      </c>
      <c r="AR807">
        <f>HYPERLINK("http://catalog.hathitrust.org/Record/000569848","HathiTrust Record")</f>
        <v/>
      </c>
      <c r="AS807">
        <f>HYPERLINK("https://creighton-primo.hosted.exlibrisgroup.com/primo-explore/search?tab=default_tab&amp;search_scope=EVERYTHING&amp;vid=01CRU&amp;lang=en_US&amp;offset=0&amp;query=any,contains,991002903819702656","Catalog Record")</f>
        <v/>
      </c>
      <c r="AT807">
        <f>HYPERLINK("http://www.worldcat.org/oclc/518511","WorldCat Record")</f>
        <v/>
      </c>
      <c r="AU807" t="inlineStr">
        <is>
          <t>4915884795:eng</t>
        </is>
      </c>
      <c r="AV807" t="inlineStr">
        <is>
          <t>518511</t>
        </is>
      </c>
      <c r="AW807" t="inlineStr">
        <is>
          <t>991002903819702656</t>
        </is>
      </c>
      <c r="AX807" t="inlineStr">
        <is>
          <t>991002903819702656</t>
        </is>
      </c>
      <c r="AY807" t="inlineStr">
        <is>
          <t>2255798210002656</t>
        </is>
      </c>
      <c r="AZ807" t="inlineStr">
        <is>
          <t>BOOK</t>
        </is>
      </c>
      <c r="BB807" t="inlineStr">
        <is>
          <t>9780810901490</t>
        </is>
      </c>
      <c r="BC807" t="inlineStr">
        <is>
          <t>32285000838895</t>
        </is>
      </c>
      <c r="BD807" t="inlineStr">
        <is>
          <t>893227416</t>
        </is>
      </c>
    </row>
    <row r="808">
      <c r="A808" t="inlineStr">
        <is>
          <t>No</t>
        </is>
      </c>
      <c r="B808" t="inlineStr">
        <is>
          <t>ND813.G7 L562 1973</t>
        </is>
      </c>
      <c r="C808" t="inlineStr">
        <is>
          <t>0                      ND 0813000G  7                  L  562         1973</t>
        </is>
      </c>
      <c r="D808" t="inlineStr">
        <is>
          <t>Goya in perspective.</t>
        </is>
      </c>
      <c r="F808" t="inlineStr">
        <is>
          <t>No</t>
        </is>
      </c>
      <c r="G808" t="inlineStr">
        <is>
          <t>1</t>
        </is>
      </c>
      <c r="H808" t="inlineStr">
        <is>
          <t>No</t>
        </is>
      </c>
      <c r="I808" t="inlineStr">
        <is>
          <t>No</t>
        </is>
      </c>
      <c r="J808" t="inlineStr">
        <is>
          <t>0</t>
        </is>
      </c>
      <c r="K808" t="inlineStr">
        <is>
          <t>Licht, Fred, 1928- compiler.</t>
        </is>
      </c>
      <c r="L808" t="inlineStr">
        <is>
          <t>Englewood Cliffs, N.J. : Prentice-Hall, [1973]</t>
        </is>
      </c>
      <c r="M808" t="inlineStr">
        <is>
          <t>1973</t>
        </is>
      </c>
      <c r="O808" t="inlineStr">
        <is>
          <t>eng</t>
        </is>
      </c>
      <c r="P808" t="inlineStr">
        <is>
          <t>nju</t>
        </is>
      </c>
      <c r="Q808" t="inlineStr">
        <is>
          <t>A Spectrum book</t>
        </is>
      </c>
      <c r="R808" t="inlineStr">
        <is>
          <t xml:space="preserve">ND </t>
        </is>
      </c>
      <c r="S808" t="n">
        <v>18</v>
      </c>
      <c r="T808" t="n">
        <v>18</v>
      </c>
      <c r="U808" t="inlineStr">
        <is>
          <t>2003-11-09</t>
        </is>
      </c>
      <c r="V808" t="inlineStr">
        <is>
          <t>2003-11-09</t>
        </is>
      </c>
      <c r="W808" t="inlineStr">
        <is>
          <t>1991-12-13</t>
        </is>
      </c>
      <c r="X808" t="inlineStr">
        <is>
          <t>1991-12-13</t>
        </is>
      </c>
      <c r="Y808" t="n">
        <v>786</v>
      </c>
      <c r="Z808" t="n">
        <v>682</v>
      </c>
      <c r="AA808" t="n">
        <v>687</v>
      </c>
      <c r="AB808" t="n">
        <v>5</v>
      </c>
      <c r="AC808" t="n">
        <v>5</v>
      </c>
      <c r="AD808" t="n">
        <v>29</v>
      </c>
      <c r="AE808" t="n">
        <v>29</v>
      </c>
      <c r="AF808" t="n">
        <v>11</v>
      </c>
      <c r="AG808" t="n">
        <v>11</v>
      </c>
      <c r="AH808" t="n">
        <v>6</v>
      </c>
      <c r="AI808" t="n">
        <v>6</v>
      </c>
      <c r="AJ808" t="n">
        <v>16</v>
      </c>
      <c r="AK808" t="n">
        <v>16</v>
      </c>
      <c r="AL808" t="n">
        <v>3</v>
      </c>
      <c r="AM808" t="n">
        <v>3</v>
      </c>
      <c r="AN808" t="n">
        <v>0</v>
      </c>
      <c r="AO808" t="n">
        <v>0</v>
      </c>
      <c r="AP808" t="inlineStr">
        <is>
          <t>No</t>
        </is>
      </c>
      <c r="AQ808" t="inlineStr">
        <is>
          <t>Yes</t>
        </is>
      </c>
      <c r="AR808">
        <f>HYPERLINK("http://catalog.hathitrust.org/Record/000008584","HathiTrust Record")</f>
        <v/>
      </c>
      <c r="AS808">
        <f>HYPERLINK("https://creighton-primo.hosted.exlibrisgroup.com/primo-explore/search?tab=default_tab&amp;search_scope=EVERYTHING&amp;vid=01CRU&amp;lang=en_US&amp;offset=0&amp;query=any,contains,991003066819702656","Catalog Record")</f>
        <v/>
      </c>
      <c r="AT808">
        <f>HYPERLINK("http://www.worldcat.org/oclc/622672","WorldCat Record")</f>
        <v/>
      </c>
      <c r="AU808" t="inlineStr">
        <is>
          <t>147871514:eng</t>
        </is>
      </c>
      <c r="AV808" t="inlineStr">
        <is>
          <t>622672</t>
        </is>
      </c>
      <c r="AW808" t="inlineStr">
        <is>
          <t>991003066819702656</t>
        </is>
      </c>
      <c r="AX808" t="inlineStr">
        <is>
          <t>991003066819702656</t>
        </is>
      </c>
      <c r="AY808" t="inlineStr">
        <is>
          <t>2257225420002656</t>
        </is>
      </c>
      <c r="AZ808" t="inlineStr">
        <is>
          <t>BOOK</t>
        </is>
      </c>
      <c r="BB808" t="inlineStr">
        <is>
          <t>9780133619645</t>
        </is>
      </c>
      <c r="BC808" t="inlineStr">
        <is>
          <t>32285000876309</t>
        </is>
      </c>
      <c r="BD808" t="inlineStr">
        <is>
          <t>893227641</t>
        </is>
      </c>
    </row>
    <row r="809">
      <c r="A809" t="inlineStr">
        <is>
          <t>No</t>
        </is>
      </c>
      <c r="B809" t="inlineStr">
        <is>
          <t>ND813.G7 M92</t>
        </is>
      </c>
      <c r="C809" t="inlineStr">
        <is>
          <t>0                      ND 0813000G  7                  M  92</t>
        </is>
      </c>
      <c r="D809" t="inlineStr">
        <is>
          <t>Goya / [by] Bernard L. Myers.</t>
        </is>
      </c>
      <c r="F809" t="inlineStr">
        <is>
          <t>No</t>
        </is>
      </c>
      <c r="G809" t="inlineStr">
        <is>
          <t>1</t>
        </is>
      </c>
      <c r="H809" t="inlineStr">
        <is>
          <t>No</t>
        </is>
      </c>
      <c r="I809" t="inlineStr">
        <is>
          <t>No</t>
        </is>
      </c>
      <c r="J809" t="inlineStr">
        <is>
          <t>0</t>
        </is>
      </c>
      <c r="K809" t="inlineStr">
        <is>
          <t>Myers, Bernard L.</t>
        </is>
      </c>
      <c r="L809" t="inlineStr">
        <is>
          <t>[Feltham, Eng.] : P. Hamlyn, [c1968]</t>
        </is>
      </c>
      <c r="M809" t="inlineStr">
        <is>
          <t>1968</t>
        </is>
      </c>
      <c r="O809" t="inlineStr">
        <is>
          <t>eng</t>
        </is>
      </c>
      <c r="P809" t="inlineStr">
        <is>
          <t>enk</t>
        </is>
      </c>
      <c r="Q809" t="inlineStr">
        <is>
          <t>The Colour library of art</t>
        </is>
      </c>
      <c r="R809" t="inlineStr">
        <is>
          <t xml:space="preserve">ND </t>
        </is>
      </c>
      <c r="S809" t="n">
        <v>10</v>
      </c>
      <c r="T809" t="n">
        <v>10</v>
      </c>
      <c r="U809" t="inlineStr">
        <is>
          <t>2003-11-09</t>
        </is>
      </c>
      <c r="V809" t="inlineStr">
        <is>
          <t>2003-11-09</t>
        </is>
      </c>
      <c r="W809" t="inlineStr">
        <is>
          <t>1992-02-26</t>
        </is>
      </c>
      <c r="X809" t="inlineStr">
        <is>
          <t>1992-02-26</t>
        </is>
      </c>
      <c r="Y809" t="n">
        <v>449</v>
      </c>
      <c r="Z809" t="n">
        <v>386</v>
      </c>
      <c r="AA809" t="n">
        <v>432</v>
      </c>
      <c r="AB809" t="n">
        <v>4</v>
      </c>
      <c r="AC809" t="n">
        <v>5</v>
      </c>
      <c r="AD809" t="n">
        <v>9</v>
      </c>
      <c r="AE809" t="n">
        <v>9</v>
      </c>
      <c r="AF809" t="n">
        <v>4</v>
      </c>
      <c r="AG809" t="n">
        <v>4</v>
      </c>
      <c r="AH809" t="n">
        <v>3</v>
      </c>
      <c r="AI809" t="n">
        <v>3</v>
      </c>
      <c r="AJ809" t="n">
        <v>4</v>
      </c>
      <c r="AK809" t="n">
        <v>4</v>
      </c>
      <c r="AL809" t="n">
        <v>2</v>
      </c>
      <c r="AM809" t="n">
        <v>2</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HYPERLINK("https://creighton-primo.hosted.exlibrisgroup.com/primo-explore/search?tab=default_tab&amp;search_scope=EVERYTHING&amp;vid=01CRU&amp;lang=en_US&amp;offset=0&amp;query=any,contains,991000572219702656","Catalog Record")</f>
        <v/>
      </c>
      <c r="AT809">
        <f>HYPERLINK("http://www.worldcat.org/oclc/94858","WorldCat Record")</f>
        <v/>
      </c>
      <c r="AU809" t="inlineStr">
        <is>
          <t>4915491114:eng</t>
        </is>
      </c>
      <c r="AV809" t="inlineStr">
        <is>
          <t>94858</t>
        </is>
      </c>
      <c r="AW809" t="inlineStr">
        <is>
          <t>991000572219702656</t>
        </is>
      </c>
      <c r="AX809" t="inlineStr">
        <is>
          <t>991000572219702656</t>
        </is>
      </c>
      <c r="AY809" t="inlineStr">
        <is>
          <t>2265990100002656</t>
        </is>
      </c>
      <c r="AZ809" t="inlineStr">
        <is>
          <t>BOOK</t>
        </is>
      </c>
      <c r="BC809" t="inlineStr">
        <is>
          <t>32285000975754</t>
        </is>
      </c>
      <c r="BD809" t="inlineStr">
        <is>
          <t>893237425</t>
        </is>
      </c>
    </row>
    <row r="810">
      <c r="A810" t="inlineStr">
        <is>
          <t>No</t>
        </is>
      </c>
      <c r="B810" t="inlineStr">
        <is>
          <t>ND813.G7 S35</t>
        </is>
      </c>
      <c r="C810" t="inlineStr">
        <is>
          <t>0                      ND 0813000G  7                  S  35</t>
        </is>
      </c>
      <c r="D810" t="inlineStr">
        <is>
          <t>The world of Goya, 1746-1828, by Richard Schickel and the editors of Time-Life Books.</t>
        </is>
      </c>
      <c r="F810" t="inlineStr">
        <is>
          <t>No</t>
        </is>
      </c>
      <c r="G810" t="inlineStr">
        <is>
          <t>1</t>
        </is>
      </c>
      <c r="H810" t="inlineStr">
        <is>
          <t>No</t>
        </is>
      </c>
      <c r="I810" t="inlineStr">
        <is>
          <t>No</t>
        </is>
      </c>
      <c r="J810" t="inlineStr">
        <is>
          <t>0</t>
        </is>
      </c>
      <c r="K810" t="inlineStr">
        <is>
          <t>Schickel, Richard.</t>
        </is>
      </c>
      <c r="L810" t="inlineStr">
        <is>
          <t>New York, Time-Life Books [1968]</t>
        </is>
      </c>
      <c r="M810" t="inlineStr">
        <is>
          <t>1968</t>
        </is>
      </c>
      <c r="O810" t="inlineStr">
        <is>
          <t>eng</t>
        </is>
      </c>
      <c r="P810" t="inlineStr">
        <is>
          <t>nyu</t>
        </is>
      </c>
      <c r="Q810" t="inlineStr">
        <is>
          <t>Time-Life library of art</t>
        </is>
      </c>
      <c r="R810" t="inlineStr">
        <is>
          <t xml:space="preserve">ND </t>
        </is>
      </c>
      <c r="S810" t="n">
        <v>11</v>
      </c>
      <c r="T810" t="n">
        <v>11</v>
      </c>
      <c r="U810" t="inlineStr">
        <is>
          <t>2003-11-09</t>
        </is>
      </c>
      <c r="V810" t="inlineStr">
        <is>
          <t>2003-11-09</t>
        </is>
      </c>
      <c r="W810" t="inlineStr">
        <is>
          <t>1991-12-10</t>
        </is>
      </c>
      <c r="X810" t="inlineStr">
        <is>
          <t>1991-12-10</t>
        </is>
      </c>
      <c r="Y810" t="n">
        <v>2752</v>
      </c>
      <c r="Z810" t="n">
        <v>2576</v>
      </c>
      <c r="AA810" t="n">
        <v>2687</v>
      </c>
      <c r="AB810" t="n">
        <v>20</v>
      </c>
      <c r="AC810" t="n">
        <v>21</v>
      </c>
      <c r="AD810" t="n">
        <v>41</v>
      </c>
      <c r="AE810" t="n">
        <v>42</v>
      </c>
      <c r="AF810" t="n">
        <v>16</v>
      </c>
      <c r="AG810" t="n">
        <v>17</v>
      </c>
      <c r="AH810" t="n">
        <v>7</v>
      </c>
      <c r="AI810" t="n">
        <v>7</v>
      </c>
      <c r="AJ810" t="n">
        <v>21</v>
      </c>
      <c r="AK810" t="n">
        <v>21</v>
      </c>
      <c r="AL810" t="n">
        <v>7</v>
      </c>
      <c r="AM810" t="n">
        <v>7</v>
      </c>
      <c r="AN810" t="n">
        <v>0</v>
      </c>
      <c r="AO810" t="n">
        <v>0</v>
      </c>
      <c r="AP810" t="inlineStr">
        <is>
          <t>No</t>
        </is>
      </c>
      <c r="AQ810" t="inlineStr">
        <is>
          <t>Yes</t>
        </is>
      </c>
      <c r="AR810">
        <f>HYPERLINK("http://catalog.hathitrust.org/Record/000613737","HathiTrust Record")</f>
        <v/>
      </c>
      <c r="AS810">
        <f>HYPERLINK("https://creighton-primo.hosted.exlibrisgroup.com/primo-explore/search?tab=default_tab&amp;search_scope=EVERYTHING&amp;vid=01CRU&amp;lang=en_US&amp;offset=0&amp;query=any,contains,991002809489702656","Catalog Record")</f>
        <v/>
      </c>
      <c r="AT810">
        <f>HYPERLINK("http://www.worldcat.org/oclc/451894","WorldCat Record")</f>
        <v/>
      </c>
      <c r="AU810" t="inlineStr">
        <is>
          <t>3943324259:eng</t>
        </is>
      </c>
      <c r="AV810" t="inlineStr">
        <is>
          <t>451894</t>
        </is>
      </c>
      <c r="AW810" t="inlineStr">
        <is>
          <t>991002809489702656</t>
        </is>
      </c>
      <c r="AX810" t="inlineStr">
        <is>
          <t>991002809489702656</t>
        </is>
      </c>
      <c r="AY810" t="inlineStr">
        <is>
          <t>2260956360002656</t>
        </is>
      </c>
      <c r="AZ810" t="inlineStr">
        <is>
          <t>BOOK</t>
        </is>
      </c>
      <c r="BC810" t="inlineStr">
        <is>
          <t>32285000838887</t>
        </is>
      </c>
      <c r="BD810" t="inlineStr">
        <is>
          <t>893591811</t>
        </is>
      </c>
    </row>
    <row r="811">
      <c r="A811" t="inlineStr">
        <is>
          <t>No</t>
        </is>
      </c>
      <c r="B811" t="inlineStr">
        <is>
          <t>ND813.G7 V4 1993</t>
        </is>
      </c>
      <c r="C811" t="inlineStr">
        <is>
          <t>0                      ND 0813000G  7                  V  4           1993</t>
        </is>
      </c>
      <c r="D811" t="inlineStr">
        <is>
          <t>Francisco Goya / written and illustrated by Mike Venezia.</t>
        </is>
      </c>
      <c r="F811" t="inlineStr">
        <is>
          <t>No</t>
        </is>
      </c>
      <c r="G811" t="inlineStr">
        <is>
          <t>1</t>
        </is>
      </c>
      <c r="H811" t="inlineStr">
        <is>
          <t>No</t>
        </is>
      </c>
      <c r="I811" t="inlineStr">
        <is>
          <t>No</t>
        </is>
      </c>
      <c r="J811" t="inlineStr">
        <is>
          <t>0</t>
        </is>
      </c>
      <c r="K811" t="inlineStr">
        <is>
          <t>Venezia, Mike.</t>
        </is>
      </c>
      <c r="L811" t="inlineStr">
        <is>
          <t>Chicago : Childrens Press, c1993.</t>
        </is>
      </c>
      <c r="M811" t="inlineStr">
        <is>
          <t>1993</t>
        </is>
      </c>
      <c r="O811" t="inlineStr">
        <is>
          <t>eng</t>
        </is>
      </c>
      <c r="P811" t="inlineStr">
        <is>
          <t>ilu</t>
        </is>
      </c>
      <c r="Q811" t="inlineStr">
        <is>
          <t>Getting to know the world's greatest artists</t>
        </is>
      </c>
      <c r="R811" t="inlineStr">
        <is>
          <t xml:space="preserve">ND </t>
        </is>
      </c>
      <c r="S811" t="n">
        <v>9</v>
      </c>
      <c r="T811" t="n">
        <v>9</v>
      </c>
      <c r="U811" t="inlineStr">
        <is>
          <t>2003-11-25</t>
        </is>
      </c>
      <c r="V811" t="inlineStr">
        <is>
          <t>2003-11-25</t>
        </is>
      </c>
      <c r="W811" t="inlineStr">
        <is>
          <t>1995-10-19</t>
        </is>
      </c>
      <c r="X811" t="inlineStr">
        <is>
          <t>1995-10-19</t>
        </is>
      </c>
      <c r="Y811" t="n">
        <v>268</v>
      </c>
      <c r="Z811" t="n">
        <v>254</v>
      </c>
      <c r="AA811" t="n">
        <v>901</v>
      </c>
      <c r="AB811" t="n">
        <v>4</v>
      </c>
      <c r="AC811" t="n">
        <v>8</v>
      </c>
      <c r="AD811" t="n">
        <v>2</v>
      </c>
      <c r="AE811" t="n">
        <v>3</v>
      </c>
      <c r="AF811" t="n">
        <v>1</v>
      </c>
      <c r="AG811" t="n">
        <v>2</v>
      </c>
      <c r="AH811" t="n">
        <v>0</v>
      </c>
      <c r="AI811" t="n">
        <v>0</v>
      </c>
      <c r="AJ811" t="n">
        <v>1</v>
      </c>
      <c r="AK811" t="n">
        <v>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HYPERLINK("https://creighton-primo.hosted.exlibrisgroup.com/primo-explore/search?tab=default_tab&amp;search_scope=EVERYTHING&amp;vid=01CRU&amp;lang=en_US&amp;offset=0&amp;query=any,contains,991004576079702656","Catalog Record")</f>
        <v/>
      </c>
      <c r="AT811">
        <f>HYPERLINK("http://www.worldcat.org/oclc/30352083","WorldCat Record")</f>
        <v/>
      </c>
      <c r="AU811" t="inlineStr">
        <is>
          <t>2622620987:eng</t>
        </is>
      </c>
      <c r="AV811" t="inlineStr">
        <is>
          <t>30352083</t>
        </is>
      </c>
      <c r="AW811" t="inlineStr">
        <is>
          <t>991004576079702656</t>
        </is>
      </c>
      <c r="AX811" t="inlineStr">
        <is>
          <t>991004576079702656</t>
        </is>
      </c>
      <c r="AY811" t="inlineStr">
        <is>
          <t>2258610920002656</t>
        </is>
      </c>
      <c r="AZ811" t="inlineStr">
        <is>
          <t>BOOK</t>
        </is>
      </c>
      <c r="BB811" t="inlineStr">
        <is>
          <t>9780516022925</t>
        </is>
      </c>
      <c r="BC811" t="inlineStr">
        <is>
          <t>32285002096476</t>
        </is>
      </c>
      <c r="BD811" t="inlineStr">
        <is>
          <t>893585489</t>
        </is>
      </c>
    </row>
    <row r="812">
      <c r="A812" t="inlineStr">
        <is>
          <t>No</t>
        </is>
      </c>
      <c r="B812" t="inlineStr">
        <is>
          <t>ND813.G735 B73 2004</t>
        </is>
      </c>
      <c r="C812" t="inlineStr">
        <is>
          <t>0                      ND 0813000G  735                B  73          2004</t>
        </is>
      </c>
      <c r="D812" t="inlineStr">
        <is>
          <t>El Greco / Xavier Bray ; chronology by Lois Oliver.</t>
        </is>
      </c>
      <c r="F812" t="inlineStr">
        <is>
          <t>No</t>
        </is>
      </c>
      <c r="G812" t="inlineStr">
        <is>
          <t>1</t>
        </is>
      </c>
      <c r="H812" t="inlineStr">
        <is>
          <t>No</t>
        </is>
      </c>
      <c r="I812" t="inlineStr">
        <is>
          <t>No</t>
        </is>
      </c>
      <c r="J812" t="inlineStr">
        <is>
          <t>0</t>
        </is>
      </c>
      <c r="K812" t="inlineStr">
        <is>
          <t>Bray, Xavier.</t>
        </is>
      </c>
      <c r="L812" t="inlineStr">
        <is>
          <t>New Haven, Conn. : Yale University Press, 2004.</t>
        </is>
      </c>
      <c r="M812" t="inlineStr">
        <is>
          <t>2004</t>
        </is>
      </c>
      <c r="O812" t="inlineStr">
        <is>
          <t>eng</t>
        </is>
      </c>
      <c r="P812" t="inlineStr">
        <is>
          <t>ctu</t>
        </is>
      </c>
      <c r="R812" t="inlineStr">
        <is>
          <t xml:space="preserve">ND </t>
        </is>
      </c>
      <c r="S812" t="n">
        <v>1</v>
      </c>
      <c r="T812" t="n">
        <v>1</v>
      </c>
      <c r="U812" t="inlineStr">
        <is>
          <t>2004-10-28</t>
        </is>
      </c>
      <c r="V812" t="inlineStr">
        <is>
          <t>2004-10-28</t>
        </is>
      </c>
      <c r="W812" t="inlineStr">
        <is>
          <t>2004-10-28</t>
        </is>
      </c>
      <c r="X812" t="inlineStr">
        <is>
          <t>2004-10-28</t>
        </is>
      </c>
      <c r="Y812" t="n">
        <v>388</v>
      </c>
      <c r="Z812" t="n">
        <v>363</v>
      </c>
      <c r="AA812" t="n">
        <v>365</v>
      </c>
      <c r="AB812" t="n">
        <v>2</v>
      </c>
      <c r="AC812" t="n">
        <v>2</v>
      </c>
      <c r="AD812" t="n">
        <v>13</v>
      </c>
      <c r="AE812" t="n">
        <v>13</v>
      </c>
      <c r="AF812" t="n">
        <v>7</v>
      </c>
      <c r="AG812" t="n">
        <v>7</v>
      </c>
      <c r="AH812" t="n">
        <v>3</v>
      </c>
      <c r="AI812" t="n">
        <v>3</v>
      </c>
      <c r="AJ812" t="n">
        <v>8</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HYPERLINK("https://creighton-primo.hosted.exlibrisgroup.com/primo-explore/search?tab=default_tab&amp;search_scope=EVERYTHING&amp;vid=01CRU&amp;lang=en_US&amp;offset=0&amp;query=any,contains,991004387049702656","Catalog Record")</f>
        <v/>
      </c>
      <c r="AT812">
        <f>HYPERLINK("http://www.worldcat.org/oclc/53019629","WorldCat Record")</f>
        <v/>
      </c>
      <c r="AU812" t="inlineStr">
        <is>
          <t>5091334234:eng</t>
        </is>
      </c>
      <c r="AV812" t="inlineStr">
        <is>
          <t>53019629</t>
        </is>
      </c>
      <c r="AW812" t="inlineStr">
        <is>
          <t>991004387049702656</t>
        </is>
      </c>
      <c r="AX812" t="inlineStr">
        <is>
          <t>991004387049702656</t>
        </is>
      </c>
      <c r="AY812" t="inlineStr">
        <is>
          <t>2267692380002656</t>
        </is>
      </c>
      <c r="AZ812" t="inlineStr">
        <is>
          <t>BOOK</t>
        </is>
      </c>
      <c r="BB812" t="inlineStr">
        <is>
          <t>9781857093155</t>
        </is>
      </c>
      <c r="BC812" t="inlineStr">
        <is>
          <t>32285005007017</t>
        </is>
      </c>
      <c r="BD812" t="inlineStr">
        <is>
          <t>893599784</t>
        </is>
      </c>
    </row>
    <row r="813">
      <c r="A813" t="inlineStr">
        <is>
          <t>No</t>
        </is>
      </c>
      <c r="B813" t="inlineStr">
        <is>
          <t>ND813.M5 P4 1970b</t>
        </is>
      </c>
      <c r="C813" t="inlineStr">
        <is>
          <t>0                      ND 0813000M  5                  P  4           1970b</t>
        </is>
      </c>
      <c r="D813" t="inlineStr">
        <is>
          <t>Miró [by] Roland Penrose.</t>
        </is>
      </c>
      <c r="F813" t="inlineStr">
        <is>
          <t>No</t>
        </is>
      </c>
      <c r="G813" t="inlineStr">
        <is>
          <t>1</t>
        </is>
      </c>
      <c r="H813" t="inlineStr">
        <is>
          <t>No</t>
        </is>
      </c>
      <c r="I813" t="inlineStr">
        <is>
          <t>No</t>
        </is>
      </c>
      <c r="J813" t="inlineStr">
        <is>
          <t>0</t>
        </is>
      </c>
      <c r="K813" t="inlineStr">
        <is>
          <t>Penrose, Roland, Sir</t>
        </is>
      </c>
      <c r="L813" t="inlineStr">
        <is>
          <t>New York, H. N. Abrams [1970?]</t>
        </is>
      </c>
      <c r="M813" t="inlineStr">
        <is>
          <t>1970</t>
        </is>
      </c>
      <c r="O813" t="inlineStr">
        <is>
          <t>eng</t>
        </is>
      </c>
      <c r="P813" t="inlineStr">
        <is>
          <t>nyu</t>
        </is>
      </c>
      <c r="R813" t="inlineStr">
        <is>
          <t xml:space="preserve">ND </t>
        </is>
      </c>
      <c r="S813" t="n">
        <v>4</v>
      </c>
      <c r="T813" t="n">
        <v>4</v>
      </c>
      <c r="U813" t="inlineStr">
        <is>
          <t>2000-03-31</t>
        </is>
      </c>
      <c r="V813" t="inlineStr">
        <is>
          <t>2000-03-31</t>
        </is>
      </c>
      <c r="W813" t="inlineStr">
        <is>
          <t>1997-08-05</t>
        </is>
      </c>
      <c r="X813" t="inlineStr">
        <is>
          <t>1997-08-05</t>
        </is>
      </c>
      <c r="Y813" t="n">
        <v>439</v>
      </c>
      <c r="Z813" t="n">
        <v>393</v>
      </c>
      <c r="AA813" t="n">
        <v>728</v>
      </c>
      <c r="AB813" t="n">
        <v>4</v>
      </c>
      <c r="AC813" t="n">
        <v>6</v>
      </c>
      <c r="AD813" t="n">
        <v>8</v>
      </c>
      <c r="AE813" t="n">
        <v>21</v>
      </c>
      <c r="AF813" t="n">
        <v>3</v>
      </c>
      <c r="AG813" t="n">
        <v>6</v>
      </c>
      <c r="AH813" t="n">
        <v>0</v>
      </c>
      <c r="AI813" t="n">
        <v>4</v>
      </c>
      <c r="AJ813" t="n">
        <v>3</v>
      </c>
      <c r="AK813" t="n">
        <v>10</v>
      </c>
      <c r="AL813" t="n">
        <v>2</v>
      </c>
      <c r="AM813" t="n">
        <v>4</v>
      </c>
      <c r="AN813" t="n">
        <v>0</v>
      </c>
      <c r="AO813" t="n">
        <v>0</v>
      </c>
      <c r="AP813" t="inlineStr">
        <is>
          <t>No</t>
        </is>
      </c>
      <c r="AQ813" t="inlineStr">
        <is>
          <t>Yes</t>
        </is>
      </c>
      <c r="AR813">
        <f>HYPERLINK("http://catalog.hathitrust.org/Record/000613875","HathiTrust Record")</f>
        <v/>
      </c>
      <c r="AS813">
        <f>HYPERLINK("https://creighton-primo.hosted.exlibrisgroup.com/primo-explore/search?tab=default_tab&amp;search_scope=EVERYTHING&amp;vid=01CRU&amp;lang=en_US&amp;offset=0&amp;query=any,contains,991000939569702656","Catalog Record")</f>
        <v/>
      </c>
      <c r="AT813">
        <f>HYPERLINK("http://www.worldcat.org/oclc/165820","WorldCat Record")</f>
        <v/>
      </c>
      <c r="AU813" t="inlineStr">
        <is>
          <t>4915758906:eng</t>
        </is>
      </c>
      <c r="AV813" t="inlineStr">
        <is>
          <t>165820</t>
        </is>
      </c>
      <c r="AW813" t="inlineStr">
        <is>
          <t>991000939569702656</t>
        </is>
      </c>
      <c r="AX813" t="inlineStr">
        <is>
          <t>991000939569702656</t>
        </is>
      </c>
      <c r="AY813" t="inlineStr">
        <is>
          <t>2271459240002656</t>
        </is>
      </c>
      <c r="AZ813" t="inlineStr">
        <is>
          <t>BOOK</t>
        </is>
      </c>
      <c r="BB813" t="inlineStr">
        <is>
          <t>9780810903043</t>
        </is>
      </c>
      <c r="BC813" t="inlineStr">
        <is>
          <t>32285002969383</t>
        </is>
      </c>
      <c r="BD813" t="inlineStr">
        <is>
          <t>893522149</t>
        </is>
      </c>
    </row>
    <row r="814">
      <c r="A814" t="inlineStr">
        <is>
          <t>No</t>
        </is>
      </c>
      <c r="B814" t="inlineStr">
        <is>
          <t>ND813.S7 P43 1989</t>
        </is>
      </c>
      <c r="C814" t="inlineStr">
        <is>
          <t>0                      ND 0813000S  7                  P  43          1989</t>
        </is>
      </c>
      <c r="D814" t="inlineStr">
        <is>
          <t>The painter Joaquín Sorolla y Bastida / Edmund Peel ; with essays by Francisco Pons Sorolla, Carmen Gracia, Priscilla Muller.</t>
        </is>
      </c>
      <c r="F814" t="inlineStr">
        <is>
          <t>No</t>
        </is>
      </c>
      <c r="G814" t="inlineStr">
        <is>
          <t>1</t>
        </is>
      </c>
      <c r="H814" t="inlineStr">
        <is>
          <t>No</t>
        </is>
      </c>
      <c r="I814" t="inlineStr">
        <is>
          <t>No</t>
        </is>
      </c>
      <c r="J814" t="inlineStr">
        <is>
          <t>0</t>
        </is>
      </c>
      <c r="K814" t="inlineStr">
        <is>
          <t>Peel, Edmund.</t>
        </is>
      </c>
      <c r="L814" t="inlineStr">
        <is>
          <t>London : Sotheby's Publications in association with San Diego Museum of Art and IVAM Centre Julio González ; New York, N.Y. : Harper &amp; Row [distributor], 1989.</t>
        </is>
      </c>
      <c r="M814" t="inlineStr">
        <is>
          <t>1989</t>
        </is>
      </c>
      <c r="O814" t="inlineStr">
        <is>
          <t>eng</t>
        </is>
      </c>
      <c r="P814" t="inlineStr">
        <is>
          <t>enk</t>
        </is>
      </c>
      <c r="R814" t="inlineStr">
        <is>
          <t xml:space="preserve">ND </t>
        </is>
      </c>
      <c r="S814" t="n">
        <v>8</v>
      </c>
      <c r="T814" t="n">
        <v>8</v>
      </c>
      <c r="U814" t="inlineStr">
        <is>
          <t>2002-11-23</t>
        </is>
      </c>
      <c r="V814" t="inlineStr">
        <is>
          <t>2002-11-23</t>
        </is>
      </c>
      <c r="W814" t="inlineStr">
        <is>
          <t>1991-10-24</t>
        </is>
      </c>
      <c r="X814" t="inlineStr">
        <is>
          <t>1991-10-24</t>
        </is>
      </c>
      <c r="Y814" t="n">
        <v>266</v>
      </c>
      <c r="Z814" t="n">
        <v>208</v>
      </c>
      <c r="AA814" t="n">
        <v>292</v>
      </c>
      <c r="AB814" t="n">
        <v>2</v>
      </c>
      <c r="AC814" t="n">
        <v>2</v>
      </c>
      <c r="AD814" t="n">
        <v>6</v>
      </c>
      <c r="AE814" t="n">
        <v>10</v>
      </c>
      <c r="AF814" t="n">
        <v>3</v>
      </c>
      <c r="AG814" t="n">
        <v>6</v>
      </c>
      <c r="AH814" t="n">
        <v>1</v>
      </c>
      <c r="AI814" t="n">
        <v>2</v>
      </c>
      <c r="AJ814" t="n">
        <v>4</v>
      </c>
      <c r="AK814" t="n">
        <v>6</v>
      </c>
      <c r="AL814" t="n">
        <v>1</v>
      </c>
      <c r="AM814" t="n">
        <v>1</v>
      </c>
      <c r="AN814" t="n">
        <v>0</v>
      </c>
      <c r="AO814" t="n">
        <v>0</v>
      </c>
      <c r="AP814" t="inlineStr">
        <is>
          <t>No</t>
        </is>
      </c>
      <c r="AQ814" t="inlineStr">
        <is>
          <t>Yes</t>
        </is>
      </c>
      <c r="AR814">
        <f>HYPERLINK("http://catalog.hathitrust.org/Record/008543014","HathiTrust Record")</f>
        <v/>
      </c>
      <c r="AS814">
        <f>HYPERLINK("https://creighton-primo.hosted.exlibrisgroup.com/primo-explore/search?tab=default_tab&amp;search_scope=EVERYTHING&amp;vid=01CRU&amp;lang=en_US&amp;offset=0&amp;query=any,contains,991001517889702656","Catalog Record")</f>
        <v/>
      </c>
      <c r="AT814">
        <f>HYPERLINK("http://www.worldcat.org/oclc/19966339","WorldCat Record")</f>
        <v/>
      </c>
      <c r="AU814" t="inlineStr">
        <is>
          <t>3856151622:eng</t>
        </is>
      </c>
      <c r="AV814" t="inlineStr">
        <is>
          <t>19966339</t>
        </is>
      </c>
      <c r="AW814" t="inlineStr">
        <is>
          <t>991001517889702656</t>
        </is>
      </c>
      <c r="AX814" t="inlineStr">
        <is>
          <t>991001517889702656</t>
        </is>
      </c>
      <c r="AY814" t="inlineStr">
        <is>
          <t>2256803660002656</t>
        </is>
      </c>
      <c r="AZ814" t="inlineStr">
        <is>
          <t>BOOK</t>
        </is>
      </c>
      <c r="BB814" t="inlineStr">
        <is>
          <t>9780856673511</t>
        </is>
      </c>
      <c r="BC814" t="inlineStr">
        <is>
          <t>32285000728310</t>
        </is>
      </c>
      <c r="BD814" t="inlineStr">
        <is>
          <t>893439187</t>
        </is>
      </c>
    </row>
    <row r="815">
      <c r="A815" t="inlineStr">
        <is>
          <t>No</t>
        </is>
      </c>
      <c r="B815" t="inlineStr">
        <is>
          <t>ND813.T4 A4 1982</t>
        </is>
      </c>
      <c r="C815" t="inlineStr">
        <is>
          <t>0                      ND 0813000T  4                  A  4           1982</t>
        </is>
      </c>
      <c r="D815" t="inlineStr">
        <is>
          <t>El Greco of Toledo / exhibition ... organized by the Toledo Museum of Art, with Museo del Prado, National Gallery of Art, Dallas Museum of Fine Arts ; contributions by Jonathan Brown ... [et al.].</t>
        </is>
      </c>
      <c r="F815" t="inlineStr">
        <is>
          <t>No</t>
        </is>
      </c>
      <c r="G815" t="inlineStr">
        <is>
          <t>1</t>
        </is>
      </c>
      <c r="H815" t="inlineStr">
        <is>
          <t>No</t>
        </is>
      </c>
      <c r="I815" t="inlineStr">
        <is>
          <t>No</t>
        </is>
      </c>
      <c r="J815" t="inlineStr">
        <is>
          <t>0</t>
        </is>
      </c>
      <c r="K815" t="inlineStr">
        <is>
          <t>Greco, 1541?-1614.</t>
        </is>
      </c>
      <c r="L815" t="inlineStr">
        <is>
          <t>Boston : Little, Brown, c1982.</t>
        </is>
      </c>
      <c r="M815" t="inlineStr">
        <is>
          <t>1982</t>
        </is>
      </c>
      <c r="N815" t="inlineStr">
        <is>
          <t>1st ed.</t>
        </is>
      </c>
      <c r="O815" t="inlineStr">
        <is>
          <t>eng</t>
        </is>
      </c>
      <c r="P815" t="inlineStr">
        <is>
          <t>mau</t>
        </is>
      </c>
      <c r="R815" t="inlineStr">
        <is>
          <t xml:space="preserve">ND </t>
        </is>
      </c>
      <c r="S815" t="n">
        <v>26</v>
      </c>
      <c r="T815" t="n">
        <v>26</v>
      </c>
      <c r="U815" t="inlineStr">
        <is>
          <t>2006-01-26</t>
        </is>
      </c>
      <c r="V815" t="inlineStr">
        <is>
          <t>2006-01-26</t>
        </is>
      </c>
      <c r="W815" t="inlineStr">
        <is>
          <t>1996-02-01</t>
        </is>
      </c>
      <c r="X815" t="inlineStr">
        <is>
          <t>1996-02-01</t>
        </is>
      </c>
      <c r="Y815" t="n">
        <v>2156</v>
      </c>
      <c r="Z815" t="n">
        <v>2016</v>
      </c>
      <c r="AA815" t="n">
        <v>2033</v>
      </c>
      <c r="AB815" t="n">
        <v>15</v>
      </c>
      <c r="AC815" t="n">
        <v>15</v>
      </c>
      <c r="AD815" t="n">
        <v>58</v>
      </c>
      <c r="AE815" t="n">
        <v>58</v>
      </c>
      <c r="AF815" t="n">
        <v>26</v>
      </c>
      <c r="AG815" t="n">
        <v>26</v>
      </c>
      <c r="AH815" t="n">
        <v>11</v>
      </c>
      <c r="AI815" t="n">
        <v>11</v>
      </c>
      <c r="AJ815" t="n">
        <v>24</v>
      </c>
      <c r="AK815" t="n">
        <v>24</v>
      </c>
      <c r="AL815" t="n">
        <v>10</v>
      </c>
      <c r="AM815" t="n">
        <v>10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HYPERLINK("https://creighton-primo.hosted.exlibrisgroup.com/primo-explore/search?tab=default_tab&amp;search_scope=EVERYTHING&amp;vid=01CRU&amp;lang=en_US&amp;offset=0&amp;query=any,contains,991005220739702656","Catalog Record")</f>
        <v/>
      </c>
      <c r="AT815">
        <f>HYPERLINK("http://www.worldcat.org/oclc/8222105","WorldCat Record")</f>
        <v/>
      </c>
      <c r="AU815" t="inlineStr">
        <is>
          <t>3857081649:eng</t>
        </is>
      </c>
      <c r="AV815" t="inlineStr">
        <is>
          <t>8222105</t>
        </is>
      </c>
      <c r="AW815" t="inlineStr">
        <is>
          <t>991005220739702656</t>
        </is>
      </c>
      <c r="AX815" t="inlineStr">
        <is>
          <t>991005220739702656</t>
        </is>
      </c>
      <c r="AY815" t="inlineStr">
        <is>
          <t>2266891450002656</t>
        </is>
      </c>
      <c r="AZ815" t="inlineStr">
        <is>
          <t>BOOK</t>
        </is>
      </c>
      <c r="BB815" t="inlineStr">
        <is>
          <t>9780821215012</t>
        </is>
      </c>
      <c r="BC815" t="inlineStr">
        <is>
          <t>32285002120573</t>
        </is>
      </c>
      <c r="BD815" t="inlineStr">
        <is>
          <t>893248569</t>
        </is>
      </c>
    </row>
    <row r="816">
      <c r="A816" t="inlineStr">
        <is>
          <t>No</t>
        </is>
      </c>
      <c r="B816" t="inlineStr">
        <is>
          <t>ND813.T4 A4 2003</t>
        </is>
      </c>
      <c r="C816" t="inlineStr">
        <is>
          <t>0                      ND 0813000T  4                  A  4           2003</t>
        </is>
      </c>
      <c r="D816" t="inlineStr">
        <is>
          <t>El Greco / essays, David Davies and John H. Elliott ; catalogue entries, Xavier Bray, Keith Christiansen, Gabriele Finaldi with contributions by Marcus Burke and Lois Oliver ; catalogue edited by David Davies.</t>
        </is>
      </c>
      <c r="F816" t="inlineStr">
        <is>
          <t>No</t>
        </is>
      </c>
      <c r="G816" t="inlineStr">
        <is>
          <t>1</t>
        </is>
      </c>
      <c r="H816" t="inlineStr">
        <is>
          <t>No</t>
        </is>
      </c>
      <c r="I816" t="inlineStr">
        <is>
          <t>No</t>
        </is>
      </c>
      <c r="J816" t="inlineStr">
        <is>
          <t>0</t>
        </is>
      </c>
      <c r="K816" t="inlineStr">
        <is>
          <t>Davies, David, 1937-</t>
        </is>
      </c>
      <c r="L816" t="inlineStr">
        <is>
          <t>London : National Gallery Company ; [New Haven, Conn.] : Distributed by Yale University Press, c2003.</t>
        </is>
      </c>
      <c r="M816" t="inlineStr">
        <is>
          <t>2003</t>
        </is>
      </c>
      <c r="O816" t="inlineStr">
        <is>
          <t>eng</t>
        </is>
      </c>
      <c r="P816" t="inlineStr">
        <is>
          <t>enk</t>
        </is>
      </c>
      <c r="R816" t="inlineStr">
        <is>
          <t xml:space="preserve">ND </t>
        </is>
      </c>
      <c r="S816" t="n">
        <v>2</v>
      </c>
      <c r="T816" t="n">
        <v>2</v>
      </c>
      <c r="U816" t="inlineStr">
        <is>
          <t>2005-05-25</t>
        </is>
      </c>
      <c r="V816" t="inlineStr">
        <is>
          <t>2005-05-25</t>
        </is>
      </c>
      <c r="W816" t="inlineStr">
        <is>
          <t>2005-05-25</t>
        </is>
      </c>
      <c r="X816" t="inlineStr">
        <is>
          <t>2005-05-25</t>
        </is>
      </c>
      <c r="Y816" t="n">
        <v>1219</v>
      </c>
      <c r="Z816" t="n">
        <v>1092</v>
      </c>
      <c r="AA816" t="n">
        <v>1146</v>
      </c>
      <c r="AB816" t="n">
        <v>5</v>
      </c>
      <c r="AC816" t="n">
        <v>5</v>
      </c>
      <c r="AD816" t="n">
        <v>31</v>
      </c>
      <c r="AE816" t="n">
        <v>32</v>
      </c>
      <c r="AF816" t="n">
        <v>13</v>
      </c>
      <c r="AG816" t="n">
        <v>14</v>
      </c>
      <c r="AH816" t="n">
        <v>6</v>
      </c>
      <c r="AI816" t="n">
        <v>6</v>
      </c>
      <c r="AJ816" t="n">
        <v>14</v>
      </c>
      <c r="AK816" t="n">
        <v>15</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HYPERLINK("https://creighton-primo.hosted.exlibrisgroup.com/primo-explore/search?tab=default_tab&amp;search_scope=EVERYTHING&amp;vid=01CRU&amp;lang=en_US&amp;offset=0&amp;query=any,contains,991004539849702656","Catalog Record")</f>
        <v/>
      </c>
      <c r="AT816">
        <f>HYPERLINK("http://www.worldcat.org/oclc/55037979","WorldCat Record")</f>
        <v/>
      </c>
      <c r="AU816" t="inlineStr">
        <is>
          <t>2044302351:eng</t>
        </is>
      </c>
      <c r="AV816" t="inlineStr">
        <is>
          <t>55037979</t>
        </is>
      </c>
      <c r="AW816" t="inlineStr">
        <is>
          <t>991004539849702656</t>
        </is>
      </c>
      <c r="AX816" t="inlineStr">
        <is>
          <t>991004539849702656</t>
        </is>
      </c>
      <c r="AY816" t="inlineStr">
        <is>
          <t>2272553440002656</t>
        </is>
      </c>
      <c r="AZ816" t="inlineStr">
        <is>
          <t>BOOK</t>
        </is>
      </c>
      <c r="BB816" t="inlineStr">
        <is>
          <t>9781857099331</t>
        </is>
      </c>
      <c r="BC816" t="inlineStr">
        <is>
          <t>32285005090286</t>
        </is>
      </c>
      <c r="BD816" t="inlineStr">
        <is>
          <t>893436406</t>
        </is>
      </c>
    </row>
    <row r="817">
      <c r="A817" t="inlineStr">
        <is>
          <t>No</t>
        </is>
      </c>
      <c r="B817" t="inlineStr">
        <is>
          <t>ND813.T4 B7</t>
        </is>
      </c>
      <c r="C817" t="inlineStr">
        <is>
          <t>0                      ND 0813000T  4                  B  7</t>
        </is>
      </c>
      <c r="D817" t="inlineStr">
        <is>
          <t>El Greco (Domenicos Theotocopoulos) / text by Leo Bronstein.</t>
        </is>
      </c>
      <c r="F817" t="inlineStr">
        <is>
          <t>No</t>
        </is>
      </c>
      <c r="G817" t="inlineStr">
        <is>
          <t>1</t>
        </is>
      </c>
      <c r="H817" t="inlineStr">
        <is>
          <t>No</t>
        </is>
      </c>
      <c r="I817" t="inlineStr">
        <is>
          <t>No</t>
        </is>
      </c>
      <c r="J817" t="inlineStr">
        <is>
          <t>0</t>
        </is>
      </c>
      <c r="K817" t="inlineStr">
        <is>
          <t>Greco, 1541?-1614.</t>
        </is>
      </c>
      <c r="L817" t="inlineStr">
        <is>
          <t>New York : H. N. Abrams, 1950.</t>
        </is>
      </c>
      <c r="M817" t="inlineStr">
        <is>
          <t>1950</t>
        </is>
      </c>
      <c r="N817" t="inlineStr">
        <is>
          <t>1st ed.</t>
        </is>
      </c>
      <c r="O817" t="inlineStr">
        <is>
          <t>eng</t>
        </is>
      </c>
      <c r="P817" t="inlineStr">
        <is>
          <t>nyu</t>
        </is>
      </c>
      <c r="Q817" t="inlineStr">
        <is>
          <t>The Library of great painters</t>
        </is>
      </c>
      <c r="R817" t="inlineStr">
        <is>
          <t xml:space="preserve">ND </t>
        </is>
      </c>
      <c r="S817" t="n">
        <v>21</v>
      </c>
      <c r="T817" t="n">
        <v>21</v>
      </c>
      <c r="U817" t="inlineStr">
        <is>
          <t>2003-11-24</t>
        </is>
      </c>
      <c r="V817" t="inlineStr">
        <is>
          <t>2003-11-24</t>
        </is>
      </c>
      <c r="W817" t="inlineStr">
        <is>
          <t>1992-05-08</t>
        </is>
      </c>
      <c r="X817" t="inlineStr">
        <is>
          <t>1992-05-08</t>
        </is>
      </c>
      <c r="Y817" t="n">
        <v>832</v>
      </c>
      <c r="Z817" t="n">
        <v>775</v>
      </c>
      <c r="AA817" t="n">
        <v>843</v>
      </c>
      <c r="AB817" t="n">
        <v>7</v>
      </c>
      <c r="AC817" t="n">
        <v>7</v>
      </c>
      <c r="AD817" t="n">
        <v>29</v>
      </c>
      <c r="AE817" t="n">
        <v>30</v>
      </c>
      <c r="AF817" t="n">
        <v>8</v>
      </c>
      <c r="AG817" t="n">
        <v>9</v>
      </c>
      <c r="AH817" t="n">
        <v>8</v>
      </c>
      <c r="AI817" t="n">
        <v>8</v>
      </c>
      <c r="AJ817" t="n">
        <v>14</v>
      </c>
      <c r="AK817" t="n">
        <v>14</v>
      </c>
      <c r="AL817" t="n">
        <v>5</v>
      </c>
      <c r="AM817" t="n">
        <v>5</v>
      </c>
      <c r="AN817" t="n">
        <v>0</v>
      </c>
      <c r="AO817" t="n">
        <v>0</v>
      </c>
      <c r="AP817" t="inlineStr">
        <is>
          <t>No</t>
        </is>
      </c>
      <c r="AQ817" t="inlineStr">
        <is>
          <t>No</t>
        </is>
      </c>
      <c r="AR817">
        <f>HYPERLINK("http://catalog.hathitrust.org/Record/004504926","HathiTrust Record")</f>
        <v/>
      </c>
      <c r="AS817">
        <f>HYPERLINK("https://creighton-primo.hosted.exlibrisgroup.com/primo-explore/search?tab=default_tab&amp;search_scope=EVERYTHING&amp;vid=01CRU&amp;lang=en_US&amp;offset=0&amp;query=any,contains,991001047699702656","Catalog Record")</f>
        <v/>
      </c>
      <c r="AT817">
        <f>HYPERLINK("http://www.worldcat.org/oclc/176555","WorldCat Record")</f>
        <v/>
      </c>
      <c r="AU817" t="inlineStr">
        <is>
          <t>59256985:eng</t>
        </is>
      </c>
      <c r="AV817" t="inlineStr">
        <is>
          <t>176555</t>
        </is>
      </c>
      <c r="AW817" t="inlineStr">
        <is>
          <t>991001047699702656</t>
        </is>
      </c>
      <c r="AX817" t="inlineStr">
        <is>
          <t>991001047699702656</t>
        </is>
      </c>
      <c r="AY817" t="inlineStr">
        <is>
          <t>2267942790002656</t>
        </is>
      </c>
      <c r="AZ817" t="inlineStr">
        <is>
          <t>BOOK</t>
        </is>
      </c>
      <c r="BC817" t="inlineStr">
        <is>
          <t>32285001105039</t>
        </is>
      </c>
      <c r="BD817" t="inlineStr">
        <is>
          <t>893589982</t>
        </is>
      </c>
    </row>
    <row r="818">
      <c r="A818" t="inlineStr">
        <is>
          <t>No</t>
        </is>
      </c>
      <c r="B818" t="inlineStr">
        <is>
          <t>ND813.T4 M2 1960</t>
        </is>
      </c>
      <c r="C818" t="inlineStr">
        <is>
          <t>0                      ND 0813000T  4                  M  2           1960</t>
        </is>
      </c>
      <c r="D818" t="inlineStr">
        <is>
          <t>El Greco y Toledo / G. Marañón.</t>
        </is>
      </c>
      <c r="F818" t="inlineStr">
        <is>
          <t>No</t>
        </is>
      </c>
      <c r="G818" t="inlineStr">
        <is>
          <t>1</t>
        </is>
      </c>
      <c r="H818" t="inlineStr">
        <is>
          <t>No</t>
        </is>
      </c>
      <c r="I818" t="inlineStr">
        <is>
          <t>No</t>
        </is>
      </c>
      <c r="J818" t="inlineStr">
        <is>
          <t>0</t>
        </is>
      </c>
      <c r="K818" t="inlineStr">
        <is>
          <t>Marañón, Gregorio, 1887-1960.</t>
        </is>
      </c>
      <c r="L818" t="inlineStr">
        <is>
          <t>Madrid : Espasa-Calpe, 1960.</t>
        </is>
      </c>
      <c r="M818" t="inlineStr">
        <is>
          <t>1960</t>
        </is>
      </c>
      <c r="N818" t="inlineStr">
        <is>
          <t>3a ed.</t>
        </is>
      </c>
      <c r="O818" t="inlineStr">
        <is>
          <t>spa</t>
        </is>
      </c>
      <c r="P818" t="inlineStr">
        <is>
          <t xml:space="preserve">sp </t>
        </is>
      </c>
      <c r="R818" t="inlineStr">
        <is>
          <t xml:space="preserve">ND </t>
        </is>
      </c>
      <c r="S818" t="n">
        <v>1</v>
      </c>
      <c r="T818" t="n">
        <v>1</v>
      </c>
      <c r="U818" t="inlineStr">
        <is>
          <t>1993-02-05</t>
        </is>
      </c>
      <c r="V818" t="inlineStr">
        <is>
          <t>1993-02-05</t>
        </is>
      </c>
      <c r="W818" t="inlineStr">
        <is>
          <t>1993-02-05</t>
        </is>
      </c>
      <c r="X818" t="inlineStr">
        <is>
          <t>1993-02-05</t>
        </is>
      </c>
      <c r="Y818" t="n">
        <v>32</v>
      </c>
      <c r="Z818" t="n">
        <v>25</v>
      </c>
      <c r="AA818" t="n">
        <v>268</v>
      </c>
      <c r="AB818" t="n">
        <v>1</v>
      </c>
      <c r="AC818" t="n">
        <v>2</v>
      </c>
      <c r="AD818" t="n">
        <v>0</v>
      </c>
      <c r="AE818" t="n">
        <v>13</v>
      </c>
      <c r="AF818" t="n">
        <v>0</v>
      </c>
      <c r="AG818" t="n">
        <v>7</v>
      </c>
      <c r="AH818" t="n">
        <v>0</v>
      </c>
      <c r="AI818" t="n">
        <v>2</v>
      </c>
      <c r="AJ818" t="n">
        <v>0</v>
      </c>
      <c r="AK818" t="n">
        <v>6</v>
      </c>
      <c r="AL818" t="n">
        <v>0</v>
      </c>
      <c r="AM818" t="n">
        <v>1</v>
      </c>
      <c r="AN818" t="n">
        <v>0</v>
      </c>
      <c r="AO818" t="n">
        <v>0</v>
      </c>
      <c r="AP818" t="inlineStr">
        <is>
          <t>No</t>
        </is>
      </c>
      <c r="AQ818" t="inlineStr">
        <is>
          <t>Yes</t>
        </is>
      </c>
      <c r="AR818">
        <f>HYPERLINK("http://catalog.hathitrust.org/Record/012263070","HathiTrust Record")</f>
        <v/>
      </c>
      <c r="AS818">
        <f>HYPERLINK("https://creighton-primo.hosted.exlibrisgroup.com/primo-explore/search?tab=default_tab&amp;search_scope=EVERYTHING&amp;vid=01CRU&amp;lang=en_US&amp;offset=0&amp;query=any,contains,991000256639702656","Catalog Record")</f>
        <v/>
      </c>
      <c r="AT818">
        <f>HYPERLINK("http://www.worldcat.org/oclc/9780283","WorldCat Record")</f>
        <v/>
      </c>
      <c r="AU818" t="inlineStr">
        <is>
          <t>354413073:spa</t>
        </is>
      </c>
      <c r="AV818" t="inlineStr">
        <is>
          <t>9780283</t>
        </is>
      </c>
      <c r="AW818" t="inlineStr">
        <is>
          <t>991000256639702656</t>
        </is>
      </c>
      <c r="AX818" t="inlineStr">
        <is>
          <t>991000256639702656</t>
        </is>
      </c>
      <c r="AY818" t="inlineStr">
        <is>
          <t>2264299590002656</t>
        </is>
      </c>
      <c r="AZ818" t="inlineStr">
        <is>
          <t>BOOK</t>
        </is>
      </c>
      <c r="BC818" t="inlineStr">
        <is>
          <t>32285001495851</t>
        </is>
      </c>
      <c r="BD818" t="inlineStr">
        <is>
          <t>893508650</t>
        </is>
      </c>
    </row>
    <row r="819">
      <c r="A819" t="inlineStr">
        <is>
          <t>No</t>
        </is>
      </c>
      <c r="B819" t="inlineStr">
        <is>
          <t>ND813.T4 W4</t>
        </is>
      </c>
      <c r="C819" t="inlineStr">
        <is>
          <t>0                      ND 0813000T  4                  W  4</t>
        </is>
      </c>
      <c r="D819" t="inlineStr">
        <is>
          <t>El Greco and his school.</t>
        </is>
      </c>
      <c r="E819" t="inlineStr">
        <is>
          <t>V.1</t>
        </is>
      </c>
      <c r="F819" t="inlineStr">
        <is>
          <t>Yes</t>
        </is>
      </c>
      <c r="G819" t="inlineStr">
        <is>
          <t>1</t>
        </is>
      </c>
      <c r="H819" t="inlineStr">
        <is>
          <t>No</t>
        </is>
      </c>
      <c r="I819" t="inlineStr">
        <is>
          <t>No</t>
        </is>
      </c>
      <c r="J819" t="inlineStr">
        <is>
          <t>0</t>
        </is>
      </c>
      <c r="K819" t="inlineStr">
        <is>
          <t>Wethey, Harold E. (Harold Edwin), 1902-1984.</t>
        </is>
      </c>
      <c r="L819" t="inlineStr">
        <is>
          <t>Princeton, N.J. : Princeton University Press, 1962.</t>
        </is>
      </c>
      <c r="M819" t="inlineStr">
        <is>
          <t>1962</t>
        </is>
      </c>
      <c r="O819" t="inlineStr">
        <is>
          <t>eng</t>
        </is>
      </c>
      <c r="P819" t="inlineStr">
        <is>
          <t>nju</t>
        </is>
      </c>
      <c r="R819" t="inlineStr">
        <is>
          <t xml:space="preserve">ND </t>
        </is>
      </c>
      <c r="S819" t="n">
        <v>17</v>
      </c>
      <c r="T819" t="n">
        <v>21</v>
      </c>
      <c r="U819" t="inlineStr">
        <is>
          <t>2006-01-26</t>
        </is>
      </c>
      <c r="V819" t="inlineStr">
        <is>
          <t>2006-01-26</t>
        </is>
      </c>
      <c r="W819" t="inlineStr">
        <is>
          <t>1992-04-11</t>
        </is>
      </c>
      <c r="X819" t="inlineStr">
        <is>
          <t>1992-04-11</t>
        </is>
      </c>
      <c r="Y819" t="n">
        <v>774</v>
      </c>
      <c r="Z819" t="n">
        <v>661</v>
      </c>
      <c r="AA819" t="n">
        <v>665</v>
      </c>
      <c r="AB819" t="n">
        <v>7</v>
      </c>
      <c r="AC819" t="n">
        <v>7</v>
      </c>
      <c r="AD819" t="n">
        <v>26</v>
      </c>
      <c r="AE819" t="n">
        <v>26</v>
      </c>
      <c r="AF819" t="n">
        <v>10</v>
      </c>
      <c r="AG819" t="n">
        <v>10</v>
      </c>
      <c r="AH819" t="n">
        <v>5</v>
      </c>
      <c r="AI819" t="n">
        <v>5</v>
      </c>
      <c r="AJ819" t="n">
        <v>10</v>
      </c>
      <c r="AK819" t="n">
        <v>10</v>
      </c>
      <c r="AL819" t="n">
        <v>5</v>
      </c>
      <c r="AM819" t="n">
        <v>5</v>
      </c>
      <c r="AN819" t="n">
        <v>0</v>
      </c>
      <c r="AO819" t="n">
        <v>0</v>
      </c>
      <c r="AP819" t="inlineStr">
        <is>
          <t>No</t>
        </is>
      </c>
      <c r="AQ819" t="inlineStr">
        <is>
          <t>Yes</t>
        </is>
      </c>
      <c r="AR819">
        <f>HYPERLINK("http://catalog.hathitrust.org/Record/000655547","HathiTrust Record")</f>
        <v/>
      </c>
      <c r="AS819">
        <f>HYPERLINK("https://creighton-primo.hosted.exlibrisgroup.com/primo-explore/search?tab=default_tab&amp;search_scope=EVERYTHING&amp;vid=01CRU&amp;lang=en_US&amp;offset=0&amp;query=any,contains,991002902959702656","Catalog Record")</f>
        <v/>
      </c>
      <c r="AT819">
        <f>HYPERLINK("http://www.worldcat.org/oclc/518112","WorldCat Record")</f>
        <v/>
      </c>
      <c r="AU819" t="inlineStr">
        <is>
          <t>10388632636:eng</t>
        </is>
      </c>
      <c r="AV819" t="inlineStr">
        <is>
          <t>518112</t>
        </is>
      </c>
      <c r="AW819" t="inlineStr">
        <is>
          <t>991002902959702656</t>
        </is>
      </c>
      <c r="AX819" t="inlineStr">
        <is>
          <t>991002902959702656</t>
        </is>
      </c>
      <c r="AY819" t="inlineStr">
        <is>
          <t>2255777180002656</t>
        </is>
      </c>
      <c r="AZ819" t="inlineStr">
        <is>
          <t>BOOK</t>
        </is>
      </c>
      <c r="BC819" t="inlineStr">
        <is>
          <t>32285001058337</t>
        </is>
      </c>
      <c r="BD819" t="inlineStr">
        <is>
          <t>893793083</t>
        </is>
      </c>
    </row>
    <row r="820">
      <c r="A820" t="inlineStr">
        <is>
          <t>No</t>
        </is>
      </c>
      <c r="B820" t="inlineStr">
        <is>
          <t>ND813.T4 W4</t>
        </is>
      </c>
      <c r="C820" t="inlineStr">
        <is>
          <t>0                      ND 0813000T  4                  W  4</t>
        </is>
      </c>
      <c r="D820" t="inlineStr">
        <is>
          <t>El Greco and his school.</t>
        </is>
      </c>
      <c r="E820" t="inlineStr">
        <is>
          <t>V.2</t>
        </is>
      </c>
      <c r="F820" t="inlineStr">
        <is>
          <t>Yes</t>
        </is>
      </c>
      <c r="G820" t="inlineStr">
        <is>
          <t>1</t>
        </is>
      </c>
      <c r="H820" t="inlineStr">
        <is>
          <t>No</t>
        </is>
      </c>
      <c r="I820" t="inlineStr">
        <is>
          <t>No</t>
        </is>
      </c>
      <c r="J820" t="inlineStr">
        <is>
          <t>0</t>
        </is>
      </c>
      <c r="K820" t="inlineStr">
        <is>
          <t>Wethey, Harold E. (Harold Edwin), 1902-1984.</t>
        </is>
      </c>
      <c r="L820" t="inlineStr">
        <is>
          <t>Princeton, N.J. : Princeton University Press, 1962.</t>
        </is>
      </c>
      <c r="M820" t="inlineStr">
        <is>
          <t>1962</t>
        </is>
      </c>
      <c r="O820" t="inlineStr">
        <is>
          <t>eng</t>
        </is>
      </c>
      <c r="P820" t="inlineStr">
        <is>
          <t>nju</t>
        </is>
      </c>
      <c r="R820" t="inlineStr">
        <is>
          <t xml:space="preserve">ND </t>
        </is>
      </c>
      <c r="S820" t="n">
        <v>4</v>
      </c>
      <c r="T820" t="n">
        <v>21</v>
      </c>
      <c r="U820" t="inlineStr">
        <is>
          <t>1994-01-18</t>
        </is>
      </c>
      <c r="V820" t="inlineStr">
        <is>
          <t>2006-01-26</t>
        </is>
      </c>
      <c r="W820" t="inlineStr">
        <is>
          <t>1992-04-11</t>
        </is>
      </c>
      <c r="X820" t="inlineStr">
        <is>
          <t>1992-04-11</t>
        </is>
      </c>
      <c r="Y820" t="n">
        <v>774</v>
      </c>
      <c r="Z820" t="n">
        <v>661</v>
      </c>
      <c r="AA820" t="n">
        <v>665</v>
      </c>
      <c r="AB820" t="n">
        <v>7</v>
      </c>
      <c r="AC820" t="n">
        <v>7</v>
      </c>
      <c r="AD820" t="n">
        <v>26</v>
      </c>
      <c r="AE820" t="n">
        <v>26</v>
      </c>
      <c r="AF820" t="n">
        <v>10</v>
      </c>
      <c r="AG820" t="n">
        <v>10</v>
      </c>
      <c r="AH820" t="n">
        <v>5</v>
      </c>
      <c r="AI820" t="n">
        <v>5</v>
      </c>
      <c r="AJ820" t="n">
        <v>10</v>
      </c>
      <c r="AK820" t="n">
        <v>10</v>
      </c>
      <c r="AL820" t="n">
        <v>5</v>
      </c>
      <c r="AM820" t="n">
        <v>5</v>
      </c>
      <c r="AN820" t="n">
        <v>0</v>
      </c>
      <c r="AO820" t="n">
        <v>0</v>
      </c>
      <c r="AP820" t="inlineStr">
        <is>
          <t>No</t>
        </is>
      </c>
      <c r="AQ820" t="inlineStr">
        <is>
          <t>Yes</t>
        </is>
      </c>
      <c r="AR820">
        <f>HYPERLINK("http://catalog.hathitrust.org/Record/000655547","HathiTrust Record")</f>
        <v/>
      </c>
      <c r="AS820">
        <f>HYPERLINK("https://creighton-primo.hosted.exlibrisgroup.com/primo-explore/search?tab=default_tab&amp;search_scope=EVERYTHING&amp;vid=01CRU&amp;lang=en_US&amp;offset=0&amp;query=any,contains,991002902959702656","Catalog Record")</f>
        <v/>
      </c>
      <c r="AT820">
        <f>HYPERLINK("http://www.worldcat.org/oclc/518112","WorldCat Record")</f>
        <v/>
      </c>
      <c r="AU820" t="inlineStr">
        <is>
          <t>10388632636:eng</t>
        </is>
      </c>
      <c r="AV820" t="inlineStr">
        <is>
          <t>518112</t>
        </is>
      </c>
      <c r="AW820" t="inlineStr">
        <is>
          <t>991002902959702656</t>
        </is>
      </c>
      <c r="AX820" t="inlineStr">
        <is>
          <t>991002902959702656</t>
        </is>
      </c>
      <c r="AY820" t="inlineStr">
        <is>
          <t>2255777180002656</t>
        </is>
      </c>
      <c r="AZ820" t="inlineStr">
        <is>
          <t>BOOK</t>
        </is>
      </c>
      <c r="BC820" t="inlineStr">
        <is>
          <t>32285001058345</t>
        </is>
      </c>
      <c r="BD820" t="inlineStr">
        <is>
          <t>893786717</t>
        </is>
      </c>
    </row>
    <row r="821">
      <c r="A821" t="inlineStr">
        <is>
          <t>No</t>
        </is>
      </c>
      <c r="B821" t="inlineStr">
        <is>
          <t>ND813.V4 A68 2003</t>
        </is>
      </c>
      <c r="C821" t="inlineStr">
        <is>
          <t>0                      ND 0813000V  4                  A  68          2003</t>
        </is>
      </c>
      <c r="D821" t="inlineStr">
        <is>
          <t>Velazquez's Las Meninas / edited by Suzanne L. Stratton-Pruitt.</t>
        </is>
      </c>
      <c r="F821" t="inlineStr">
        <is>
          <t>No</t>
        </is>
      </c>
      <c r="G821" t="inlineStr">
        <is>
          <t>1</t>
        </is>
      </c>
      <c r="H821" t="inlineStr">
        <is>
          <t>No</t>
        </is>
      </c>
      <c r="I821" t="inlineStr">
        <is>
          <t>No</t>
        </is>
      </c>
      <c r="J821" t="inlineStr">
        <is>
          <t>0</t>
        </is>
      </c>
      <c r="K821" t="inlineStr">
        <is>
          <t>Velázquez, Diego, 1599-1660.</t>
        </is>
      </c>
      <c r="L821" t="inlineStr">
        <is>
          <t>Cambridge ; New York : Cambridge University Press, 2003.</t>
        </is>
      </c>
      <c r="M821" t="inlineStr">
        <is>
          <t>2003</t>
        </is>
      </c>
      <c r="O821" t="inlineStr">
        <is>
          <t>eng</t>
        </is>
      </c>
      <c r="P821" t="inlineStr">
        <is>
          <t>enk</t>
        </is>
      </c>
      <c r="Q821" t="inlineStr">
        <is>
          <t>Masterpieces of Western painting</t>
        </is>
      </c>
      <c r="R821" t="inlineStr">
        <is>
          <t xml:space="preserve">ND </t>
        </is>
      </c>
      <c r="S821" t="n">
        <v>2</v>
      </c>
      <c r="T821" t="n">
        <v>2</v>
      </c>
      <c r="U821" t="inlineStr">
        <is>
          <t>2007-04-09</t>
        </is>
      </c>
      <c r="V821" t="inlineStr">
        <is>
          <t>2007-04-09</t>
        </is>
      </c>
      <c r="W821" t="inlineStr">
        <is>
          <t>2003-10-01</t>
        </is>
      </c>
      <c r="X821" t="inlineStr">
        <is>
          <t>2003-10-01</t>
        </is>
      </c>
      <c r="Y821" t="n">
        <v>435</v>
      </c>
      <c r="Z821" t="n">
        <v>341</v>
      </c>
      <c r="AA821" t="n">
        <v>342</v>
      </c>
      <c r="AB821" t="n">
        <v>2</v>
      </c>
      <c r="AC821" t="n">
        <v>2</v>
      </c>
      <c r="AD821" t="n">
        <v>20</v>
      </c>
      <c r="AE821" t="n">
        <v>20</v>
      </c>
      <c r="AF821" t="n">
        <v>7</v>
      </c>
      <c r="AG821" t="n">
        <v>7</v>
      </c>
      <c r="AH821" t="n">
        <v>5</v>
      </c>
      <c r="AI821" t="n">
        <v>5</v>
      </c>
      <c r="AJ821" t="n">
        <v>12</v>
      </c>
      <c r="AK821" t="n">
        <v>12</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HYPERLINK("https://creighton-primo.hosted.exlibrisgroup.com/primo-explore/search?tab=default_tab&amp;search_scope=EVERYTHING&amp;vid=01CRU&amp;lang=en_US&amp;offset=0&amp;query=any,contains,991004146599702656","Catalog Record")</f>
        <v/>
      </c>
      <c r="AT821">
        <f>HYPERLINK("http://www.worldcat.org/oclc/49403661","WorldCat Record")</f>
        <v/>
      </c>
      <c r="AU821" t="inlineStr">
        <is>
          <t>2864156041:eng</t>
        </is>
      </c>
      <c r="AV821" t="inlineStr">
        <is>
          <t>49403661</t>
        </is>
      </c>
      <c r="AW821" t="inlineStr">
        <is>
          <t>991004146599702656</t>
        </is>
      </c>
      <c r="AX821" t="inlineStr">
        <is>
          <t>991004146599702656</t>
        </is>
      </c>
      <c r="AY821" t="inlineStr">
        <is>
          <t>2256390680002656</t>
        </is>
      </c>
      <c r="AZ821" t="inlineStr">
        <is>
          <t>BOOK</t>
        </is>
      </c>
      <c r="BB821" t="inlineStr">
        <is>
          <t>9780521800570</t>
        </is>
      </c>
      <c r="BC821" t="inlineStr">
        <is>
          <t>32285004791413</t>
        </is>
      </c>
      <c r="BD821" t="inlineStr">
        <is>
          <t>893429713</t>
        </is>
      </c>
    </row>
    <row r="822">
      <c r="A822" t="inlineStr">
        <is>
          <t>No</t>
        </is>
      </c>
      <c r="B822" t="inlineStr">
        <is>
          <t>ND813.V4 B88</t>
        </is>
      </c>
      <c r="C822" t="inlineStr">
        <is>
          <t>0                      ND 0813000V  4                  B  88</t>
        </is>
      </c>
      <c r="D822" t="inlineStr">
        <is>
          <t>The world of Velázquez, 1599-1660 / by Dale Brown and the editors of Time-Life Books.</t>
        </is>
      </c>
      <c r="F822" t="inlineStr">
        <is>
          <t>No</t>
        </is>
      </c>
      <c r="G822" t="inlineStr">
        <is>
          <t>1</t>
        </is>
      </c>
      <c r="H822" t="inlineStr">
        <is>
          <t>No</t>
        </is>
      </c>
      <c r="I822" t="inlineStr">
        <is>
          <t>No</t>
        </is>
      </c>
      <c r="J822" t="inlineStr">
        <is>
          <t>0</t>
        </is>
      </c>
      <c r="K822" t="inlineStr">
        <is>
          <t>Brown, Dale M. (Author and editor at Time-Life Books)</t>
        </is>
      </c>
      <c r="L822" t="inlineStr">
        <is>
          <t>New York : Time-Life Books, [1969]</t>
        </is>
      </c>
      <c r="M822" t="inlineStr">
        <is>
          <t>1969</t>
        </is>
      </c>
      <c r="O822" t="inlineStr">
        <is>
          <t>eng</t>
        </is>
      </c>
      <c r="P822" t="inlineStr">
        <is>
          <t>nyu</t>
        </is>
      </c>
      <c r="Q822" t="inlineStr">
        <is>
          <t>Time-Life library of art</t>
        </is>
      </c>
      <c r="R822" t="inlineStr">
        <is>
          <t xml:space="preserve">ND </t>
        </is>
      </c>
      <c r="S822" t="n">
        <v>9</v>
      </c>
      <c r="T822" t="n">
        <v>9</v>
      </c>
      <c r="U822" t="inlineStr">
        <is>
          <t>2003-11-11</t>
        </is>
      </c>
      <c r="V822" t="inlineStr">
        <is>
          <t>2003-11-11</t>
        </is>
      </c>
      <c r="W822" t="inlineStr">
        <is>
          <t>1992-05-07</t>
        </is>
      </c>
      <c r="X822" t="inlineStr">
        <is>
          <t>1992-05-07</t>
        </is>
      </c>
      <c r="Y822" t="n">
        <v>2345</v>
      </c>
      <c r="Z822" t="n">
        <v>2188</v>
      </c>
      <c r="AA822" t="n">
        <v>2425</v>
      </c>
      <c r="AB822" t="n">
        <v>16</v>
      </c>
      <c r="AC822" t="n">
        <v>18</v>
      </c>
      <c r="AD822" t="n">
        <v>38</v>
      </c>
      <c r="AE822" t="n">
        <v>39</v>
      </c>
      <c r="AF822" t="n">
        <v>14</v>
      </c>
      <c r="AG822" t="n">
        <v>15</v>
      </c>
      <c r="AH822" t="n">
        <v>6</v>
      </c>
      <c r="AI822" t="n">
        <v>6</v>
      </c>
      <c r="AJ822" t="n">
        <v>21</v>
      </c>
      <c r="AK822" t="n">
        <v>21</v>
      </c>
      <c r="AL822" t="n">
        <v>6</v>
      </c>
      <c r="AM822" t="n">
        <v>6</v>
      </c>
      <c r="AN822" t="n">
        <v>0</v>
      </c>
      <c r="AO822" t="n">
        <v>0</v>
      </c>
      <c r="AP822" t="inlineStr">
        <is>
          <t>No</t>
        </is>
      </c>
      <c r="AQ822" t="inlineStr">
        <is>
          <t>Yes</t>
        </is>
      </c>
      <c r="AR822">
        <f>HYPERLINK("http://catalog.hathitrust.org/Record/000650183","HathiTrust Record")</f>
        <v/>
      </c>
      <c r="AS822">
        <f>HYPERLINK("https://creighton-primo.hosted.exlibrisgroup.com/primo-explore/search?tab=default_tab&amp;search_scope=EVERYTHING&amp;vid=01CRU&amp;lang=en_US&amp;offset=0&amp;query=any,contains,991000414829702656","Catalog Record")</f>
        <v/>
      </c>
      <c r="AT822">
        <f>HYPERLINK("http://www.worldcat.org/oclc/74159","WorldCat Record")</f>
        <v/>
      </c>
      <c r="AU822" t="inlineStr">
        <is>
          <t>448263:eng</t>
        </is>
      </c>
      <c r="AV822" t="inlineStr">
        <is>
          <t>74159</t>
        </is>
      </c>
      <c r="AW822" t="inlineStr">
        <is>
          <t>991000414829702656</t>
        </is>
      </c>
      <c r="AX822" t="inlineStr">
        <is>
          <t>991000414829702656</t>
        </is>
      </c>
      <c r="AY822" t="inlineStr">
        <is>
          <t>2272021410002656</t>
        </is>
      </c>
      <c r="AZ822" t="inlineStr">
        <is>
          <t>BOOK</t>
        </is>
      </c>
      <c r="BC822" t="inlineStr">
        <is>
          <t>32285001093599</t>
        </is>
      </c>
      <c r="BD822" t="inlineStr">
        <is>
          <t>893521631</t>
        </is>
      </c>
    </row>
    <row r="823">
      <c r="A823" t="inlineStr">
        <is>
          <t>No</t>
        </is>
      </c>
      <c r="B823" t="inlineStr">
        <is>
          <t>ND813.V4 B89 1986</t>
        </is>
      </c>
      <c r="C823" t="inlineStr">
        <is>
          <t>0                      ND 0813000V  4                  B  89          1986</t>
        </is>
      </c>
      <c r="D823" t="inlineStr">
        <is>
          <t>Velázquez, painter and courtier / Jonathan Brown.</t>
        </is>
      </c>
      <c r="F823" t="inlineStr">
        <is>
          <t>No</t>
        </is>
      </c>
      <c r="G823" t="inlineStr">
        <is>
          <t>1</t>
        </is>
      </c>
      <c r="H823" t="inlineStr">
        <is>
          <t>No</t>
        </is>
      </c>
      <c r="I823" t="inlineStr">
        <is>
          <t>No</t>
        </is>
      </c>
      <c r="J823" t="inlineStr">
        <is>
          <t>0</t>
        </is>
      </c>
      <c r="K823" t="inlineStr">
        <is>
          <t>Brown, Jonathan, 1939-</t>
        </is>
      </c>
      <c r="L823" t="inlineStr">
        <is>
          <t>New Haven : Yale University Press, 1986.</t>
        </is>
      </c>
      <c r="M823" t="inlineStr">
        <is>
          <t>1986</t>
        </is>
      </c>
      <c r="O823" t="inlineStr">
        <is>
          <t>eng</t>
        </is>
      </c>
      <c r="P823" t="inlineStr">
        <is>
          <t>ctu</t>
        </is>
      </c>
      <c r="R823" t="inlineStr">
        <is>
          <t xml:space="preserve">ND </t>
        </is>
      </c>
      <c r="S823" t="n">
        <v>5</v>
      </c>
      <c r="T823" t="n">
        <v>5</v>
      </c>
      <c r="U823" t="inlineStr">
        <is>
          <t>2003-11-22</t>
        </is>
      </c>
      <c r="V823" t="inlineStr">
        <is>
          <t>2003-11-22</t>
        </is>
      </c>
      <c r="W823" t="inlineStr">
        <is>
          <t>1992-05-12</t>
        </is>
      </c>
      <c r="X823" t="inlineStr">
        <is>
          <t>1992-05-12</t>
        </is>
      </c>
      <c r="Y823" t="n">
        <v>1554</v>
      </c>
      <c r="Z823" t="n">
        <v>1324</v>
      </c>
      <c r="AA823" t="n">
        <v>1329</v>
      </c>
      <c r="AB823" t="n">
        <v>8</v>
      </c>
      <c r="AC823" t="n">
        <v>8</v>
      </c>
      <c r="AD823" t="n">
        <v>49</v>
      </c>
      <c r="AE823" t="n">
        <v>49</v>
      </c>
      <c r="AF823" t="n">
        <v>24</v>
      </c>
      <c r="AG823" t="n">
        <v>24</v>
      </c>
      <c r="AH823" t="n">
        <v>11</v>
      </c>
      <c r="AI823" t="n">
        <v>11</v>
      </c>
      <c r="AJ823" t="n">
        <v>23</v>
      </c>
      <c r="AK823" t="n">
        <v>23</v>
      </c>
      <c r="AL823" t="n">
        <v>5</v>
      </c>
      <c r="AM823" t="n">
        <v>5</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HYPERLINK("https://creighton-primo.hosted.exlibrisgroup.com/primo-explore/search?tab=default_tab&amp;search_scope=EVERYTHING&amp;vid=01CRU&amp;lang=en_US&amp;offset=0&amp;query=any,contains,991000657729702656","Catalog Record")</f>
        <v/>
      </c>
      <c r="AT823">
        <f>HYPERLINK("http://www.worldcat.org/oclc/12217143","WorldCat Record")</f>
        <v/>
      </c>
      <c r="AU823" t="inlineStr">
        <is>
          <t>2908480689:eng</t>
        </is>
      </c>
      <c r="AV823" t="inlineStr">
        <is>
          <t>12217143</t>
        </is>
      </c>
      <c r="AW823" t="inlineStr">
        <is>
          <t>991000657729702656</t>
        </is>
      </c>
      <c r="AX823" t="inlineStr">
        <is>
          <t>991000657729702656</t>
        </is>
      </c>
      <c r="AY823" t="inlineStr">
        <is>
          <t>2267852440002656</t>
        </is>
      </c>
      <c r="AZ823" t="inlineStr">
        <is>
          <t>BOOK</t>
        </is>
      </c>
      <c r="BB823" t="inlineStr">
        <is>
          <t>9780300034660</t>
        </is>
      </c>
      <c r="BC823" t="inlineStr">
        <is>
          <t>32285001108488</t>
        </is>
      </c>
      <c r="BD823" t="inlineStr">
        <is>
          <t>893620676</t>
        </is>
      </c>
    </row>
    <row r="824">
      <c r="A824" t="inlineStr">
        <is>
          <t>No</t>
        </is>
      </c>
      <c r="B824" t="inlineStr">
        <is>
          <t>ND813.V4 B893 1998</t>
        </is>
      </c>
      <c r="C824" t="inlineStr">
        <is>
          <t>0                      ND 0813000V  4                  B  893         1998</t>
        </is>
      </c>
      <c r="D824" t="inlineStr">
        <is>
          <t>Velázquez : the technique of genius / Jonathan Brown and Carmen Garrido ; with special photography by Carmen Garrido.</t>
        </is>
      </c>
      <c r="F824" t="inlineStr">
        <is>
          <t>No</t>
        </is>
      </c>
      <c r="G824" t="inlineStr">
        <is>
          <t>1</t>
        </is>
      </c>
      <c r="H824" t="inlineStr">
        <is>
          <t>No</t>
        </is>
      </c>
      <c r="I824" t="inlineStr">
        <is>
          <t>No</t>
        </is>
      </c>
      <c r="J824" t="inlineStr">
        <is>
          <t>0</t>
        </is>
      </c>
      <c r="K824" t="inlineStr">
        <is>
          <t>Brown, Jonathan, 1939-</t>
        </is>
      </c>
      <c r="L824" t="inlineStr">
        <is>
          <t>New Haven : Yale University Press, c1998.</t>
        </is>
      </c>
      <c r="M824" t="inlineStr">
        <is>
          <t>1998</t>
        </is>
      </c>
      <c r="O824" t="inlineStr">
        <is>
          <t>eng</t>
        </is>
      </c>
      <c r="P824" t="inlineStr">
        <is>
          <t>ctu</t>
        </is>
      </c>
      <c r="R824" t="inlineStr">
        <is>
          <t xml:space="preserve">ND </t>
        </is>
      </c>
      <c r="S824" t="n">
        <v>5</v>
      </c>
      <c r="T824" t="n">
        <v>5</v>
      </c>
      <c r="U824" t="inlineStr">
        <is>
          <t>2003-11-18</t>
        </is>
      </c>
      <c r="V824" t="inlineStr">
        <is>
          <t>2003-11-18</t>
        </is>
      </c>
      <c r="W824" t="inlineStr">
        <is>
          <t>1999-04-21</t>
        </is>
      </c>
      <c r="X824" t="inlineStr">
        <is>
          <t>1999-04-21</t>
        </is>
      </c>
      <c r="Y824" t="n">
        <v>878</v>
      </c>
      <c r="Z824" t="n">
        <v>740</v>
      </c>
      <c r="AA824" t="n">
        <v>802</v>
      </c>
      <c r="AB824" t="n">
        <v>7</v>
      </c>
      <c r="AC824" t="n">
        <v>7</v>
      </c>
      <c r="AD824" t="n">
        <v>33</v>
      </c>
      <c r="AE824" t="n">
        <v>34</v>
      </c>
      <c r="AF824" t="n">
        <v>13</v>
      </c>
      <c r="AG824" t="n">
        <v>13</v>
      </c>
      <c r="AH824" t="n">
        <v>5</v>
      </c>
      <c r="AI824" t="n">
        <v>6</v>
      </c>
      <c r="AJ824" t="n">
        <v>16</v>
      </c>
      <c r="AK824" t="n">
        <v>17</v>
      </c>
      <c r="AL824" t="n">
        <v>6</v>
      </c>
      <c r="AM824" t="n">
        <v>6</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HYPERLINK("https://creighton-primo.hosted.exlibrisgroup.com/primo-explore/search?tab=default_tab&amp;search_scope=EVERYTHING&amp;vid=01CRU&amp;lang=en_US&amp;offset=0&amp;query=any,contains,991002929849702656","Catalog Record")</f>
        <v/>
      </c>
      <c r="AT824">
        <f>HYPERLINK("http://www.worldcat.org/oclc/38948385","WorldCat Record")</f>
        <v/>
      </c>
      <c r="AU824" t="inlineStr">
        <is>
          <t>3856216978:eng</t>
        </is>
      </c>
      <c r="AV824" t="inlineStr">
        <is>
          <t>38948385</t>
        </is>
      </c>
      <c r="AW824" t="inlineStr">
        <is>
          <t>991002929849702656</t>
        </is>
      </c>
      <c r="AX824" t="inlineStr">
        <is>
          <t>991002929849702656</t>
        </is>
      </c>
      <c r="AY824" t="inlineStr">
        <is>
          <t>2264864330002656</t>
        </is>
      </c>
      <c r="AZ824" t="inlineStr">
        <is>
          <t>BOOK</t>
        </is>
      </c>
      <c r="BB824" t="inlineStr">
        <is>
          <t>9780300072938</t>
        </is>
      </c>
      <c r="BC824" t="inlineStr">
        <is>
          <t>32285003554283</t>
        </is>
      </c>
      <c r="BD824" t="inlineStr">
        <is>
          <t>893440700</t>
        </is>
      </c>
    </row>
    <row r="825">
      <c r="A825" t="inlineStr">
        <is>
          <t>No</t>
        </is>
      </c>
      <c r="B825" t="inlineStr">
        <is>
          <t>ND813.V4 C337 2002</t>
        </is>
      </c>
      <c r="C825" t="inlineStr">
        <is>
          <t>0                      ND 0813000V  4                  C  337         2002</t>
        </is>
      </c>
      <c r="D825" t="inlineStr">
        <is>
          <t>The Cambridge companion to Velázquez / edited by Suzanne L. Stratton-Pruitt.</t>
        </is>
      </c>
      <c r="F825" t="inlineStr">
        <is>
          <t>No</t>
        </is>
      </c>
      <c r="G825" t="inlineStr">
        <is>
          <t>1</t>
        </is>
      </c>
      <c r="H825" t="inlineStr">
        <is>
          <t>No</t>
        </is>
      </c>
      <c r="I825" t="inlineStr">
        <is>
          <t>No</t>
        </is>
      </c>
      <c r="J825" t="inlineStr">
        <is>
          <t>0</t>
        </is>
      </c>
      <c r="L825" t="inlineStr">
        <is>
          <t>Cambridge ; New York : Cambridge University Press, 2002.</t>
        </is>
      </c>
      <c r="M825" t="inlineStr">
        <is>
          <t>2002</t>
        </is>
      </c>
      <c r="O825" t="inlineStr">
        <is>
          <t>eng</t>
        </is>
      </c>
      <c r="P825" t="inlineStr">
        <is>
          <t>enk</t>
        </is>
      </c>
      <c r="R825" t="inlineStr">
        <is>
          <t xml:space="preserve">ND </t>
        </is>
      </c>
      <c r="S825" t="n">
        <v>3</v>
      </c>
      <c r="T825" t="n">
        <v>3</v>
      </c>
      <c r="U825" t="inlineStr">
        <is>
          <t>2006-03-02</t>
        </is>
      </c>
      <c r="V825" t="inlineStr">
        <is>
          <t>2006-03-02</t>
        </is>
      </c>
      <c r="W825" t="inlineStr">
        <is>
          <t>2006-02-08</t>
        </is>
      </c>
      <c r="X825" t="inlineStr">
        <is>
          <t>2006-02-08</t>
        </is>
      </c>
      <c r="Y825" t="n">
        <v>539</v>
      </c>
      <c r="Z825" t="n">
        <v>415</v>
      </c>
      <c r="AA825" t="n">
        <v>445</v>
      </c>
      <c r="AB825" t="n">
        <v>3</v>
      </c>
      <c r="AC825" t="n">
        <v>3</v>
      </c>
      <c r="AD825" t="n">
        <v>19</v>
      </c>
      <c r="AE825" t="n">
        <v>20</v>
      </c>
      <c r="AF825" t="n">
        <v>6</v>
      </c>
      <c r="AG825" t="n">
        <v>6</v>
      </c>
      <c r="AH825" t="n">
        <v>2</v>
      </c>
      <c r="AI825" t="n">
        <v>3</v>
      </c>
      <c r="AJ825" t="n">
        <v>11</v>
      </c>
      <c r="AK825" t="n">
        <v>11</v>
      </c>
      <c r="AL825" t="n">
        <v>2</v>
      </c>
      <c r="AM825" t="n">
        <v>2</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HYPERLINK("https://creighton-primo.hosted.exlibrisgroup.com/primo-explore/search?tab=default_tab&amp;search_scope=EVERYTHING&amp;vid=01CRU&amp;lang=en_US&amp;offset=0&amp;query=any,contains,991004718829702656","Catalog Record")</f>
        <v/>
      </c>
      <c r="AT825">
        <f>HYPERLINK("http://www.worldcat.org/oclc/47126770","WorldCat Record")</f>
        <v/>
      </c>
      <c r="AU825" t="inlineStr">
        <is>
          <t>56686781:eng</t>
        </is>
      </c>
      <c r="AV825" t="inlineStr">
        <is>
          <t>47126770</t>
        </is>
      </c>
      <c r="AW825" t="inlineStr">
        <is>
          <t>991004718829702656</t>
        </is>
      </c>
      <c r="AX825" t="inlineStr">
        <is>
          <t>991004718829702656</t>
        </is>
      </c>
      <c r="AY825" t="inlineStr">
        <is>
          <t>2269348250002656</t>
        </is>
      </c>
      <c r="AZ825" t="inlineStr">
        <is>
          <t>BOOK</t>
        </is>
      </c>
      <c r="BB825" t="inlineStr">
        <is>
          <t>9780521660464</t>
        </is>
      </c>
      <c r="BC825" t="inlineStr">
        <is>
          <t>32285005157879</t>
        </is>
      </c>
      <c r="BD825" t="inlineStr">
        <is>
          <t>893722572</t>
        </is>
      </c>
    </row>
    <row r="826">
      <c r="A826" t="inlineStr">
        <is>
          <t>No</t>
        </is>
      </c>
      <c r="B826" t="inlineStr">
        <is>
          <t>ND813.V4 H37 1982</t>
        </is>
      </c>
      <c r="C826" t="inlineStr">
        <is>
          <t>0                      ND 0813000V  4                  H  37          1982</t>
        </is>
      </c>
      <c r="D826" t="inlineStr">
        <is>
          <t>Velázquez / Enriqueta Harris.</t>
        </is>
      </c>
      <c r="F826" t="inlineStr">
        <is>
          <t>No</t>
        </is>
      </c>
      <c r="G826" t="inlineStr">
        <is>
          <t>1</t>
        </is>
      </c>
      <c r="H826" t="inlineStr">
        <is>
          <t>No</t>
        </is>
      </c>
      <c r="I826" t="inlineStr">
        <is>
          <t>No</t>
        </is>
      </c>
      <c r="J826" t="inlineStr">
        <is>
          <t>0</t>
        </is>
      </c>
      <c r="K826" t="inlineStr">
        <is>
          <t>Harris, Enriqueta.</t>
        </is>
      </c>
      <c r="L826" t="inlineStr">
        <is>
          <t>Ithaca, N.Y. : Cornell University Press, 1982.</t>
        </is>
      </c>
      <c r="M826" t="inlineStr">
        <is>
          <t>1982</t>
        </is>
      </c>
      <c r="O826" t="inlineStr">
        <is>
          <t>eng</t>
        </is>
      </c>
      <c r="P826" t="inlineStr">
        <is>
          <t>nyu</t>
        </is>
      </c>
      <c r="R826" t="inlineStr">
        <is>
          <t xml:space="preserve">ND </t>
        </is>
      </c>
      <c r="S826" t="n">
        <v>4</v>
      </c>
      <c r="T826" t="n">
        <v>4</v>
      </c>
      <c r="U826" t="inlineStr">
        <is>
          <t>2004-11-17</t>
        </is>
      </c>
      <c r="V826" t="inlineStr">
        <is>
          <t>2004-11-17</t>
        </is>
      </c>
      <c r="W826" t="inlineStr">
        <is>
          <t>1992-02-11</t>
        </is>
      </c>
      <c r="X826" t="inlineStr">
        <is>
          <t>1992-02-11</t>
        </is>
      </c>
      <c r="Y826" t="n">
        <v>733</v>
      </c>
      <c r="Z826" t="n">
        <v>686</v>
      </c>
      <c r="AA826" t="n">
        <v>693</v>
      </c>
      <c r="AB826" t="n">
        <v>3</v>
      </c>
      <c r="AC826" t="n">
        <v>3</v>
      </c>
      <c r="AD826" t="n">
        <v>25</v>
      </c>
      <c r="AE826" t="n">
        <v>25</v>
      </c>
      <c r="AF826" t="n">
        <v>11</v>
      </c>
      <c r="AG826" t="n">
        <v>11</v>
      </c>
      <c r="AH826" t="n">
        <v>6</v>
      </c>
      <c r="AI826" t="n">
        <v>6</v>
      </c>
      <c r="AJ826" t="n">
        <v>14</v>
      </c>
      <c r="AK826" t="n">
        <v>14</v>
      </c>
      <c r="AL826" t="n">
        <v>1</v>
      </c>
      <c r="AM826" t="n">
        <v>1</v>
      </c>
      <c r="AN826" t="n">
        <v>0</v>
      </c>
      <c r="AO826" t="n">
        <v>0</v>
      </c>
      <c r="AP826" t="inlineStr">
        <is>
          <t>No</t>
        </is>
      </c>
      <c r="AQ826" t="inlineStr">
        <is>
          <t>Yes</t>
        </is>
      </c>
      <c r="AR826">
        <f>HYPERLINK("http://catalog.hathitrust.org/Record/000308505","HathiTrust Record")</f>
        <v/>
      </c>
      <c r="AS826">
        <f>HYPERLINK("https://creighton-primo.hosted.exlibrisgroup.com/primo-explore/search?tab=default_tab&amp;search_scope=EVERYTHING&amp;vid=01CRU&amp;lang=en_US&amp;offset=0&amp;query=any,contains,991000141959702656","Catalog Record")</f>
        <v/>
      </c>
      <c r="AT826">
        <f>HYPERLINK("http://www.worldcat.org/oclc/9160520","WorldCat Record")</f>
        <v/>
      </c>
      <c r="AU826" t="inlineStr">
        <is>
          <t>10678118962:eng</t>
        </is>
      </c>
      <c r="AV826" t="inlineStr">
        <is>
          <t>9160520</t>
        </is>
      </c>
      <c r="AW826" t="inlineStr">
        <is>
          <t>991000141959702656</t>
        </is>
      </c>
      <c r="AX826" t="inlineStr">
        <is>
          <t>991000141959702656</t>
        </is>
      </c>
      <c r="AY826" t="inlineStr">
        <is>
          <t>2261529740002656</t>
        </is>
      </c>
      <c r="AZ826" t="inlineStr">
        <is>
          <t>BOOK</t>
        </is>
      </c>
      <c r="BB826" t="inlineStr">
        <is>
          <t>9780801415265</t>
        </is>
      </c>
      <c r="BC826" t="inlineStr">
        <is>
          <t>32285000946516</t>
        </is>
      </c>
      <c r="BD826" t="inlineStr">
        <is>
          <t>893871453</t>
        </is>
      </c>
    </row>
    <row r="827">
      <c r="A827" t="inlineStr">
        <is>
          <t>No</t>
        </is>
      </c>
      <c r="B827" t="inlineStr">
        <is>
          <t>ND813.V4 L6262 1997</t>
        </is>
      </c>
      <c r="C827" t="inlineStr">
        <is>
          <t>0                      ND 0813000V  4                  L  6262        1997</t>
        </is>
      </c>
      <c r="D827" t="inlineStr">
        <is>
          <t>Velázquez : painter of painters : the complete works / José López-Rey.</t>
        </is>
      </c>
      <c r="F827" t="inlineStr">
        <is>
          <t>No</t>
        </is>
      </c>
      <c r="G827" t="inlineStr">
        <is>
          <t>1</t>
        </is>
      </c>
      <c r="H827" t="inlineStr">
        <is>
          <t>No</t>
        </is>
      </c>
      <c r="I827" t="inlineStr">
        <is>
          <t>No</t>
        </is>
      </c>
      <c r="J827" t="inlineStr">
        <is>
          <t>0</t>
        </is>
      </c>
      <c r="K827" t="inlineStr">
        <is>
          <t>López-Rey, José.</t>
        </is>
      </c>
      <c r="L827" t="inlineStr">
        <is>
          <t>Köln : Taschen : Wildenstein Institute, c1997.</t>
        </is>
      </c>
      <c r="M827" t="inlineStr">
        <is>
          <t>1997</t>
        </is>
      </c>
      <c r="O827" t="inlineStr">
        <is>
          <t>eng</t>
        </is>
      </c>
      <c r="P827" t="inlineStr">
        <is>
          <t xml:space="preserve">gw </t>
        </is>
      </c>
      <c r="R827" t="inlineStr">
        <is>
          <t xml:space="preserve">ND </t>
        </is>
      </c>
      <c r="S827" t="n">
        <v>4</v>
      </c>
      <c r="T827" t="n">
        <v>4</v>
      </c>
      <c r="U827" t="inlineStr">
        <is>
          <t>2003-11-07</t>
        </is>
      </c>
      <c r="V827" t="inlineStr">
        <is>
          <t>2003-11-07</t>
        </is>
      </c>
      <c r="W827" t="inlineStr">
        <is>
          <t>1998-09-24</t>
        </is>
      </c>
      <c r="X827" t="inlineStr">
        <is>
          <t>1998-09-24</t>
        </is>
      </c>
      <c r="Y827" t="n">
        <v>271</v>
      </c>
      <c r="Z827" t="n">
        <v>201</v>
      </c>
      <c r="AA827" t="n">
        <v>203</v>
      </c>
      <c r="AB827" t="n">
        <v>2</v>
      </c>
      <c r="AC827" t="n">
        <v>2</v>
      </c>
      <c r="AD827" t="n">
        <v>12</v>
      </c>
      <c r="AE827" t="n">
        <v>12</v>
      </c>
      <c r="AF827" t="n">
        <v>4</v>
      </c>
      <c r="AG827" t="n">
        <v>4</v>
      </c>
      <c r="AH827" t="n">
        <v>2</v>
      </c>
      <c r="AI827" t="n">
        <v>2</v>
      </c>
      <c r="AJ827" t="n">
        <v>8</v>
      </c>
      <c r="AK827" t="n">
        <v>8</v>
      </c>
      <c r="AL827" t="n">
        <v>1</v>
      </c>
      <c r="AM827" t="n">
        <v>1</v>
      </c>
      <c r="AN827" t="n">
        <v>0</v>
      </c>
      <c r="AO827" t="n">
        <v>0</v>
      </c>
      <c r="AP827" t="inlineStr">
        <is>
          <t>No</t>
        </is>
      </c>
      <c r="AQ827" t="inlineStr">
        <is>
          <t>Yes</t>
        </is>
      </c>
      <c r="AR827">
        <f>HYPERLINK("http://catalog.hathitrust.org/Record/003305900","HathiTrust Record")</f>
        <v/>
      </c>
      <c r="AS827">
        <f>HYPERLINK("https://creighton-primo.hosted.exlibrisgroup.com/primo-explore/search?tab=default_tab&amp;search_scope=EVERYTHING&amp;vid=01CRU&amp;lang=en_US&amp;offset=0&amp;query=any,contains,991002905999702656","Catalog Record")</f>
        <v/>
      </c>
      <c r="AT827">
        <f>HYPERLINK("http://www.worldcat.org/oclc/38370028","WorldCat Record")</f>
        <v/>
      </c>
      <c r="AU827" t="inlineStr">
        <is>
          <t>3857862384:eng</t>
        </is>
      </c>
      <c r="AV827" t="inlineStr">
        <is>
          <t>38370028</t>
        </is>
      </c>
      <c r="AW827" t="inlineStr">
        <is>
          <t>991002905999702656</t>
        </is>
      </c>
      <c r="AX827" t="inlineStr">
        <is>
          <t>991002905999702656</t>
        </is>
      </c>
      <c r="AY827" t="inlineStr">
        <is>
          <t>2264187390002656</t>
        </is>
      </c>
      <c r="AZ827" t="inlineStr">
        <is>
          <t>BOOK</t>
        </is>
      </c>
      <c r="BB827" t="inlineStr">
        <is>
          <t>9783822882771</t>
        </is>
      </c>
      <c r="BC827" t="inlineStr">
        <is>
          <t>32285003470852</t>
        </is>
      </c>
      <c r="BD827" t="inlineStr">
        <is>
          <t>893445438</t>
        </is>
      </c>
    </row>
    <row r="828">
      <c r="A828" t="inlineStr">
        <is>
          <t>No</t>
        </is>
      </c>
      <c r="B828" t="inlineStr">
        <is>
          <t>ND813.V4 L627 1968b</t>
        </is>
      </c>
      <c r="C828" t="inlineStr">
        <is>
          <t>0                      ND 0813000V  4                  L  627         1968b</t>
        </is>
      </c>
      <c r="D828" t="inlineStr">
        <is>
          <t>Velázquez' work and world.</t>
        </is>
      </c>
      <c r="F828" t="inlineStr">
        <is>
          <t>No</t>
        </is>
      </c>
      <c r="G828" t="inlineStr">
        <is>
          <t>1</t>
        </is>
      </c>
      <c r="H828" t="inlineStr">
        <is>
          <t>No</t>
        </is>
      </c>
      <c r="I828" t="inlineStr">
        <is>
          <t>No</t>
        </is>
      </c>
      <c r="J828" t="inlineStr">
        <is>
          <t>0</t>
        </is>
      </c>
      <c r="K828" t="inlineStr">
        <is>
          <t>López-Rey, José.</t>
        </is>
      </c>
      <c r="L828" t="inlineStr">
        <is>
          <t>Greenwich, Conn., New York Graphic Society [1968]</t>
        </is>
      </c>
      <c r="M828" t="inlineStr">
        <is>
          <t>1968</t>
        </is>
      </c>
      <c r="O828" t="inlineStr">
        <is>
          <t>eng</t>
        </is>
      </c>
      <c r="P828" t="inlineStr">
        <is>
          <t>ctu</t>
        </is>
      </c>
      <c r="R828" t="inlineStr">
        <is>
          <t xml:space="preserve">ND </t>
        </is>
      </c>
      <c r="S828" t="n">
        <v>5</v>
      </c>
      <c r="T828" t="n">
        <v>5</v>
      </c>
      <c r="U828" t="inlineStr">
        <is>
          <t>2003-11-22</t>
        </is>
      </c>
      <c r="V828" t="inlineStr">
        <is>
          <t>2003-11-22</t>
        </is>
      </c>
      <c r="W828" t="inlineStr">
        <is>
          <t>1997-08-05</t>
        </is>
      </c>
      <c r="X828" t="inlineStr">
        <is>
          <t>1997-08-05</t>
        </is>
      </c>
      <c r="Y828" t="n">
        <v>608</v>
      </c>
      <c r="Z828" t="n">
        <v>575</v>
      </c>
      <c r="AA828" t="n">
        <v>698</v>
      </c>
      <c r="AB828" t="n">
        <v>5</v>
      </c>
      <c r="AC828" t="n">
        <v>7</v>
      </c>
      <c r="AD828" t="n">
        <v>20</v>
      </c>
      <c r="AE828" t="n">
        <v>26</v>
      </c>
      <c r="AF828" t="n">
        <v>7</v>
      </c>
      <c r="AG828" t="n">
        <v>9</v>
      </c>
      <c r="AH828" t="n">
        <v>4</v>
      </c>
      <c r="AI828" t="n">
        <v>4</v>
      </c>
      <c r="AJ828" t="n">
        <v>9</v>
      </c>
      <c r="AK828" t="n">
        <v>11</v>
      </c>
      <c r="AL828" t="n">
        <v>3</v>
      </c>
      <c r="AM828" t="n">
        <v>5</v>
      </c>
      <c r="AN828" t="n">
        <v>0</v>
      </c>
      <c r="AO828" t="n">
        <v>0</v>
      </c>
      <c r="AP828" t="inlineStr">
        <is>
          <t>No</t>
        </is>
      </c>
      <c r="AQ828" t="inlineStr">
        <is>
          <t>Yes</t>
        </is>
      </c>
      <c r="AR828">
        <f>HYPERLINK("http://catalog.hathitrust.org/Record/000650243","HathiTrust Record")</f>
        <v/>
      </c>
      <c r="AS828">
        <f>HYPERLINK("https://creighton-primo.hosted.exlibrisgroup.com/primo-explore/search?tab=default_tab&amp;search_scope=EVERYTHING&amp;vid=01CRU&amp;lang=en_US&amp;offset=0&amp;query=any,contains,991000006449702656","Catalog Record")</f>
        <v/>
      </c>
      <c r="AT828">
        <f>HYPERLINK("http://www.worldcat.org/oclc/13586","WorldCat Record")</f>
        <v/>
      </c>
      <c r="AU828" t="inlineStr">
        <is>
          <t>1136362:eng</t>
        </is>
      </c>
      <c r="AV828" t="inlineStr">
        <is>
          <t>13586</t>
        </is>
      </c>
      <c r="AW828" t="inlineStr">
        <is>
          <t>991000006449702656</t>
        </is>
      </c>
      <c r="AX828" t="inlineStr">
        <is>
          <t>991000006449702656</t>
        </is>
      </c>
      <c r="AY828" t="inlineStr">
        <is>
          <t>2264373760002656</t>
        </is>
      </c>
      <c r="AZ828" t="inlineStr">
        <is>
          <t>BOOK</t>
        </is>
      </c>
      <c r="BC828" t="inlineStr">
        <is>
          <t>32285002969474</t>
        </is>
      </c>
      <c r="BD828" t="inlineStr">
        <is>
          <t>893255099</t>
        </is>
      </c>
    </row>
    <row r="829">
      <c r="A829" t="inlineStr">
        <is>
          <t>No</t>
        </is>
      </c>
      <c r="B829" t="inlineStr">
        <is>
          <t>ND813.V4 M35 1988</t>
        </is>
      </c>
      <c r="C829" t="inlineStr">
        <is>
          <t>0                      ND 0813000V  4                  M  35          1988</t>
        </is>
      </c>
      <c r="D829" t="inlineStr">
        <is>
          <t>Examining Velázquez / Gridley McKim-Smith, Greta Andersen-Bergdoll, Richard Newman ; with technical photography by Andrew Davidhazy.</t>
        </is>
      </c>
      <c r="F829" t="inlineStr">
        <is>
          <t>No</t>
        </is>
      </c>
      <c r="G829" t="inlineStr">
        <is>
          <t>1</t>
        </is>
      </c>
      <c r="H829" t="inlineStr">
        <is>
          <t>No</t>
        </is>
      </c>
      <c r="I829" t="inlineStr">
        <is>
          <t>No</t>
        </is>
      </c>
      <c r="J829" t="inlineStr">
        <is>
          <t>0</t>
        </is>
      </c>
      <c r="K829" t="inlineStr">
        <is>
          <t>McKim-Smith, Gridley, 1943-2013.</t>
        </is>
      </c>
      <c r="L829" t="inlineStr">
        <is>
          <t>New Haven : Yale University Press, c1988.</t>
        </is>
      </c>
      <c r="M829" t="inlineStr">
        <is>
          <t>1988</t>
        </is>
      </c>
      <c r="O829" t="inlineStr">
        <is>
          <t>eng</t>
        </is>
      </c>
      <c r="P829" t="inlineStr">
        <is>
          <t>ctu</t>
        </is>
      </c>
      <c r="R829" t="inlineStr">
        <is>
          <t xml:space="preserve">ND </t>
        </is>
      </c>
      <c r="S829" t="n">
        <v>3</v>
      </c>
      <c r="T829" t="n">
        <v>3</v>
      </c>
      <c r="U829" t="inlineStr">
        <is>
          <t>2003-11-11</t>
        </is>
      </c>
      <c r="V829" t="inlineStr">
        <is>
          <t>2003-11-11</t>
        </is>
      </c>
      <c r="W829" t="inlineStr">
        <is>
          <t>1992-08-26</t>
        </is>
      </c>
      <c r="X829" t="inlineStr">
        <is>
          <t>1992-08-26</t>
        </is>
      </c>
      <c r="Y829" t="n">
        <v>686</v>
      </c>
      <c r="Z829" t="n">
        <v>559</v>
      </c>
      <c r="AA829" t="n">
        <v>559</v>
      </c>
      <c r="AB829" t="n">
        <v>5</v>
      </c>
      <c r="AC829" t="n">
        <v>5</v>
      </c>
      <c r="AD829" t="n">
        <v>28</v>
      </c>
      <c r="AE829" t="n">
        <v>28</v>
      </c>
      <c r="AF829" t="n">
        <v>12</v>
      </c>
      <c r="AG829" t="n">
        <v>12</v>
      </c>
      <c r="AH829" t="n">
        <v>8</v>
      </c>
      <c r="AI829" t="n">
        <v>8</v>
      </c>
      <c r="AJ829" t="n">
        <v>13</v>
      </c>
      <c r="AK829" t="n">
        <v>13</v>
      </c>
      <c r="AL829" t="n">
        <v>3</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HYPERLINK("https://creighton-primo.hosted.exlibrisgroup.com/primo-explore/search?tab=default_tab&amp;search_scope=EVERYTHING&amp;vid=01CRU&amp;lang=en_US&amp;offset=0&amp;query=any,contains,991001206049702656","Catalog Record")</f>
        <v/>
      </c>
      <c r="AT829">
        <f>HYPERLINK("http://www.worldcat.org/oclc/17353695","WorldCat Record")</f>
        <v/>
      </c>
      <c r="AU829" t="inlineStr">
        <is>
          <t>15446100:eng</t>
        </is>
      </c>
      <c r="AV829" t="inlineStr">
        <is>
          <t>17353695</t>
        </is>
      </c>
      <c r="AW829" t="inlineStr">
        <is>
          <t>991001206049702656</t>
        </is>
      </c>
      <c r="AX829" t="inlineStr">
        <is>
          <t>991001206049702656</t>
        </is>
      </c>
      <c r="AY829" t="inlineStr">
        <is>
          <t>2265460960002656</t>
        </is>
      </c>
      <c r="AZ829" t="inlineStr">
        <is>
          <t>BOOK</t>
        </is>
      </c>
      <c r="BB829" t="inlineStr">
        <is>
          <t>9780300036152</t>
        </is>
      </c>
      <c r="BC829" t="inlineStr">
        <is>
          <t>32285001199487</t>
        </is>
      </c>
      <c r="BD829" t="inlineStr">
        <is>
          <t>893515989</t>
        </is>
      </c>
    </row>
    <row r="830">
      <c r="A830" t="inlineStr">
        <is>
          <t>No</t>
        </is>
      </c>
      <c r="B830" t="inlineStr">
        <is>
          <t>ND813.V4 T74</t>
        </is>
      </c>
      <c r="C830" t="inlineStr">
        <is>
          <t>0                      ND 0813000V  4                  T  74</t>
        </is>
      </c>
      <c r="D830" t="inlineStr">
        <is>
          <t>Velasquez, by Philip Troutman.</t>
        </is>
      </c>
      <c r="F830" t="inlineStr">
        <is>
          <t>No</t>
        </is>
      </c>
      <c r="G830" t="inlineStr">
        <is>
          <t>1</t>
        </is>
      </c>
      <c r="H830" t="inlineStr">
        <is>
          <t>No</t>
        </is>
      </c>
      <c r="I830" t="inlineStr">
        <is>
          <t>No</t>
        </is>
      </c>
      <c r="J830" t="inlineStr">
        <is>
          <t>0</t>
        </is>
      </c>
      <c r="K830" t="inlineStr">
        <is>
          <t>Velázquez, Diego, 1599-1660.</t>
        </is>
      </c>
      <c r="L830" t="inlineStr">
        <is>
          <t>London, Spring Books [1965]</t>
        </is>
      </c>
      <c r="M830" t="inlineStr">
        <is>
          <t>1965</t>
        </is>
      </c>
      <c r="O830" t="inlineStr">
        <is>
          <t>eng</t>
        </is>
      </c>
      <c r="P830" t="inlineStr">
        <is>
          <t>enk</t>
        </is>
      </c>
      <c r="Q830" t="inlineStr">
        <is>
          <t>Spring art books</t>
        </is>
      </c>
      <c r="R830" t="inlineStr">
        <is>
          <t xml:space="preserve">ND </t>
        </is>
      </c>
      <c r="S830" t="n">
        <v>1</v>
      </c>
      <c r="T830" t="n">
        <v>1</v>
      </c>
      <c r="U830" t="inlineStr">
        <is>
          <t>2004-11-17</t>
        </is>
      </c>
      <c r="V830" t="inlineStr">
        <is>
          <t>2004-11-17</t>
        </is>
      </c>
      <c r="W830" t="inlineStr">
        <is>
          <t>1997-08-05</t>
        </is>
      </c>
      <c r="X830" t="inlineStr">
        <is>
          <t>1997-08-05</t>
        </is>
      </c>
      <c r="Y830" t="n">
        <v>682</v>
      </c>
      <c r="Z830" t="n">
        <v>580</v>
      </c>
      <c r="AA830" t="n">
        <v>585</v>
      </c>
      <c r="AB830" t="n">
        <v>3</v>
      </c>
      <c r="AC830" t="n">
        <v>3</v>
      </c>
      <c r="AD830" t="n">
        <v>12</v>
      </c>
      <c r="AE830" t="n">
        <v>12</v>
      </c>
      <c r="AF830" t="n">
        <v>4</v>
      </c>
      <c r="AG830" t="n">
        <v>4</v>
      </c>
      <c r="AH830" t="n">
        <v>2</v>
      </c>
      <c r="AI830" t="n">
        <v>2</v>
      </c>
      <c r="AJ830" t="n">
        <v>6</v>
      </c>
      <c r="AK830" t="n">
        <v>6</v>
      </c>
      <c r="AL830" t="n">
        <v>2</v>
      </c>
      <c r="AM830" t="n">
        <v>2</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HYPERLINK("https://creighton-primo.hosted.exlibrisgroup.com/primo-explore/search?tab=default_tab&amp;search_scope=EVERYTHING&amp;vid=01CRU&amp;lang=en_US&amp;offset=0&amp;query=any,contains,991002188569702656","Catalog Record")</f>
        <v/>
      </c>
      <c r="AT830">
        <f>HYPERLINK("http://www.worldcat.org/oclc/280532","WorldCat Record")</f>
        <v/>
      </c>
      <c r="AU830" t="inlineStr">
        <is>
          <t>4927928828:eng</t>
        </is>
      </c>
      <c r="AV830" t="inlineStr">
        <is>
          <t>280532</t>
        </is>
      </c>
      <c r="AW830" t="inlineStr">
        <is>
          <t>991002188569702656</t>
        </is>
      </c>
      <c r="AX830" t="inlineStr">
        <is>
          <t>991002188569702656</t>
        </is>
      </c>
      <c r="AY830" t="inlineStr">
        <is>
          <t>2265200810002656</t>
        </is>
      </c>
      <c r="AZ830" t="inlineStr">
        <is>
          <t>BOOK</t>
        </is>
      </c>
      <c r="BC830" t="inlineStr">
        <is>
          <t>32285002969490</t>
        </is>
      </c>
      <c r="BD830" t="inlineStr">
        <is>
          <t>893427308</t>
        </is>
      </c>
    </row>
    <row r="831">
      <c r="A831" t="inlineStr">
        <is>
          <t>No</t>
        </is>
      </c>
      <c r="B831" t="inlineStr">
        <is>
          <t>ND813.Z85 B76</t>
        </is>
      </c>
      <c r="C831" t="inlineStr">
        <is>
          <t>0                      ND 0813000Z  85                 B  76</t>
        </is>
      </c>
      <c r="D831" t="inlineStr">
        <is>
          <t>Francisco de Zurbarán.</t>
        </is>
      </c>
      <c r="F831" t="inlineStr">
        <is>
          <t>No</t>
        </is>
      </c>
      <c r="G831" t="inlineStr">
        <is>
          <t>1</t>
        </is>
      </c>
      <c r="H831" t="inlineStr">
        <is>
          <t>No</t>
        </is>
      </c>
      <c r="I831" t="inlineStr">
        <is>
          <t>No</t>
        </is>
      </c>
      <c r="J831" t="inlineStr">
        <is>
          <t>0</t>
        </is>
      </c>
      <c r="K831" t="inlineStr">
        <is>
          <t>Brown, Jonathan, 1939-</t>
        </is>
      </c>
      <c r="L831" t="inlineStr">
        <is>
          <t>New York : H. N. Abrams, [1974]</t>
        </is>
      </c>
      <c r="M831" t="inlineStr">
        <is>
          <t>1974</t>
        </is>
      </c>
      <c r="O831" t="inlineStr">
        <is>
          <t>eng</t>
        </is>
      </c>
      <c r="P831" t="inlineStr">
        <is>
          <t>nyu</t>
        </is>
      </c>
      <c r="Q831" t="inlineStr">
        <is>
          <t>The Library of great painters</t>
        </is>
      </c>
      <c r="R831" t="inlineStr">
        <is>
          <t xml:space="preserve">ND </t>
        </is>
      </c>
      <c r="S831" t="n">
        <v>8</v>
      </c>
      <c r="T831" t="n">
        <v>8</v>
      </c>
      <c r="U831" t="inlineStr">
        <is>
          <t>2005-04-06</t>
        </is>
      </c>
      <c r="V831" t="inlineStr">
        <is>
          <t>2005-04-06</t>
        </is>
      </c>
      <c r="W831" t="inlineStr">
        <is>
          <t>1992-05-08</t>
        </is>
      </c>
      <c r="X831" t="inlineStr">
        <is>
          <t>1992-05-08</t>
        </is>
      </c>
      <c r="Y831" t="n">
        <v>659</v>
      </c>
      <c r="Z831" t="n">
        <v>557</v>
      </c>
      <c r="AA831" t="n">
        <v>563</v>
      </c>
      <c r="AB831" t="n">
        <v>2</v>
      </c>
      <c r="AC831" t="n">
        <v>2</v>
      </c>
      <c r="AD831" t="n">
        <v>13</v>
      </c>
      <c r="AE831" t="n">
        <v>13</v>
      </c>
      <c r="AF831" t="n">
        <v>4</v>
      </c>
      <c r="AG831" t="n">
        <v>4</v>
      </c>
      <c r="AH831" t="n">
        <v>4</v>
      </c>
      <c r="AI831" t="n">
        <v>4</v>
      </c>
      <c r="AJ831" t="n">
        <v>5</v>
      </c>
      <c r="AK831" t="n">
        <v>5</v>
      </c>
      <c r="AL831" t="n">
        <v>1</v>
      </c>
      <c r="AM831" t="n">
        <v>1</v>
      </c>
      <c r="AN831" t="n">
        <v>0</v>
      </c>
      <c r="AO831" t="n">
        <v>0</v>
      </c>
      <c r="AP831" t="inlineStr">
        <is>
          <t>No</t>
        </is>
      </c>
      <c r="AQ831" t="inlineStr">
        <is>
          <t>Yes</t>
        </is>
      </c>
      <c r="AR831">
        <f>HYPERLINK("http://catalog.hathitrust.org/Record/000650310","HathiTrust Record")</f>
        <v/>
      </c>
      <c r="AS831">
        <f>HYPERLINK("https://creighton-primo.hosted.exlibrisgroup.com/primo-explore/search?tab=default_tab&amp;search_scope=EVERYTHING&amp;vid=01CRU&amp;lang=en_US&amp;offset=0&amp;query=any,contains,991003123669702656","Catalog Record")</f>
        <v/>
      </c>
      <c r="AT831">
        <f>HYPERLINK("http://www.worldcat.org/oclc/668563","WorldCat Record")</f>
        <v/>
      </c>
      <c r="AU831" t="inlineStr">
        <is>
          <t>16159639:eng</t>
        </is>
      </c>
      <c r="AV831" t="inlineStr">
        <is>
          <t>668563</t>
        </is>
      </c>
      <c r="AW831" t="inlineStr">
        <is>
          <t>991003123669702656</t>
        </is>
      </c>
      <c r="AX831" t="inlineStr">
        <is>
          <t>991003123669702656</t>
        </is>
      </c>
      <c r="AY831" t="inlineStr">
        <is>
          <t>2255049380002656</t>
        </is>
      </c>
      <c r="AZ831" t="inlineStr">
        <is>
          <t>BOOK</t>
        </is>
      </c>
      <c r="BB831" t="inlineStr">
        <is>
          <t>9780810905498</t>
        </is>
      </c>
      <c r="BC831" t="inlineStr">
        <is>
          <t>32285001105021</t>
        </is>
      </c>
      <c r="BD831" t="inlineStr">
        <is>
          <t>893348361</t>
        </is>
      </c>
    </row>
    <row r="832">
      <c r="A832" t="inlineStr">
        <is>
          <t>No</t>
        </is>
      </c>
      <c r="B832" t="inlineStr">
        <is>
          <t>ND853.F87 T65</t>
        </is>
      </c>
      <c r="C832" t="inlineStr">
        <is>
          <t>0                      ND 0853000F  87                 T  65</t>
        </is>
      </c>
      <c r="D832" t="inlineStr">
        <is>
          <t>The life and art of Henry Fuseli [by] Peter Tomory.</t>
        </is>
      </c>
      <c r="F832" t="inlineStr">
        <is>
          <t>No</t>
        </is>
      </c>
      <c r="G832" t="inlineStr">
        <is>
          <t>1</t>
        </is>
      </c>
      <c r="H832" t="inlineStr">
        <is>
          <t>No</t>
        </is>
      </c>
      <c r="I832" t="inlineStr">
        <is>
          <t>No</t>
        </is>
      </c>
      <c r="J832" t="inlineStr">
        <is>
          <t>0</t>
        </is>
      </c>
      <c r="K832" t="inlineStr">
        <is>
          <t>Tomory, P. A., 1922-2008.</t>
        </is>
      </c>
      <c r="L832" t="inlineStr">
        <is>
          <t>New York, Praeger [1972]</t>
        </is>
      </c>
      <c r="M832" t="inlineStr">
        <is>
          <t>1972</t>
        </is>
      </c>
      <c r="O832" t="inlineStr">
        <is>
          <t>eng</t>
        </is>
      </c>
      <c r="P832" t="inlineStr">
        <is>
          <t>nyu</t>
        </is>
      </c>
      <c r="R832" t="inlineStr">
        <is>
          <t xml:space="preserve">ND </t>
        </is>
      </c>
      <c r="S832" t="n">
        <v>7</v>
      </c>
      <c r="T832" t="n">
        <v>7</v>
      </c>
      <c r="U832" t="inlineStr">
        <is>
          <t>2010-03-31</t>
        </is>
      </c>
      <c r="V832" t="inlineStr">
        <is>
          <t>2010-03-31</t>
        </is>
      </c>
      <c r="W832" t="inlineStr">
        <is>
          <t>1997-08-05</t>
        </is>
      </c>
      <c r="X832" t="inlineStr">
        <is>
          <t>1997-08-05</t>
        </is>
      </c>
      <c r="Y832" t="n">
        <v>622</v>
      </c>
      <c r="Z832" t="n">
        <v>588</v>
      </c>
      <c r="AA832" t="n">
        <v>641</v>
      </c>
      <c r="AB832" t="n">
        <v>5</v>
      </c>
      <c r="AC832" t="n">
        <v>5</v>
      </c>
      <c r="AD832" t="n">
        <v>22</v>
      </c>
      <c r="AE832" t="n">
        <v>24</v>
      </c>
      <c r="AF832" t="n">
        <v>9</v>
      </c>
      <c r="AG832" t="n">
        <v>10</v>
      </c>
      <c r="AH832" t="n">
        <v>7</v>
      </c>
      <c r="AI832" t="n">
        <v>7</v>
      </c>
      <c r="AJ832" t="n">
        <v>9</v>
      </c>
      <c r="AK832" t="n">
        <v>11</v>
      </c>
      <c r="AL832" t="n">
        <v>3</v>
      </c>
      <c r="AM832" t="n">
        <v>3</v>
      </c>
      <c r="AN832" t="n">
        <v>0</v>
      </c>
      <c r="AO832" t="n">
        <v>0</v>
      </c>
      <c r="AP832" t="inlineStr">
        <is>
          <t>No</t>
        </is>
      </c>
      <c r="AQ832" t="inlineStr">
        <is>
          <t>Yes</t>
        </is>
      </c>
      <c r="AR832">
        <f>HYPERLINK("http://catalog.hathitrust.org/Record/004504939","HathiTrust Record")</f>
        <v/>
      </c>
      <c r="AS832">
        <f>HYPERLINK("https://creighton-primo.hosted.exlibrisgroup.com/primo-explore/search?tab=default_tab&amp;search_scope=EVERYTHING&amp;vid=01CRU&amp;lang=en_US&amp;offset=0&amp;query=any,contains,991002970429702656","Catalog Record")</f>
        <v/>
      </c>
      <c r="AT832">
        <f>HYPERLINK("http://www.worldcat.org/oclc/548264","WorldCat Record")</f>
        <v/>
      </c>
      <c r="AU832" t="inlineStr">
        <is>
          <t>138593508:eng</t>
        </is>
      </c>
      <c r="AV832" t="inlineStr">
        <is>
          <t>548264</t>
        </is>
      </c>
      <c r="AW832" t="inlineStr">
        <is>
          <t>991002970429702656</t>
        </is>
      </c>
      <c r="AX832" t="inlineStr">
        <is>
          <t>991002970429702656</t>
        </is>
      </c>
      <c r="AY832" t="inlineStr">
        <is>
          <t>2262691400002656</t>
        </is>
      </c>
      <c r="AZ832" t="inlineStr">
        <is>
          <t>BOOK</t>
        </is>
      </c>
      <c r="BC832" t="inlineStr">
        <is>
          <t>32285002969524</t>
        </is>
      </c>
      <c r="BD832" t="inlineStr">
        <is>
          <t>893428289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