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6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NE1050 .L43</t>
        </is>
      </c>
      <c r="C2" t="inlineStr">
        <is>
          <t>0                      NE 1050000L  43</t>
        </is>
      </c>
      <c r="D2" t="inlineStr">
        <is>
          <t>An introduction to the woodcut of the seventeenth century / by Hellmut Lehmann-Haupt ; with a discussion of the German woodcut broadsides of the seventeenth century by Ingeborg Lehmann-Haupt.</t>
        </is>
      </c>
      <c r="F2" t="inlineStr">
        <is>
          <t>No</t>
        </is>
      </c>
      <c r="G2" t="inlineStr">
        <is>
          <t>1</t>
        </is>
      </c>
      <c r="H2" t="inlineStr">
        <is>
          <t>No</t>
        </is>
      </c>
      <c r="I2" t="inlineStr">
        <is>
          <t>No</t>
        </is>
      </c>
      <c r="J2" t="inlineStr">
        <is>
          <t>0</t>
        </is>
      </c>
      <c r="K2" t="inlineStr">
        <is>
          <t>Lehmann-Haupt, Hellmut, 1903-1992.</t>
        </is>
      </c>
      <c r="L2" t="inlineStr">
        <is>
          <t>New York : Abaris Books, c1977.</t>
        </is>
      </c>
      <c r="M2" t="inlineStr">
        <is>
          <t>1977</t>
        </is>
      </c>
      <c r="O2" t="inlineStr">
        <is>
          <t>eng</t>
        </is>
      </c>
      <c r="P2" t="inlineStr">
        <is>
          <t>nyu</t>
        </is>
      </c>
      <c r="R2" t="inlineStr">
        <is>
          <t xml:space="preserve">NE </t>
        </is>
      </c>
      <c r="S2" t="n">
        <v>5</v>
      </c>
      <c r="T2" t="n">
        <v>5</v>
      </c>
      <c r="U2" t="inlineStr">
        <is>
          <t>1997-05-29</t>
        </is>
      </c>
      <c r="V2" t="inlineStr">
        <is>
          <t>1997-05-29</t>
        </is>
      </c>
      <c r="W2" t="inlineStr">
        <is>
          <t>1993-06-01</t>
        </is>
      </c>
      <c r="X2" t="inlineStr">
        <is>
          <t>1993-06-01</t>
        </is>
      </c>
      <c r="Y2" t="n">
        <v>391</v>
      </c>
      <c r="Z2" t="n">
        <v>295</v>
      </c>
      <c r="AA2" t="n">
        <v>296</v>
      </c>
      <c r="AB2" t="n">
        <v>3</v>
      </c>
      <c r="AC2" t="n">
        <v>3</v>
      </c>
      <c r="AD2" t="n">
        <v>11</v>
      </c>
      <c r="AE2" t="n">
        <v>11</v>
      </c>
      <c r="AF2" t="n">
        <v>6</v>
      </c>
      <c r="AG2" t="n">
        <v>6</v>
      </c>
      <c r="AH2" t="n">
        <v>3</v>
      </c>
      <c r="AI2" t="n">
        <v>3</v>
      </c>
      <c r="AJ2" t="n">
        <v>3</v>
      </c>
      <c r="AK2" t="n">
        <v>3</v>
      </c>
      <c r="AL2" t="n">
        <v>2</v>
      </c>
      <c r="AM2" t="n">
        <v>2</v>
      </c>
      <c r="AN2" t="n">
        <v>0</v>
      </c>
      <c r="AO2" t="n">
        <v>0</v>
      </c>
      <c r="AP2" t="inlineStr">
        <is>
          <t>No</t>
        </is>
      </c>
      <c r="AQ2" t="inlineStr">
        <is>
          <t>Yes</t>
        </is>
      </c>
      <c r="AR2">
        <f>HYPERLINK("http://catalog.hathitrust.org/Record/000218661","HathiTrust Record")</f>
        <v/>
      </c>
      <c r="AS2">
        <f>HYPERLINK("https://creighton-primo.hosted.exlibrisgroup.com/primo-explore/search?tab=default_tab&amp;search_scope=EVERYTHING&amp;vid=01CRU&amp;lang=en_US&amp;offset=0&amp;query=any,contains,991004624469702656","Catalog Record")</f>
        <v/>
      </c>
      <c r="AT2">
        <f>HYPERLINK("http://www.worldcat.org/oclc/4325668","WorldCat Record")</f>
        <v/>
      </c>
      <c r="AU2" t="inlineStr">
        <is>
          <t>558630:eng</t>
        </is>
      </c>
      <c r="AV2" t="inlineStr">
        <is>
          <t>4325668</t>
        </is>
      </c>
      <c r="AW2" t="inlineStr">
        <is>
          <t>991004624469702656</t>
        </is>
      </c>
      <c r="AX2" t="inlineStr">
        <is>
          <t>991004624469702656</t>
        </is>
      </c>
      <c r="AY2" t="inlineStr">
        <is>
          <t>2260417760002656</t>
        </is>
      </c>
      <c r="AZ2" t="inlineStr">
        <is>
          <t>BOOK</t>
        </is>
      </c>
      <c r="BB2" t="inlineStr">
        <is>
          <t>9780913870495</t>
        </is>
      </c>
      <c r="BC2" t="inlineStr">
        <is>
          <t>32285001715589</t>
        </is>
      </c>
      <c r="BD2" t="inlineStr">
        <is>
          <t>893788928</t>
        </is>
      </c>
    </row>
    <row r="3">
      <c r="A3" t="inlineStr">
        <is>
          <t>No</t>
        </is>
      </c>
      <c r="B3" t="inlineStr">
        <is>
          <t>NE1112.E32 A4 1992</t>
        </is>
      </c>
      <c r="C3" t="inlineStr">
        <is>
          <t>0                      NE 1112000E  32                 A  4           1992</t>
        </is>
      </c>
      <c r="D3" t="inlineStr">
        <is>
          <t>Works of mercy / Fritz Eichenberg ; edited by Robert Ellsberg.</t>
        </is>
      </c>
      <c r="F3" t="inlineStr">
        <is>
          <t>No</t>
        </is>
      </c>
      <c r="G3" t="inlineStr">
        <is>
          <t>1</t>
        </is>
      </c>
      <c r="H3" t="inlineStr">
        <is>
          <t>No</t>
        </is>
      </c>
      <c r="I3" t="inlineStr">
        <is>
          <t>No</t>
        </is>
      </c>
      <c r="J3" t="inlineStr">
        <is>
          <t>0</t>
        </is>
      </c>
      <c r="K3" t="inlineStr">
        <is>
          <t>Eichenberg, Fritz, 1901-1990.</t>
        </is>
      </c>
      <c r="L3" t="inlineStr">
        <is>
          <t>Maryknoll, NY : Orbis Books, c1992.</t>
        </is>
      </c>
      <c r="M3" t="inlineStr">
        <is>
          <t>1992</t>
        </is>
      </c>
      <c r="O3" t="inlineStr">
        <is>
          <t>eng</t>
        </is>
      </c>
      <c r="P3" t="inlineStr">
        <is>
          <t>nyu</t>
        </is>
      </c>
      <c r="R3" t="inlineStr">
        <is>
          <t xml:space="preserve">NE </t>
        </is>
      </c>
      <c r="S3" t="n">
        <v>10</v>
      </c>
      <c r="T3" t="n">
        <v>10</v>
      </c>
      <c r="U3" t="inlineStr">
        <is>
          <t>2010-09-24</t>
        </is>
      </c>
      <c r="V3" t="inlineStr">
        <is>
          <t>2010-09-24</t>
        </is>
      </c>
      <c r="W3" t="inlineStr">
        <is>
          <t>1995-11-02</t>
        </is>
      </c>
      <c r="X3" t="inlineStr">
        <is>
          <t>1995-11-02</t>
        </is>
      </c>
      <c r="Y3" t="n">
        <v>322</v>
      </c>
      <c r="Z3" t="n">
        <v>293</v>
      </c>
      <c r="AA3" t="n">
        <v>321</v>
      </c>
      <c r="AB3" t="n">
        <v>3</v>
      </c>
      <c r="AC3" t="n">
        <v>3</v>
      </c>
      <c r="AD3" t="n">
        <v>23</v>
      </c>
      <c r="AE3" t="n">
        <v>24</v>
      </c>
      <c r="AF3" t="n">
        <v>7</v>
      </c>
      <c r="AG3" t="n">
        <v>7</v>
      </c>
      <c r="AH3" t="n">
        <v>6</v>
      </c>
      <c r="AI3" t="n">
        <v>7</v>
      </c>
      <c r="AJ3" t="n">
        <v>14</v>
      </c>
      <c r="AK3" t="n">
        <v>14</v>
      </c>
      <c r="AL3" t="n">
        <v>1</v>
      </c>
      <c r="AM3" t="n">
        <v>1</v>
      </c>
      <c r="AN3" t="n">
        <v>0</v>
      </c>
      <c r="AO3" t="n">
        <v>0</v>
      </c>
      <c r="AP3" t="inlineStr">
        <is>
          <t>No</t>
        </is>
      </c>
      <c r="AQ3" t="inlineStr">
        <is>
          <t>Yes</t>
        </is>
      </c>
      <c r="AR3">
        <f>HYPERLINK("http://catalog.hathitrust.org/Record/002710273","HathiTrust Record")</f>
        <v/>
      </c>
      <c r="AS3">
        <f>HYPERLINK("https://creighton-primo.hosted.exlibrisgroup.com/primo-explore/search?tab=default_tab&amp;search_scope=EVERYTHING&amp;vid=01CRU&amp;lang=en_US&amp;offset=0&amp;query=any,contains,991002038089702656","Catalog Record")</f>
        <v/>
      </c>
      <c r="AT3">
        <f>HYPERLINK("http://www.worldcat.org/oclc/26012334","WorldCat Record")</f>
        <v/>
      </c>
      <c r="AU3" t="inlineStr">
        <is>
          <t>359202:eng</t>
        </is>
      </c>
      <c r="AV3" t="inlineStr">
        <is>
          <t>26012334</t>
        </is>
      </c>
      <c r="AW3" t="inlineStr">
        <is>
          <t>991002038089702656</t>
        </is>
      </c>
      <c r="AX3" t="inlineStr">
        <is>
          <t>991002038089702656</t>
        </is>
      </c>
      <c r="AY3" t="inlineStr">
        <is>
          <t>2261140220002656</t>
        </is>
      </c>
      <c r="AZ3" t="inlineStr">
        <is>
          <t>BOOK</t>
        </is>
      </c>
      <c r="BB3" t="inlineStr">
        <is>
          <t>9780883448281</t>
        </is>
      </c>
      <c r="BC3" t="inlineStr">
        <is>
          <t>32285002099892</t>
        </is>
      </c>
      <c r="BD3" t="inlineStr">
        <is>
          <t>893892052</t>
        </is>
      </c>
    </row>
    <row r="4">
      <c r="A4" t="inlineStr">
        <is>
          <t>No</t>
        </is>
      </c>
      <c r="B4" t="inlineStr">
        <is>
          <t>NE1184 .I813 1964a</t>
        </is>
      </c>
      <c r="C4" t="inlineStr">
        <is>
          <t>0                      NE 1184000I  813         1964a</t>
        </is>
      </c>
      <c r="D4" t="inlineStr">
        <is>
          <t>Japanese Buddhist prints / With the collaboration of Un'ichi Hiratsuka [and others] English adaptation by Charles S. Terry.</t>
        </is>
      </c>
      <c r="F4" t="inlineStr">
        <is>
          <t>No</t>
        </is>
      </c>
      <c r="G4" t="inlineStr">
        <is>
          <t>1</t>
        </is>
      </c>
      <c r="H4" t="inlineStr">
        <is>
          <t>No</t>
        </is>
      </c>
      <c r="I4" t="inlineStr">
        <is>
          <t>No</t>
        </is>
      </c>
      <c r="J4" t="inlineStr">
        <is>
          <t>0</t>
        </is>
      </c>
      <c r="K4" t="inlineStr">
        <is>
          <t>Ishida, Mosaku, 1894-1977.</t>
        </is>
      </c>
      <c r="L4" t="inlineStr">
        <is>
          <t>New York : H. N. Abrams, 1964.</t>
        </is>
      </c>
      <c r="M4" t="inlineStr">
        <is>
          <t>1964</t>
        </is>
      </c>
      <c r="O4" t="inlineStr">
        <is>
          <t>eng</t>
        </is>
      </c>
      <c r="P4" t="inlineStr">
        <is>
          <t>nyu</t>
        </is>
      </c>
      <c r="R4" t="inlineStr">
        <is>
          <t xml:space="preserve">NE </t>
        </is>
      </c>
      <c r="S4" t="n">
        <v>6</v>
      </c>
      <c r="T4" t="n">
        <v>6</v>
      </c>
      <c r="U4" t="inlineStr">
        <is>
          <t>2005-03-16</t>
        </is>
      </c>
      <c r="V4" t="inlineStr">
        <is>
          <t>2005-03-16</t>
        </is>
      </c>
      <c r="W4" t="inlineStr">
        <is>
          <t>1993-06-01</t>
        </is>
      </c>
      <c r="X4" t="inlineStr">
        <is>
          <t>1993-06-01</t>
        </is>
      </c>
      <c r="Y4" t="n">
        <v>270</v>
      </c>
      <c r="Z4" t="n">
        <v>245</v>
      </c>
      <c r="AA4" t="n">
        <v>423</v>
      </c>
      <c r="AB4" t="n">
        <v>1</v>
      </c>
      <c r="AC4" t="n">
        <v>3</v>
      </c>
      <c r="AD4" t="n">
        <v>5</v>
      </c>
      <c r="AE4" t="n">
        <v>11</v>
      </c>
      <c r="AF4" t="n">
        <v>2</v>
      </c>
      <c r="AG4" t="n">
        <v>2</v>
      </c>
      <c r="AH4" t="n">
        <v>2</v>
      </c>
      <c r="AI4" t="n">
        <v>3</v>
      </c>
      <c r="AJ4" t="n">
        <v>2</v>
      </c>
      <c r="AK4" t="n">
        <v>6</v>
      </c>
      <c r="AL4" t="n">
        <v>0</v>
      </c>
      <c r="AM4" t="n">
        <v>1</v>
      </c>
      <c r="AN4" t="n">
        <v>0</v>
      </c>
      <c r="AO4" t="n">
        <v>0</v>
      </c>
      <c r="AP4" t="inlineStr">
        <is>
          <t>No</t>
        </is>
      </c>
      <c r="AQ4" t="inlineStr">
        <is>
          <t>Yes</t>
        </is>
      </c>
      <c r="AR4">
        <f>HYPERLINK("http://catalog.hathitrust.org/Record/001470064","HathiTrust Record")</f>
        <v/>
      </c>
      <c r="AS4">
        <f>HYPERLINK("https://creighton-primo.hosted.exlibrisgroup.com/primo-explore/search?tab=default_tab&amp;search_scope=EVERYTHING&amp;vid=01CRU&amp;lang=en_US&amp;offset=0&amp;query=any,contains,991004388199702656","Catalog Record")</f>
        <v/>
      </c>
      <c r="AT4">
        <f>HYPERLINK("http://www.worldcat.org/oclc/3251208","WorldCat Record")</f>
        <v/>
      </c>
      <c r="AU4" t="inlineStr">
        <is>
          <t>890491165:eng</t>
        </is>
      </c>
      <c r="AV4" t="inlineStr">
        <is>
          <t>3251208</t>
        </is>
      </c>
      <c r="AW4" t="inlineStr">
        <is>
          <t>991004388199702656</t>
        </is>
      </c>
      <c r="AX4" t="inlineStr">
        <is>
          <t>991004388199702656</t>
        </is>
      </c>
      <c r="AY4" t="inlineStr">
        <is>
          <t>2256885260002656</t>
        </is>
      </c>
      <c r="AZ4" t="inlineStr">
        <is>
          <t>BOOK</t>
        </is>
      </c>
      <c r="BC4" t="inlineStr">
        <is>
          <t>32285001715597</t>
        </is>
      </c>
      <c r="BD4" t="inlineStr">
        <is>
          <t>893876042</t>
        </is>
      </c>
    </row>
    <row r="5">
      <c r="A5" t="inlineStr">
        <is>
          <t>No</t>
        </is>
      </c>
      <c r="B5" t="inlineStr">
        <is>
          <t>NE1205.D9 A2</t>
        </is>
      </c>
      <c r="C5" t="inlineStr">
        <is>
          <t>0                      NE 1205000D  9                  A  2</t>
        </is>
      </c>
      <c r="D5" t="inlineStr">
        <is>
          <t>The complete woodcuts of Albrecht Dürer / ed. by Willi Kurth.</t>
        </is>
      </c>
      <c r="F5" t="inlineStr">
        <is>
          <t>No</t>
        </is>
      </c>
      <c r="G5" t="inlineStr">
        <is>
          <t>1</t>
        </is>
      </c>
      <c r="H5" t="inlineStr">
        <is>
          <t>No</t>
        </is>
      </c>
      <c r="I5" t="inlineStr">
        <is>
          <t>No</t>
        </is>
      </c>
      <c r="J5" t="inlineStr">
        <is>
          <t>0</t>
        </is>
      </c>
      <c r="K5" t="inlineStr">
        <is>
          <t>Dürer, Albrecht, 1471-1528.</t>
        </is>
      </c>
      <c r="L5" t="inlineStr">
        <is>
          <t>New York : Bonanza Books, [1946]</t>
        </is>
      </c>
      <c r="M5" t="inlineStr">
        <is>
          <t>1946</t>
        </is>
      </c>
      <c r="O5" t="inlineStr">
        <is>
          <t>eng</t>
        </is>
      </c>
      <c r="P5" t="inlineStr">
        <is>
          <t>nyu</t>
        </is>
      </c>
      <c r="R5" t="inlineStr">
        <is>
          <t xml:space="preserve">NE </t>
        </is>
      </c>
      <c r="S5" t="n">
        <v>2</v>
      </c>
      <c r="T5" t="n">
        <v>2</v>
      </c>
      <c r="U5" t="inlineStr">
        <is>
          <t>2003-04-17</t>
        </is>
      </c>
      <c r="V5" t="inlineStr">
        <is>
          <t>2003-04-17</t>
        </is>
      </c>
      <c r="W5" t="inlineStr">
        <is>
          <t>1994-08-22</t>
        </is>
      </c>
      <c r="X5" t="inlineStr">
        <is>
          <t>1994-08-22</t>
        </is>
      </c>
      <c r="Y5" t="n">
        <v>370</v>
      </c>
      <c r="Z5" t="n">
        <v>351</v>
      </c>
      <c r="AA5" t="n">
        <v>794</v>
      </c>
      <c r="AB5" t="n">
        <v>3</v>
      </c>
      <c r="AC5" t="n">
        <v>7</v>
      </c>
      <c r="AD5" t="n">
        <v>13</v>
      </c>
      <c r="AE5" t="n">
        <v>29</v>
      </c>
      <c r="AF5" t="n">
        <v>6</v>
      </c>
      <c r="AG5" t="n">
        <v>13</v>
      </c>
      <c r="AH5" t="n">
        <v>2</v>
      </c>
      <c r="AI5" t="n">
        <v>4</v>
      </c>
      <c r="AJ5" t="n">
        <v>6</v>
      </c>
      <c r="AK5" t="n">
        <v>14</v>
      </c>
      <c r="AL5" t="n">
        <v>2</v>
      </c>
      <c r="AM5" t="n">
        <v>5</v>
      </c>
      <c r="AN5" t="n">
        <v>0</v>
      </c>
      <c r="AO5" t="n">
        <v>0</v>
      </c>
      <c r="AP5" t="inlineStr">
        <is>
          <t>Yes</t>
        </is>
      </c>
      <c r="AQ5" t="inlineStr">
        <is>
          <t>No</t>
        </is>
      </c>
      <c r="AR5">
        <f>HYPERLINK("http://catalog.hathitrust.org/Record/007125831","HathiTrust Record")</f>
        <v/>
      </c>
      <c r="AS5">
        <f>HYPERLINK("https://creighton-primo.hosted.exlibrisgroup.com/primo-explore/search?tab=default_tab&amp;search_scope=EVERYTHING&amp;vid=01CRU&amp;lang=en_US&amp;offset=0&amp;query=any,contains,991003685519702656","Catalog Record")</f>
        <v/>
      </c>
      <c r="AT5">
        <f>HYPERLINK("http://www.worldcat.org/oclc/1313420","WorldCat Record")</f>
        <v/>
      </c>
      <c r="AU5" t="inlineStr">
        <is>
          <t>2048789572:eng</t>
        </is>
      </c>
      <c r="AV5" t="inlineStr">
        <is>
          <t>1313420</t>
        </is>
      </c>
      <c r="AW5" t="inlineStr">
        <is>
          <t>991003685519702656</t>
        </is>
      </c>
      <c r="AX5" t="inlineStr">
        <is>
          <t>991003685519702656</t>
        </is>
      </c>
      <c r="AY5" t="inlineStr">
        <is>
          <t>2257617080002656</t>
        </is>
      </c>
      <c r="AZ5" t="inlineStr">
        <is>
          <t>BOOK</t>
        </is>
      </c>
      <c r="BC5" t="inlineStr">
        <is>
          <t>32285001938249</t>
        </is>
      </c>
      <c r="BD5" t="inlineStr">
        <is>
          <t>893342855</t>
        </is>
      </c>
    </row>
    <row r="6">
      <c r="A6" t="inlineStr">
        <is>
          <t>No</t>
        </is>
      </c>
      <c r="B6" t="inlineStr">
        <is>
          <t>NE1225 .R6</t>
        </is>
      </c>
      <c r="C6" t="inlineStr">
        <is>
          <t>0                      NE 1225000R  6</t>
        </is>
      </c>
      <c r="D6" t="inlineStr">
        <is>
          <t>Linocuts and woodcuts; a complete block printing handbook.</t>
        </is>
      </c>
      <c r="F6" t="inlineStr">
        <is>
          <t>No</t>
        </is>
      </c>
      <c r="G6" t="inlineStr">
        <is>
          <t>1</t>
        </is>
      </c>
      <c r="H6" t="inlineStr">
        <is>
          <t>No</t>
        </is>
      </c>
      <c r="I6" t="inlineStr">
        <is>
          <t>No</t>
        </is>
      </c>
      <c r="J6" t="inlineStr">
        <is>
          <t>0</t>
        </is>
      </c>
      <c r="K6" t="inlineStr">
        <is>
          <t>Rothenstein, Michael, 1908-1993.</t>
        </is>
      </c>
      <c r="L6" t="inlineStr">
        <is>
          <t>New York, Watson-Guptill Publications [1964, c1962]</t>
        </is>
      </c>
      <c r="M6" t="inlineStr">
        <is>
          <t>1964</t>
        </is>
      </c>
      <c r="O6" t="inlineStr">
        <is>
          <t>eng</t>
        </is>
      </c>
      <c r="P6" t="inlineStr">
        <is>
          <t>nyu</t>
        </is>
      </c>
      <c r="R6" t="inlineStr">
        <is>
          <t xml:space="preserve">NE </t>
        </is>
      </c>
      <c r="S6" t="n">
        <v>2</v>
      </c>
      <c r="T6" t="n">
        <v>2</v>
      </c>
      <c r="U6" t="inlineStr">
        <is>
          <t>1998-11-16</t>
        </is>
      </c>
      <c r="V6" t="inlineStr">
        <is>
          <t>1998-11-16</t>
        </is>
      </c>
      <c r="W6" t="inlineStr">
        <is>
          <t>1997-08-06</t>
        </is>
      </c>
      <c r="X6" t="inlineStr">
        <is>
          <t>1997-08-06</t>
        </is>
      </c>
      <c r="Y6" t="n">
        <v>587</v>
      </c>
      <c r="Z6" t="n">
        <v>563</v>
      </c>
      <c r="AA6" t="n">
        <v>606</v>
      </c>
      <c r="AB6" t="n">
        <v>2</v>
      </c>
      <c r="AC6" t="n">
        <v>2</v>
      </c>
      <c r="AD6" t="n">
        <v>13</v>
      </c>
      <c r="AE6" t="n">
        <v>15</v>
      </c>
      <c r="AF6" t="n">
        <v>5</v>
      </c>
      <c r="AG6" t="n">
        <v>7</v>
      </c>
      <c r="AH6" t="n">
        <v>4</v>
      </c>
      <c r="AI6" t="n">
        <v>4</v>
      </c>
      <c r="AJ6" t="n">
        <v>7</v>
      </c>
      <c r="AK6" t="n">
        <v>7</v>
      </c>
      <c r="AL6" t="n">
        <v>1</v>
      </c>
      <c r="AM6" t="n">
        <v>1</v>
      </c>
      <c r="AN6" t="n">
        <v>0</v>
      </c>
      <c r="AO6" t="n">
        <v>0</v>
      </c>
      <c r="AP6" t="inlineStr">
        <is>
          <t>No</t>
        </is>
      </c>
      <c r="AQ6" t="inlineStr">
        <is>
          <t>Yes</t>
        </is>
      </c>
      <c r="AR6">
        <f>HYPERLINK("http://catalog.hathitrust.org/Record/001470125","HathiTrust Record")</f>
        <v/>
      </c>
      <c r="AS6">
        <f>HYPERLINK("https://creighton-primo.hosted.exlibrisgroup.com/primo-explore/search?tab=default_tab&amp;search_scope=EVERYTHING&amp;vid=01CRU&amp;lang=en_US&amp;offset=0&amp;query=any,contains,991002288339702656","Catalog Record")</f>
        <v/>
      </c>
      <c r="AT6">
        <f>HYPERLINK("http://www.worldcat.org/oclc/312255","WorldCat Record")</f>
        <v/>
      </c>
      <c r="AU6" t="inlineStr">
        <is>
          <t>232590452:eng</t>
        </is>
      </c>
      <c r="AV6" t="inlineStr">
        <is>
          <t>312255</t>
        </is>
      </c>
      <c r="AW6" t="inlineStr">
        <is>
          <t>991002288339702656</t>
        </is>
      </c>
      <c r="AX6" t="inlineStr">
        <is>
          <t>991002288339702656</t>
        </is>
      </c>
      <c r="AY6" t="inlineStr">
        <is>
          <t>2271101960002656</t>
        </is>
      </c>
      <c r="AZ6" t="inlineStr">
        <is>
          <t>BOOK</t>
        </is>
      </c>
      <c r="BC6" t="inlineStr">
        <is>
          <t>32285003046561</t>
        </is>
      </c>
      <c r="BD6" t="inlineStr">
        <is>
          <t>893251040</t>
        </is>
      </c>
    </row>
    <row r="7">
      <c r="A7" t="inlineStr">
        <is>
          <t>No</t>
        </is>
      </c>
      <c r="B7" t="inlineStr">
        <is>
          <t>NE1300.6.K37 A4 1980</t>
        </is>
      </c>
      <c r="C7" t="inlineStr">
        <is>
          <t>0                      NE 1300600K  37                 A  4           1980</t>
        </is>
      </c>
      <c r="D7" t="inlineStr">
        <is>
          <t>Kyoto rediscovered : a portfolio of woodblock prints / Clifton Karhu ; translated and adapted by Alex Kerr.</t>
        </is>
      </c>
      <c r="F7" t="inlineStr">
        <is>
          <t>No</t>
        </is>
      </c>
      <c r="G7" t="inlineStr">
        <is>
          <t>1</t>
        </is>
      </c>
      <c r="H7" t="inlineStr">
        <is>
          <t>No</t>
        </is>
      </c>
      <c r="I7" t="inlineStr">
        <is>
          <t>No</t>
        </is>
      </c>
      <c r="J7" t="inlineStr">
        <is>
          <t>0</t>
        </is>
      </c>
      <c r="K7" t="inlineStr">
        <is>
          <t>Karhu, Clifton, 1927-</t>
        </is>
      </c>
      <c r="L7" t="inlineStr">
        <is>
          <t>New York : Weatherhill/Tankosha, 1980.</t>
        </is>
      </c>
      <c r="M7" t="inlineStr">
        <is>
          <t>1980</t>
        </is>
      </c>
      <c r="N7" t="inlineStr">
        <is>
          <t>1st English ed.</t>
        </is>
      </c>
      <c r="O7" t="inlineStr">
        <is>
          <t>eng</t>
        </is>
      </c>
      <c r="P7" t="inlineStr">
        <is>
          <t>nyu</t>
        </is>
      </c>
      <c r="R7" t="inlineStr">
        <is>
          <t xml:space="preserve">NE </t>
        </is>
      </c>
      <c r="S7" t="n">
        <v>3</v>
      </c>
      <c r="T7" t="n">
        <v>3</v>
      </c>
      <c r="U7" t="inlineStr">
        <is>
          <t>1996-02-25</t>
        </is>
      </c>
      <c r="V7" t="inlineStr">
        <is>
          <t>1996-02-25</t>
        </is>
      </c>
      <c r="W7" t="inlineStr">
        <is>
          <t>1993-06-01</t>
        </is>
      </c>
      <c r="X7" t="inlineStr">
        <is>
          <t>1993-06-01</t>
        </is>
      </c>
      <c r="Y7" t="n">
        <v>86</v>
      </c>
      <c r="Z7" t="n">
        <v>61</v>
      </c>
      <c r="AA7" t="n">
        <v>61</v>
      </c>
      <c r="AB7" t="n">
        <v>2</v>
      </c>
      <c r="AC7" t="n">
        <v>2</v>
      </c>
      <c r="AD7" t="n">
        <v>3</v>
      </c>
      <c r="AE7" t="n">
        <v>3</v>
      </c>
      <c r="AF7" t="n">
        <v>1</v>
      </c>
      <c r="AG7" t="n">
        <v>1</v>
      </c>
      <c r="AH7" t="n">
        <v>1</v>
      </c>
      <c r="AI7" t="n">
        <v>1</v>
      </c>
      <c r="AJ7" t="n">
        <v>1</v>
      </c>
      <c r="AK7" t="n">
        <v>1</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HYPERLINK("https://creighton-primo.hosted.exlibrisgroup.com/primo-explore/search?tab=default_tab&amp;search_scope=EVERYTHING&amp;vid=01CRU&amp;lang=en_US&amp;offset=0&amp;query=any,contains,991004980999702656","Catalog Record")</f>
        <v/>
      </c>
      <c r="AT7">
        <f>HYPERLINK("http://www.worldcat.org/oclc/6422102","WorldCat Record")</f>
        <v/>
      </c>
      <c r="AU7" t="inlineStr">
        <is>
          <t>496841:eng</t>
        </is>
      </c>
      <c r="AV7" t="inlineStr">
        <is>
          <t>6422102</t>
        </is>
      </c>
      <c r="AW7" t="inlineStr">
        <is>
          <t>991004980999702656</t>
        </is>
      </c>
      <c r="AX7" t="inlineStr">
        <is>
          <t>991004980999702656</t>
        </is>
      </c>
      <c r="AY7" t="inlineStr">
        <is>
          <t>2268915270002656</t>
        </is>
      </c>
      <c r="AZ7" t="inlineStr">
        <is>
          <t>BOOK</t>
        </is>
      </c>
      <c r="BB7" t="inlineStr">
        <is>
          <t>9780834815216</t>
        </is>
      </c>
      <c r="BC7" t="inlineStr">
        <is>
          <t>32285001715613</t>
        </is>
      </c>
      <c r="BD7" t="inlineStr">
        <is>
          <t>893332237</t>
        </is>
      </c>
    </row>
    <row r="8">
      <c r="A8" t="inlineStr">
        <is>
          <t>No</t>
        </is>
      </c>
      <c r="B8" t="inlineStr">
        <is>
          <t>NE1310 .M48</t>
        </is>
      </c>
      <c r="C8" t="inlineStr">
        <is>
          <t>0                      NE 1310000M  48</t>
        </is>
      </c>
      <c r="D8" t="inlineStr">
        <is>
          <t>Japanese prints : from the early masters to the modern / by James A. Michener, with notes on the prints by Richard Lane. With the cooperation of the Honolulu Academy of Arts.</t>
        </is>
      </c>
      <c r="F8" t="inlineStr">
        <is>
          <t>No</t>
        </is>
      </c>
      <c r="G8" t="inlineStr">
        <is>
          <t>1</t>
        </is>
      </c>
      <c r="H8" t="inlineStr">
        <is>
          <t>No</t>
        </is>
      </c>
      <c r="I8" t="inlineStr">
        <is>
          <t>No</t>
        </is>
      </c>
      <c r="J8" t="inlineStr">
        <is>
          <t>0</t>
        </is>
      </c>
      <c r="K8" t="inlineStr">
        <is>
          <t>Michener, James A. (James Albert), 1907-1997.</t>
        </is>
      </c>
      <c r="L8" t="inlineStr">
        <is>
          <t>Tokyo : Rutland, Vt. : C. E. Tuttle Co., c1959, 1979 printing.</t>
        </is>
      </c>
      <c r="M8" t="inlineStr">
        <is>
          <t>1959</t>
        </is>
      </c>
      <c r="O8" t="inlineStr">
        <is>
          <t>eng</t>
        </is>
      </c>
      <c r="P8" t="inlineStr">
        <is>
          <t xml:space="preserve">ja </t>
        </is>
      </c>
      <c r="R8" t="inlineStr">
        <is>
          <t xml:space="preserve">NE </t>
        </is>
      </c>
      <c r="S8" t="n">
        <v>1</v>
      </c>
      <c r="T8" t="n">
        <v>1</v>
      </c>
      <c r="U8" t="inlineStr">
        <is>
          <t>1999-01-22</t>
        </is>
      </c>
      <c r="V8" t="inlineStr">
        <is>
          <t>1999-01-22</t>
        </is>
      </c>
      <c r="W8" t="inlineStr">
        <is>
          <t>1993-06-01</t>
        </is>
      </c>
      <c r="X8" t="inlineStr">
        <is>
          <t>1993-06-01</t>
        </is>
      </c>
      <c r="Y8" t="n">
        <v>1055</v>
      </c>
      <c r="Z8" t="n">
        <v>954</v>
      </c>
      <c r="AA8" t="n">
        <v>994</v>
      </c>
      <c r="AB8" t="n">
        <v>3</v>
      </c>
      <c r="AC8" t="n">
        <v>3</v>
      </c>
      <c r="AD8" t="n">
        <v>21</v>
      </c>
      <c r="AE8" t="n">
        <v>22</v>
      </c>
      <c r="AF8" t="n">
        <v>8</v>
      </c>
      <c r="AG8" t="n">
        <v>9</v>
      </c>
      <c r="AH8" t="n">
        <v>4</v>
      </c>
      <c r="AI8" t="n">
        <v>4</v>
      </c>
      <c r="AJ8" t="n">
        <v>13</v>
      </c>
      <c r="AK8" t="n">
        <v>14</v>
      </c>
      <c r="AL8" t="n">
        <v>1</v>
      </c>
      <c r="AM8" t="n">
        <v>1</v>
      </c>
      <c r="AN8" t="n">
        <v>0</v>
      </c>
      <c r="AO8" t="n">
        <v>0</v>
      </c>
      <c r="AP8" t="inlineStr">
        <is>
          <t>No</t>
        </is>
      </c>
      <c r="AQ8" t="inlineStr">
        <is>
          <t>Yes</t>
        </is>
      </c>
      <c r="AR8">
        <f>HYPERLINK("http://catalog.hathitrust.org/Record/001470166","HathiTrust Record")</f>
        <v/>
      </c>
      <c r="AS8">
        <f>HYPERLINK("https://creighton-primo.hosted.exlibrisgroup.com/primo-explore/search?tab=default_tab&amp;search_scope=EVERYTHING&amp;vid=01CRU&amp;lang=en_US&amp;offset=0&amp;query=any,contains,991003175629702656","Catalog Record")</f>
        <v/>
      </c>
      <c r="AT8">
        <f>HYPERLINK("http://www.worldcat.org/oclc/519182","WorldCat Record")</f>
        <v/>
      </c>
      <c r="AU8" t="inlineStr">
        <is>
          <t>37888292:eng</t>
        </is>
      </c>
      <c r="AV8" t="inlineStr">
        <is>
          <t>519182</t>
        </is>
      </c>
      <c r="AW8" t="inlineStr">
        <is>
          <t>991003175629702656</t>
        </is>
      </c>
      <c r="AX8" t="inlineStr">
        <is>
          <t>991003175629702656</t>
        </is>
      </c>
      <c r="AY8" t="inlineStr">
        <is>
          <t>2262508630002656</t>
        </is>
      </c>
      <c r="AZ8" t="inlineStr">
        <is>
          <t>BOOK</t>
        </is>
      </c>
      <c r="BC8" t="inlineStr">
        <is>
          <t>32285001715621</t>
        </is>
      </c>
      <c r="BD8" t="inlineStr">
        <is>
          <t>893434711</t>
        </is>
      </c>
    </row>
    <row r="9">
      <c r="A9" t="inlineStr">
        <is>
          <t>No</t>
        </is>
      </c>
      <c r="B9" t="inlineStr">
        <is>
          <t>NE1315 .G46 1964</t>
        </is>
      </c>
      <c r="C9" t="inlineStr">
        <is>
          <t>0                      NE 1315000G  46          1964</t>
        </is>
      </c>
      <c r="D9" t="inlineStr">
        <is>
          <t>Masters of the Japanese print : Moronobu to Utamaro / by Margaret Gentles.</t>
        </is>
      </c>
      <c r="F9" t="inlineStr">
        <is>
          <t>No</t>
        </is>
      </c>
      <c r="G9" t="inlineStr">
        <is>
          <t>1</t>
        </is>
      </c>
      <c r="H9" t="inlineStr">
        <is>
          <t>No</t>
        </is>
      </c>
      <c r="I9" t="inlineStr">
        <is>
          <t>No</t>
        </is>
      </c>
      <c r="J9" t="inlineStr">
        <is>
          <t>0</t>
        </is>
      </c>
      <c r="K9" t="inlineStr">
        <is>
          <t>Gentles, Margaret.</t>
        </is>
      </c>
      <c r="L9" t="inlineStr">
        <is>
          <t>[New York] : Asia Society, Inc. ; Distributed by H.N. Abrams, [1964]</t>
        </is>
      </c>
      <c r="M9" t="inlineStr">
        <is>
          <t>1964</t>
        </is>
      </c>
      <c r="O9" t="inlineStr">
        <is>
          <t>eng</t>
        </is>
      </c>
      <c r="P9" t="inlineStr">
        <is>
          <t>nyu</t>
        </is>
      </c>
      <c r="R9" t="inlineStr">
        <is>
          <t xml:space="preserve">NE </t>
        </is>
      </c>
      <c r="S9" t="n">
        <v>1</v>
      </c>
      <c r="T9" t="n">
        <v>1</v>
      </c>
      <c r="U9" t="inlineStr">
        <is>
          <t>2007-02-01</t>
        </is>
      </c>
      <c r="V9" t="inlineStr">
        <is>
          <t>2007-02-01</t>
        </is>
      </c>
      <c r="W9" t="inlineStr">
        <is>
          <t>2007-02-01</t>
        </is>
      </c>
      <c r="X9" t="inlineStr">
        <is>
          <t>2007-02-01</t>
        </is>
      </c>
      <c r="Y9" t="n">
        <v>377</v>
      </c>
      <c r="Z9" t="n">
        <v>358</v>
      </c>
      <c r="AA9" t="n">
        <v>386</v>
      </c>
      <c r="AB9" t="n">
        <v>3</v>
      </c>
      <c r="AC9" t="n">
        <v>3</v>
      </c>
      <c r="AD9" t="n">
        <v>5</v>
      </c>
      <c r="AE9" t="n">
        <v>6</v>
      </c>
      <c r="AF9" t="n">
        <v>1</v>
      </c>
      <c r="AG9" t="n">
        <v>1</v>
      </c>
      <c r="AH9" t="n">
        <v>1</v>
      </c>
      <c r="AI9" t="n">
        <v>2</v>
      </c>
      <c r="AJ9" t="n">
        <v>4</v>
      </c>
      <c r="AK9" t="n">
        <v>5</v>
      </c>
      <c r="AL9" t="n">
        <v>1</v>
      </c>
      <c r="AM9" t="n">
        <v>1</v>
      </c>
      <c r="AN9" t="n">
        <v>0</v>
      </c>
      <c r="AO9" t="n">
        <v>0</v>
      </c>
      <c r="AP9" t="inlineStr">
        <is>
          <t>No</t>
        </is>
      </c>
      <c r="AQ9" t="inlineStr">
        <is>
          <t>Yes</t>
        </is>
      </c>
      <c r="AR9">
        <f>HYPERLINK("http://catalog.hathitrust.org/Record/001470179","HathiTrust Record")</f>
        <v/>
      </c>
      <c r="AS9">
        <f>HYPERLINK("https://creighton-primo.hosted.exlibrisgroup.com/primo-explore/search?tab=default_tab&amp;search_scope=EVERYTHING&amp;vid=01CRU&amp;lang=en_US&amp;offset=0&amp;query=any,contains,991005008399702656","Catalog Record")</f>
        <v/>
      </c>
      <c r="AT9">
        <f>HYPERLINK("http://www.worldcat.org/oclc/715916","WorldCat Record")</f>
        <v/>
      </c>
      <c r="AU9" t="inlineStr">
        <is>
          <t>476827:eng</t>
        </is>
      </c>
      <c r="AV9" t="inlineStr">
        <is>
          <t>715916</t>
        </is>
      </c>
      <c r="AW9" t="inlineStr">
        <is>
          <t>991005008399702656</t>
        </is>
      </c>
      <c r="AX9" t="inlineStr">
        <is>
          <t>991005008399702656</t>
        </is>
      </c>
      <c r="AY9" t="inlineStr">
        <is>
          <t>2255509790002656</t>
        </is>
      </c>
      <c r="AZ9" t="inlineStr">
        <is>
          <t>BOOK</t>
        </is>
      </c>
      <c r="BC9" t="inlineStr">
        <is>
          <t>32285005274526</t>
        </is>
      </c>
      <c r="BD9" t="inlineStr">
        <is>
          <t>893338368</t>
        </is>
      </c>
    </row>
    <row r="10">
      <c r="A10" t="inlineStr">
        <is>
          <t>No</t>
        </is>
      </c>
      <c r="B10" t="inlineStr">
        <is>
          <t>NE1317.P48 P485 1973</t>
        </is>
      </c>
      <c r="C10" t="inlineStr">
        <is>
          <t>0                      NE 1317000P  48                 P  485         1973</t>
        </is>
      </c>
      <c r="D10" t="inlineStr">
        <is>
          <t>The theatrical world of Osaka prints : a collection of eighteenth and nineteenth century Japanese woodblock prints in the Philadelphia Museum of Art / by Roger S. Keyes and Keiko Mizushima.</t>
        </is>
      </c>
      <c r="F10" t="inlineStr">
        <is>
          <t>No</t>
        </is>
      </c>
      <c r="G10" t="inlineStr">
        <is>
          <t>1</t>
        </is>
      </c>
      <c r="H10" t="inlineStr">
        <is>
          <t>No</t>
        </is>
      </c>
      <c r="I10" t="inlineStr">
        <is>
          <t>No</t>
        </is>
      </c>
      <c r="J10" t="inlineStr">
        <is>
          <t>0</t>
        </is>
      </c>
      <c r="K10" t="inlineStr">
        <is>
          <t>Philadelphia Museum of Art.</t>
        </is>
      </c>
      <c r="M10" t="inlineStr">
        <is>
          <t>1973</t>
        </is>
      </c>
      <c r="O10" t="inlineStr">
        <is>
          <t>eng</t>
        </is>
      </c>
      <c r="P10" t="inlineStr">
        <is>
          <t>pau</t>
        </is>
      </c>
      <c r="R10" t="inlineStr">
        <is>
          <t xml:space="preserve">NE </t>
        </is>
      </c>
      <c r="S10" t="n">
        <v>1</v>
      </c>
      <c r="T10" t="n">
        <v>1</v>
      </c>
      <c r="U10" t="inlineStr">
        <is>
          <t>2007-02-01</t>
        </is>
      </c>
      <c r="V10" t="inlineStr">
        <is>
          <t>2007-02-01</t>
        </is>
      </c>
      <c r="W10" t="inlineStr">
        <is>
          <t>2007-02-01</t>
        </is>
      </c>
      <c r="X10" t="inlineStr">
        <is>
          <t>2007-02-01</t>
        </is>
      </c>
      <c r="Y10" t="n">
        <v>605</v>
      </c>
      <c r="Z10" t="n">
        <v>534</v>
      </c>
      <c r="AA10" t="n">
        <v>554</v>
      </c>
      <c r="AB10" t="n">
        <v>4</v>
      </c>
      <c r="AC10" t="n">
        <v>4</v>
      </c>
      <c r="AD10" t="n">
        <v>23</v>
      </c>
      <c r="AE10" t="n">
        <v>23</v>
      </c>
      <c r="AF10" t="n">
        <v>10</v>
      </c>
      <c r="AG10" t="n">
        <v>10</v>
      </c>
      <c r="AH10" t="n">
        <v>6</v>
      </c>
      <c r="AI10" t="n">
        <v>6</v>
      </c>
      <c r="AJ10" t="n">
        <v>11</v>
      </c>
      <c r="AK10" t="n">
        <v>11</v>
      </c>
      <c r="AL10" t="n">
        <v>2</v>
      </c>
      <c r="AM10" t="n">
        <v>2</v>
      </c>
      <c r="AN10" t="n">
        <v>0</v>
      </c>
      <c r="AO10" t="n">
        <v>0</v>
      </c>
      <c r="AP10" t="inlineStr">
        <is>
          <t>No</t>
        </is>
      </c>
      <c r="AQ10" t="inlineStr">
        <is>
          <t>Yes</t>
        </is>
      </c>
      <c r="AR10">
        <f>HYPERLINK("http://catalog.hathitrust.org/Record/001470192","HathiTrust Record")</f>
        <v/>
      </c>
      <c r="AS10">
        <f>HYPERLINK("https://creighton-primo.hosted.exlibrisgroup.com/primo-explore/search?tab=default_tab&amp;search_scope=EVERYTHING&amp;vid=01CRU&amp;lang=en_US&amp;offset=0&amp;query=any,contains,991005008749702656","Catalog Record")</f>
        <v/>
      </c>
      <c r="AT10">
        <f>HYPERLINK("http://www.worldcat.org/oclc/803812","WorldCat Record")</f>
        <v/>
      </c>
      <c r="AU10" t="inlineStr">
        <is>
          <t>889159489:eng</t>
        </is>
      </c>
      <c r="AV10" t="inlineStr">
        <is>
          <t>803812</t>
        </is>
      </c>
      <c r="AW10" t="inlineStr">
        <is>
          <t>991005008749702656</t>
        </is>
      </c>
      <c r="AX10" t="inlineStr">
        <is>
          <t>991005008749702656</t>
        </is>
      </c>
      <c r="AY10" t="inlineStr">
        <is>
          <t>2269161440002656</t>
        </is>
      </c>
      <c r="AZ10" t="inlineStr">
        <is>
          <t>BOOK</t>
        </is>
      </c>
      <c r="BC10" t="inlineStr">
        <is>
          <t>32285005274641</t>
        </is>
      </c>
      <c r="BD10" t="inlineStr">
        <is>
          <t>893507486</t>
        </is>
      </c>
    </row>
    <row r="11">
      <c r="A11" t="inlineStr">
        <is>
          <t>No</t>
        </is>
      </c>
      <c r="B11" t="inlineStr">
        <is>
          <t>NE1321.8 .L36 1982</t>
        </is>
      </c>
      <c r="C11" t="inlineStr">
        <is>
          <t>0                      NE 1321800L  36          1982</t>
        </is>
      </c>
      <c r="D11" t="inlineStr">
        <is>
          <t>Images from the floating world : the Japanese print : including an illustrated dictionary of ukiyo-e / Richard Lane.</t>
        </is>
      </c>
      <c r="F11" t="inlineStr">
        <is>
          <t>No</t>
        </is>
      </c>
      <c r="G11" t="inlineStr">
        <is>
          <t>1</t>
        </is>
      </c>
      <c r="H11" t="inlineStr">
        <is>
          <t>No</t>
        </is>
      </c>
      <c r="I11" t="inlineStr">
        <is>
          <t>No</t>
        </is>
      </c>
      <c r="J11" t="inlineStr">
        <is>
          <t>0</t>
        </is>
      </c>
      <c r="K11" t="inlineStr">
        <is>
          <t>Lane, Richard, 1926-2002.</t>
        </is>
      </c>
      <c r="L11" t="inlineStr">
        <is>
          <t>New York : Dorset, 1982, c1978.</t>
        </is>
      </c>
      <c r="M11" t="inlineStr">
        <is>
          <t>1982</t>
        </is>
      </c>
      <c r="O11" t="inlineStr">
        <is>
          <t>eng</t>
        </is>
      </c>
      <c r="P11" t="inlineStr">
        <is>
          <t>nyu</t>
        </is>
      </c>
      <c r="R11" t="inlineStr">
        <is>
          <t xml:space="preserve">NE </t>
        </is>
      </c>
      <c r="S11" t="n">
        <v>2</v>
      </c>
      <c r="T11" t="n">
        <v>2</v>
      </c>
      <c r="U11" t="inlineStr">
        <is>
          <t>1996-02-25</t>
        </is>
      </c>
      <c r="V11" t="inlineStr">
        <is>
          <t>1996-02-25</t>
        </is>
      </c>
      <c r="W11" t="inlineStr">
        <is>
          <t>1993-08-05</t>
        </is>
      </c>
      <c r="X11" t="inlineStr">
        <is>
          <t>1993-08-05</t>
        </is>
      </c>
      <c r="Y11" t="n">
        <v>177</v>
      </c>
      <c r="Z11" t="n">
        <v>164</v>
      </c>
      <c r="AA11" t="n">
        <v>168</v>
      </c>
      <c r="AB11" t="n">
        <v>2</v>
      </c>
      <c r="AC11" t="n">
        <v>2</v>
      </c>
      <c r="AD11" t="n">
        <v>9</v>
      </c>
      <c r="AE11" t="n">
        <v>9</v>
      </c>
      <c r="AF11" t="n">
        <v>4</v>
      </c>
      <c r="AG11" t="n">
        <v>4</v>
      </c>
      <c r="AH11" t="n">
        <v>4</v>
      </c>
      <c r="AI11" t="n">
        <v>4</v>
      </c>
      <c r="AJ11" t="n">
        <v>2</v>
      </c>
      <c r="AK11" t="n">
        <v>2</v>
      </c>
      <c r="AL11" t="n">
        <v>0</v>
      </c>
      <c r="AM11" t="n">
        <v>0</v>
      </c>
      <c r="AN11" t="n">
        <v>0</v>
      </c>
      <c r="AO11" t="n">
        <v>0</v>
      </c>
      <c r="AP11" t="inlineStr">
        <is>
          <t>No</t>
        </is>
      </c>
      <c r="AQ11" t="inlineStr">
        <is>
          <t>Yes</t>
        </is>
      </c>
      <c r="AR11">
        <f>HYPERLINK("http://catalog.hathitrust.org/Record/009927147","HathiTrust Record")</f>
        <v/>
      </c>
      <c r="AS11">
        <f>HYPERLINK("https://creighton-primo.hosted.exlibrisgroup.com/primo-explore/search?tab=default_tab&amp;search_scope=EVERYTHING&amp;vid=01CRU&amp;lang=en_US&amp;offset=0&amp;query=any,contains,991000133919702656","Catalog Record")</f>
        <v/>
      </c>
      <c r="AT11">
        <f>HYPERLINK("http://www.worldcat.org/oclc/9123543","WorldCat Record")</f>
        <v/>
      </c>
      <c r="AU11" t="inlineStr">
        <is>
          <t>10201234890:eng</t>
        </is>
      </c>
      <c r="AV11" t="inlineStr">
        <is>
          <t>9123543</t>
        </is>
      </c>
      <c r="AW11" t="inlineStr">
        <is>
          <t>991000133919702656</t>
        </is>
      </c>
      <c r="AX11" t="inlineStr">
        <is>
          <t>991000133919702656</t>
        </is>
      </c>
      <c r="AY11" t="inlineStr">
        <is>
          <t>2264920880002656</t>
        </is>
      </c>
      <c r="AZ11" t="inlineStr">
        <is>
          <t>BOOK</t>
        </is>
      </c>
      <c r="BB11" t="inlineStr">
        <is>
          <t>9780880290074</t>
        </is>
      </c>
      <c r="BC11" t="inlineStr">
        <is>
          <t>32285001751006</t>
        </is>
      </c>
      <c r="BD11" t="inlineStr">
        <is>
          <t>893865121</t>
        </is>
      </c>
    </row>
    <row r="12">
      <c r="A12" t="inlineStr">
        <is>
          <t>No</t>
        </is>
      </c>
      <c r="B12" t="inlineStr">
        <is>
          <t>NE1321.8 .W42</t>
        </is>
      </c>
      <c r="C12" t="inlineStr">
        <is>
          <t>0                      NE 1321800W  42</t>
        </is>
      </c>
      <c r="D12" t="inlineStr">
        <is>
          <t>Japanese woodblock prints : the reciprocal influence between East and West / Lucille R. Webber.</t>
        </is>
      </c>
      <c r="F12" t="inlineStr">
        <is>
          <t>No</t>
        </is>
      </c>
      <c r="G12" t="inlineStr">
        <is>
          <t>1</t>
        </is>
      </c>
      <c r="H12" t="inlineStr">
        <is>
          <t>No</t>
        </is>
      </c>
      <c r="I12" t="inlineStr">
        <is>
          <t>No</t>
        </is>
      </c>
      <c r="J12" t="inlineStr">
        <is>
          <t>0</t>
        </is>
      </c>
      <c r="K12" t="inlineStr">
        <is>
          <t>Webber, Lucille R., 1905-</t>
        </is>
      </c>
      <c r="L12" t="inlineStr">
        <is>
          <t>Provo, UT : Brigham Young University Press, [1979]</t>
        </is>
      </c>
      <c r="M12" t="inlineStr">
        <is>
          <t>1979</t>
        </is>
      </c>
      <c r="O12" t="inlineStr">
        <is>
          <t>eng</t>
        </is>
      </c>
      <c r="P12" t="inlineStr">
        <is>
          <t>utu</t>
        </is>
      </c>
      <c r="R12" t="inlineStr">
        <is>
          <t xml:space="preserve">NE </t>
        </is>
      </c>
      <c r="S12" t="n">
        <v>3</v>
      </c>
      <c r="T12" t="n">
        <v>3</v>
      </c>
      <c r="U12" t="inlineStr">
        <is>
          <t>2010-02-04</t>
        </is>
      </c>
      <c r="V12" t="inlineStr">
        <is>
          <t>2010-02-04</t>
        </is>
      </c>
      <c r="W12" t="inlineStr">
        <is>
          <t>1992-01-21</t>
        </is>
      </c>
      <c r="X12" t="inlineStr">
        <is>
          <t>1992-01-21</t>
        </is>
      </c>
      <c r="Y12" t="n">
        <v>252</v>
      </c>
      <c r="Z12" t="n">
        <v>221</v>
      </c>
      <c r="AA12" t="n">
        <v>227</v>
      </c>
      <c r="AB12" t="n">
        <v>3</v>
      </c>
      <c r="AC12" t="n">
        <v>3</v>
      </c>
      <c r="AD12" t="n">
        <v>10</v>
      </c>
      <c r="AE12" t="n">
        <v>10</v>
      </c>
      <c r="AF12" t="n">
        <v>5</v>
      </c>
      <c r="AG12" t="n">
        <v>5</v>
      </c>
      <c r="AH12" t="n">
        <v>1</v>
      </c>
      <c r="AI12" t="n">
        <v>1</v>
      </c>
      <c r="AJ12" t="n">
        <v>5</v>
      </c>
      <c r="AK12" t="n">
        <v>5</v>
      </c>
      <c r="AL12" t="n">
        <v>2</v>
      </c>
      <c r="AM12" t="n">
        <v>2</v>
      </c>
      <c r="AN12" t="n">
        <v>0</v>
      </c>
      <c r="AO12" t="n">
        <v>0</v>
      </c>
      <c r="AP12" t="inlineStr">
        <is>
          <t>No</t>
        </is>
      </c>
      <c r="AQ12" t="inlineStr">
        <is>
          <t>Yes</t>
        </is>
      </c>
      <c r="AR12">
        <f>HYPERLINK("http://catalog.hathitrust.org/Record/005056931","HathiTrust Record")</f>
        <v/>
      </c>
      <c r="AS12">
        <f>HYPERLINK("https://creighton-primo.hosted.exlibrisgroup.com/primo-explore/search?tab=default_tab&amp;search_scope=EVERYTHING&amp;vid=01CRU&amp;lang=en_US&amp;offset=0&amp;query=any,contains,991004670869702656","Catalog Record")</f>
        <v/>
      </c>
      <c r="AT12">
        <f>HYPERLINK("http://www.worldcat.org/oclc/4515463","WorldCat Record")</f>
        <v/>
      </c>
      <c r="AU12" t="inlineStr">
        <is>
          <t>372847158:eng</t>
        </is>
      </c>
      <c r="AV12" t="inlineStr">
        <is>
          <t>4515463</t>
        </is>
      </c>
      <c r="AW12" t="inlineStr">
        <is>
          <t>991004670869702656</t>
        </is>
      </c>
      <c r="AX12" t="inlineStr">
        <is>
          <t>991004670869702656</t>
        </is>
      </c>
      <c r="AY12" t="inlineStr">
        <is>
          <t>2265567260002656</t>
        </is>
      </c>
      <c r="AZ12" t="inlineStr">
        <is>
          <t>BOOK</t>
        </is>
      </c>
      <c r="BB12" t="inlineStr">
        <is>
          <t>9780842516037</t>
        </is>
      </c>
      <c r="BC12" t="inlineStr">
        <is>
          <t>32285000917038</t>
        </is>
      </c>
      <c r="BD12" t="inlineStr">
        <is>
          <t>893624949</t>
        </is>
      </c>
    </row>
    <row r="13">
      <c r="A13" t="inlineStr">
        <is>
          <t>No</t>
        </is>
      </c>
      <c r="B13" t="inlineStr">
        <is>
          <t>NE1325.A5 A4 1992</t>
        </is>
      </c>
      <c r="C13" t="inlineStr">
        <is>
          <t>0                      NE 1325000A  5                  A  4           1992</t>
        </is>
      </c>
      <c r="D13" t="inlineStr">
        <is>
          <t>One hundred famous views of Edo / Hiroshige ; introductory essays by Henry D. Smith II and Amy G. Poster ; commentaries on the plates by Henry D. Smith II ; preface by Robert Buck.</t>
        </is>
      </c>
      <c r="F13" t="inlineStr">
        <is>
          <t>No</t>
        </is>
      </c>
      <c r="G13" t="inlineStr">
        <is>
          <t>1</t>
        </is>
      </c>
      <c r="H13" t="inlineStr">
        <is>
          <t>No</t>
        </is>
      </c>
      <c r="I13" t="inlineStr">
        <is>
          <t>No</t>
        </is>
      </c>
      <c r="J13" t="inlineStr">
        <is>
          <t>0</t>
        </is>
      </c>
      <c r="K13" t="inlineStr">
        <is>
          <t>Andō, Hiroshige, 1797-1858.</t>
        </is>
      </c>
      <c r="L13" t="inlineStr">
        <is>
          <t>New York : G. Braziller : Brooklyn Museum, 1992, c1986.</t>
        </is>
      </c>
      <c r="M13" t="inlineStr">
        <is>
          <t>1992</t>
        </is>
      </c>
      <c r="O13" t="inlineStr">
        <is>
          <t>eng</t>
        </is>
      </c>
      <c r="P13" t="inlineStr">
        <is>
          <t>nyu</t>
        </is>
      </c>
      <c r="R13" t="inlineStr">
        <is>
          <t xml:space="preserve">NE </t>
        </is>
      </c>
      <c r="S13" t="n">
        <v>1</v>
      </c>
      <c r="T13" t="n">
        <v>1</v>
      </c>
      <c r="U13" t="inlineStr">
        <is>
          <t>2010-02-04</t>
        </is>
      </c>
      <c r="V13" t="inlineStr">
        <is>
          <t>2010-02-04</t>
        </is>
      </c>
      <c r="W13" t="inlineStr">
        <is>
          <t>1999-10-13</t>
        </is>
      </c>
      <c r="X13" t="inlineStr">
        <is>
          <t>1999-10-13</t>
        </is>
      </c>
      <c r="Y13" t="n">
        <v>47</v>
      </c>
      <c r="Z13" t="n">
        <v>42</v>
      </c>
      <c r="AA13" t="n">
        <v>684</v>
      </c>
      <c r="AB13" t="n">
        <v>1</v>
      </c>
      <c r="AC13" t="n">
        <v>4</v>
      </c>
      <c r="AD13" t="n">
        <v>1</v>
      </c>
      <c r="AE13" t="n">
        <v>24</v>
      </c>
      <c r="AF13" t="n">
        <v>0</v>
      </c>
      <c r="AG13" t="n">
        <v>10</v>
      </c>
      <c r="AH13" t="n">
        <v>0</v>
      </c>
      <c r="AI13" t="n">
        <v>5</v>
      </c>
      <c r="AJ13" t="n">
        <v>1</v>
      </c>
      <c r="AK13" t="n">
        <v>11</v>
      </c>
      <c r="AL13" t="n">
        <v>0</v>
      </c>
      <c r="AM13" t="n">
        <v>3</v>
      </c>
      <c r="AN13" t="n">
        <v>0</v>
      </c>
      <c r="AO13" t="n">
        <v>0</v>
      </c>
      <c r="AP13" t="inlineStr">
        <is>
          <t>No</t>
        </is>
      </c>
      <c r="AQ13" t="inlineStr">
        <is>
          <t>No</t>
        </is>
      </c>
      <c r="AS13">
        <f>HYPERLINK("https://creighton-primo.hosted.exlibrisgroup.com/primo-explore/search?tab=default_tab&amp;search_scope=EVERYTHING&amp;vid=01CRU&amp;lang=en_US&amp;offset=0&amp;query=any,contains,991002130959702656","Catalog Record")</f>
        <v/>
      </c>
      <c r="AT13">
        <f>HYPERLINK("http://www.worldcat.org/oclc/27302361","WorldCat Record")</f>
        <v/>
      </c>
      <c r="AU13" t="inlineStr">
        <is>
          <t>2019164:eng</t>
        </is>
      </c>
      <c r="AV13" t="inlineStr">
        <is>
          <t>27302361</t>
        </is>
      </c>
      <c r="AW13" t="inlineStr">
        <is>
          <t>991002130959702656</t>
        </is>
      </c>
      <c r="AX13" t="inlineStr">
        <is>
          <t>991002130959702656</t>
        </is>
      </c>
      <c r="AY13" t="inlineStr">
        <is>
          <t>2271131930002656</t>
        </is>
      </c>
      <c r="AZ13" t="inlineStr">
        <is>
          <t>BOOK</t>
        </is>
      </c>
      <c r="BC13" t="inlineStr">
        <is>
          <t>32285003610408</t>
        </is>
      </c>
      <c r="BD13" t="inlineStr">
        <is>
          <t>893516928</t>
        </is>
      </c>
    </row>
    <row r="14">
      <c r="A14" t="inlineStr">
        <is>
          <t>No</t>
        </is>
      </c>
      <c r="B14" t="inlineStr">
        <is>
          <t>NE1325.A5 B53 1994</t>
        </is>
      </c>
      <c r="C14" t="inlineStr">
        <is>
          <t>0                      NE 1325000A  5                  B  53          1994</t>
        </is>
      </c>
      <c r="D14" t="inlineStr">
        <is>
          <t>Hiroshige in Tokyo : the floating world of Edo / Julian Bicknell.</t>
        </is>
      </c>
      <c r="F14" t="inlineStr">
        <is>
          <t>No</t>
        </is>
      </c>
      <c r="G14" t="inlineStr">
        <is>
          <t>1</t>
        </is>
      </c>
      <c r="H14" t="inlineStr">
        <is>
          <t>No</t>
        </is>
      </c>
      <c r="I14" t="inlineStr">
        <is>
          <t>No</t>
        </is>
      </c>
      <c r="J14" t="inlineStr">
        <is>
          <t>0</t>
        </is>
      </c>
      <c r="K14" t="inlineStr">
        <is>
          <t>Bicknell, Julian.</t>
        </is>
      </c>
      <c r="L14" t="inlineStr">
        <is>
          <t>Rohnert Park, Calif. : Pomegranate Artbooks, 1994.</t>
        </is>
      </c>
      <c r="M14" t="inlineStr">
        <is>
          <t>1994</t>
        </is>
      </c>
      <c r="O14" t="inlineStr">
        <is>
          <t>eng</t>
        </is>
      </c>
      <c r="P14" t="inlineStr">
        <is>
          <t>cau</t>
        </is>
      </c>
      <c r="Q14" t="inlineStr">
        <is>
          <t>Painters &amp; places</t>
        </is>
      </c>
      <c r="R14" t="inlineStr">
        <is>
          <t xml:space="preserve">NE </t>
        </is>
      </c>
      <c r="S14" t="n">
        <v>5</v>
      </c>
      <c r="T14" t="n">
        <v>5</v>
      </c>
      <c r="U14" t="inlineStr">
        <is>
          <t>2010-02-04</t>
        </is>
      </c>
      <c r="V14" t="inlineStr">
        <is>
          <t>2010-02-04</t>
        </is>
      </c>
      <c r="W14" t="inlineStr">
        <is>
          <t>2009-09-02</t>
        </is>
      </c>
      <c r="X14" t="inlineStr">
        <is>
          <t>2009-09-02</t>
        </is>
      </c>
      <c r="Y14" t="n">
        <v>273</v>
      </c>
      <c r="Z14" t="n">
        <v>211</v>
      </c>
      <c r="AA14" t="n">
        <v>216</v>
      </c>
      <c r="AB14" t="n">
        <v>3</v>
      </c>
      <c r="AC14" t="n">
        <v>3</v>
      </c>
      <c r="AD14" t="n">
        <v>3</v>
      </c>
      <c r="AE14" t="n">
        <v>3</v>
      </c>
      <c r="AF14" t="n">
        <v>1</v>
      </c>
      <c r="AG14" t="n">
        <v>1</v>
      </c>
      <c r="AH14" t="n">
        <v>2</v>
      </c>
      <c r="AI14" t="n">
        <v>2</v>
      </c>
      <c r="AJ14" t="n">
        <v>1</v>
      </c>
      <c r="AK14" t="n">
        <v>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HYPERLINK("https://creighton-primo.hosted.exlibrisgroup.com/primo-explore/search?tab=default_tab&amp;search_scope=EVERYTHING&amp;vid=01CRU&amp;lang=en_US&amp;offset=0&amp;query=any,contains,991005334029702656","Catalog Record")</f>
        <v/>
      </c>
      <c r="AT14">
        <f>HYPERLINK("http://www.worldcat.org/oclc/30802793","WorldCat Record")</f>
        <v/>
      </c>
      <c r="AU14" t="inlineStr">
        <is>
          <t>316076487:eng</t>
        </is>
      </c>
      <c r="AV14" t="inlineStr">
        <is>
          <t>30802793</t>
        </is>
      </c>
      <c r="AW14" t="inlineStr">
        <is>
          <t>991005334029702656</t>
        </is>
      </c>
      <c r="AX14" t="inlineStr">
        <is>
          <t>991005334029702656</t>
        </is>
      </c>
      <c r="AY14" t="inlineStr">
        <is>
          <t>2261098620002656</t>
        </is>
      </c>
      <c r="AZ14" t="inlineStr">
        <is>
          <t>BOOK</t>
        </is>
      </c>
      <c r="BB14" t="inlineStr">
        <is>
          <t>9781566408035</t>
        </is>
      </c>
      <c r="BC14" t="inlineStr">
        <is>
          <t>32285005543359</t>
        </is>
      </c>
      <c r="BD14" t="inlineStr">
        <is>
          <t>893263766</t>
        </is>
      </c>
    </row>
    <row r="15">
      <c r="A15" t="inlineStr">
        <is>
          <t>No</t>
        </is>
      </c>
      <c r="B15" t="inlineStr">
        <is>
          <t>NE1326.5.K58 S74 2004</t>
        </is>
      </c>
      <c r="C15" t="inlineStr">
        <is>
          <t>0                      NE 1326500K  58                 S  74          2004</t>
        </is>
      </c>
      <c r="D15" t="inlineStr">
        <is>
          <t>Japanese kite prints : selections from the Skinner collection / John Stevenson.</t>
        </is>
      </c>
      <c r="F15" t="inlineStr">
        <is>
          <t>No</t>
        </is>
      </c>
      <c r="G15" t="inlineStr">
        <is>
          <t>1</t>
        </is>
      </c>
      <c r="H15" t="inlineStr">
        <is>
          <t>No</t>
        </is>
      </c>
      <c r="I15" t="inlineStr">
        <is>
          <t>No</t>
        </is>
      </c>
      <c r="J15" t="inlineStr">
        <is>
          <t>0</t>
        </is>
      </c>
      <c r="K15" t="inlineStr">
        <is>
          <t>Stevenson, John, 1944-</t>
        </is>
      </c>
      <c r="L15" t="inlineStr">
        <is>
          <t>Seattle : Drachen Foundation, 2004.</t>
        </is>
      </c>
      <c r="M15" t="inlineStr">
        <is>
          <t>2004</t>
        </is>
      </c>
      <c r="O15" t="inlineStr">
        <is>
          <t>eng</t>
        </is>
      </c>
      <c r="P15" t="inlineStr">
        <is>
          <t>wau</t>
        </is>
      </c>
      <c r="R15" t="inlineStr">
        <is>
          <t xml:space="preserve">NE </t>
        </is>
      </c>
      <c r="S15" t="n">
        <v>1</v>
      </c>
      <c r="T15" t="n">
        <v>1</v>
      </c>
      <c r="U15" t="inlineStr">
        <is>
          <t>2005-04-07</t>
        </is>
      </c>
      <c r="V15" t="inlineStr">
        <is>
          <t>2005-04-07</t>
        </is>
      </c>
      <c r="W15" t="inlineStr">
        <is>
          <t>2005-04-07</t>
        </is>
      </c>
      <c r="X15" t="inlineStr">
        <is>
          <t>2005-04-07</t>
        </is>
      </c>
      <c r="Y15" t="n">
        <v>305</v>
      </c>
      <c r="Z15" t="n">
        <v>271</v>
      </c>
      <c r="AA15" t="n">
        <v>273</v>
      </c>
      <c r="AB15" t="n">
        <v>4</v>
      </c>
      <c r="AC15" t="n">
        <v>4</v>
      </c>
      <c r="AD15" t="n">
        <v>12</v>
      </c>
      <c r="AE15" t="n">
        <v>12</v>
      </c>
      <c r="AF15" t="n">
        <v>3</v>
      </c>
      <c r="AG15" t="n">
        <v>3</v>
      </c>
      <c r="AH15" t="n">
        <v>2</v>
      </c>
      <c r="AI15" t="n">
        <v>2</v>
      </c>
      <c r="AJ15" t="n">
        <v>5</v>
      </c>
      <c r="AK15" t="n">
        <v>5</v>
      </c>
      <c r="AL15" t="n">
        <v>3</v>
      </c>
      <c r="AM15" t="n">
        <v>3</v>
      </c>
      <c r="AN15" t="n">
        <v>0</v>
      </c>
      <c r="AO15" t="n">
        <v>0</v>
      </c>
      <c r="AP15" t="inlineStr">
        <is>
          <t>No</t>
        </is>
      </c>
      <c r="AQ15" t="inlineStr">
        <is>
          <t>Yes</t>
        </is>
      </c>
      <c r="AR15">
        <f>HYPERLINK("http://catalog.hathitrust.org/Record/004763646","HathiTrust Record")</f>
        <v/>
      </c>
      <c r="AS15">
        <f>HYPERLINK("https://creighton-primo.hosted.exlibrisgroup.com/primo-explore/search?tab=default_tab&amp;search_scope=EVERYTHING&amp;vid=01CRU&amp;lang=en_US&amp;offset=0&amp;query=any,contains,991004495669702656","Catalog Record")</f>
        <v/>
      </c>
      <c r="AT15">
        <f>HYPERLINK("http://www.worldcat.org/oclc/54960195","WorldCat Record")</f>
        <v/>
      </c>
      <c r="AU15" t="inlineStr">
        <is>
          <t>996539:eng</t>
        </is>
      </c>
      <c r="AV15" t="inlineStr">
        <is>
          <t>54960195</t>
        </is>
      </c>
      <c r="AW15" t="inlineStr">
        <is>
          <t>991004495669702656</t>
        </is>
      </c>
      <c r="AX15" t="inlineStr">
        <is>
          <t>991004495669702656</t>
        </is>
      </c>
      <c r="AY15" t="inlineStr">
        <is>
          <t>2263730560002656</t>
        </is>
      </c>
      <c r="AZ15" t="inlineStr">
        <is>
          <t>BOOK</t>
        </is>
      </c>
      <c r="BB15" t="inlineStr">
        <is>
          <t>9780295984544</t>
        </is>
      </c>
      <c r="BC15" t="inlineStr">
        <is>
          <t>32285005048516</t>
        </is>
      </c>
      <c r="BD15" t="inlineStr">
        <is>
          <t>893904891</t>
        </is>
      </c>
    </row>
    <row r="16">
      <c r="A16" t="inlineStr">
        <is>
          <t>No</t>
        </is>
      </c>
      <c r="B16" t="inlineStr">
        <is>
          <t>NE1340 .H5</t>
        </is>
      </c>
      <c r="C16" t="inlineStr">
        <is>
          <t>0                      NE 1340000H  5</t>
        </is>
      </c>
      <c r="D16" t="inlineStr">
        <is>
          <t>Gyotaku; the art and technique of the Japanese fish print, by Yoshio Hiyama.</t>
        </is>
      </c>
      <c r="F16" t="inlineStr">
        <is>
          <t>No</t>
        </is>
      </c>
      <c r="G16" t="inlineStr">
        <is>
          <t>1</t>
        </is>
      </c>
      <c r="H16" t="inlineStr">
        <is>
          <t>No</t>
        </is>
      </c>
      <c r="I16" t="inlineStr">
        <is>
          <t>No</t>
        </is>
      </c>
      <c r="J16" t="inlineStr">
        <is>
          <t>0</t>
        </is>
      </c>
      <c r="K16" t="inlineStr">
        <is>
          <t>Hiyama, Yoshio, 1909-1988.</t>
        </is>
      </c>
      <c r="L16" t="inlineStr">
        <is>
          <t>Seattle, University of Washington Press [1964]</t>
        </is>
      </c>
      <c r="M16" t="inlineStr">
        <is>
          <t>1964</t>
        </is>
      </c>
      <c r="O16" t="inlineStr">
        <is>
          <t>eng</t>
        </is>
      </c>
      <c r="P16" t="inlineStr">
        <is>
          <t>wau</t>
        </is>
      </c>
      <c r="R16" t="inlineStr">
        <is>
          <t xml:space="preserve">NE </t>
        </is>
      </c>
      <c r="S16" t="n">
        <v>3</v>
      </c>
      <c r="T16" t="n">
        <v>3</v>
      </c>
      <c r="U16" t="inlineStr">
        <is>
          <t>2000-05-22</t>
        </is>
      </c>
      <c r="V16" t="inlineStr">
        <is>
          <t>2000-05-22</t>
        </is>
      </c>
      <c r="W16" t="inlineStr">
        <is>
          <t>1997-08-06</t>
        </is>
      </c>
      <c r="X16" t="inlineStr">
        <is>
          <t>1997-08-06</t>
        </is>
      </c>
      <c r="Y16" t="n">
        <v>352</v>
      </c>
      <c r="Z16" t="n">
        <v>322</v>
      </c>
      <c r="AA16" t="n">
        <v>323</v>
      </c>
      <c r="AB16" t="n">
        <v>3</v>
      </c>
      <c r="AC16" t="n">
        <v>3</v>
      </c>
      <c r="AD16" t="n">
        <v>12</v>
      </c>
      <c r="AE16" t="n">
        <v>12</v>
      </c>
      <c r="AF16" t="n">
        <v>3</v>
      </c>
      <c r="AG16" t="n">
        <v>3</v>
      </c>
      <c r="AH16" t="n">
        <v>2</v>
      </c>
      <c r="AI16" t="n">
        <v>2</v>
      </c>
      <c r="AJ16" t="n">
        <v>9</v>
      </c>
      <c r="AK16" t="n">
        <v>9</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HYPERLINK("https://creighton-primo.hosted.exlibrisgroup.com/primo-explore/search?tab=default_tab&amp;search_scope=EVERYTHING&amp;vid=01CRU&amp;lang=en_US&amp;offset=0&amp;query=any,contains,991003070789702656","Catalog Record")</f>
        <v/>
      </c>
      <c r="AT16">
        <f>HYPERLINK("http://www.worldcat.org/oclc/625216","WorldCat Record")</f>
        <v/>
      </c>
      <c r="AU16" t="inlineStr">
        <is>
          <t>344930075:eng</t>
        </is>
      </c>
      <c r="AV16" t="inlineStr">
        <is>
          <t>625216</t>
        </is>
      </c>
      <c r="AW16" t="inlineStr">
        <is>
          <t>991003070789702656</t>
        </is>
      </c>
      <c r="AX16" t="inlineStr">
        <is>
          <t>991003070789702656</t>
        </is>
      </c>
      <c r="AY16" t="inlineStr">
        <is>
          <t>2259326230002656</t>
        </is>
      </c>
      <c r="AZ16" t="inlineStr">
        <is>
          <t>BOOK</t>
        </is>
      </c>
      <c r="BB16" t="inlineStr">
        <is>
          <t>9780295738017</t>
        </is>
      </c>
      <c r="BC16" t="inlineStr">
        <is>
          <t>32285003046603</t>
        </is>
      </c>
      <c r="BD16" t="inlineStr">
        <is>
          <t>893245989</t>
        </is>
      </c>
    </row>
    <row r="17">
      <c r="A17" t="inlineStr">
        <is>
          <t>No</t>
        </is>
      </c>
      <c r="B17" t="inlineStr">
        <is>
          <t>NE2049.5.L67 A4 1988</t>
        </is>
      </c>
      <c r="C17" t="inlineStr">
        <is>
          <t>0                      NE 2049500L  67                 A  4           1988</t>
        </is>
      </c>
      <c r="D17" t="inlineStr">
        <is>
          <t>The etchings of Claude Lorrain / Lino Mannocci.</t>
        </is>
      </c>
      <c r="F17" t="inlineStr">
        <is>
          <t>No</t>
        </is>
      </c>
      <c r="G17" t="inlineStr">
        <is>
          <t>1</t>
        </is>
      </c>
      <c r="H17" t="inlineStr">
        <is>
          <t>No</t>
        </is>
      </c>
      <c r="I17" t="inlineStr">
        <is>
          <t>No</t>
        </is>
      </c>
      <c r="J17" t="inlineStr">
        <is>
          <t>0</t>
        </is>
      </c>
      <c r="K17" t="inlineStr">
        <is>
          <t>Lorrain, Claude, 1600-1682.</t>
        </is>
      </c>
      <c r="L17" t="inlineStr">
        <is>
          <t>New Haven : Yale University Press, 1988.</t>
        </is>
      </c>
      <c r="M17" t="inlineStr">
        <is>
          <t>1988</t>
        </is>
      </c>
      <c r="O17" t="inlineStr">
        <is>
          <t>eng</t>
        </is>
      </c>
      <c r="P17" t="inlineStr">
        <is>
          <t>ctu</t>
        </is>
      </c>
      <c r="R17" t="inlineStr">
        <is>
          <t xml:space="preserve">NE </t>
        </is>
      </c>
      <c r="S17" t="n">
        <v>2</v>
      </c>
      <c r="T17" t="n">
        <v>2</v>
      </c>
      <c r="U17" t="inlineStr">
        <is>
          <t>1994-11-05</t>
        </is>
      </c>
      <c r="V17" t="inlineStr">
        <is>
          <t>1994-11-05</t>
        </is>
      </c>
      <c r="W17" t="inlineStr">
        <is>
          <t>1992-11-09</t>
        </is>
      </c>
      <c r="X17" t="inlineStr">
        <is>
          <t>1992-11-09</t>
        </is>
      </c>
      <c r="Y17" t="n">
        <v>394</v>
      </c>
      <c r="Z17" t="n">
        <v>294</v>
      </c>
      <c r="AA17" t="n">
        <v>296</v>
      </c>
      <c r="AB17" t="n">
        <v>4</v>
      </c>
      <c r="AC17" t="n">
        <v>4</v>
      </c>
      <c r="AD17" t="n">
        <v>11</v>
      </c>
      <c r="AE17" t="n">
        <v>11</v>
      </c>
      <c r="AF17" t="n">
        <v>3</v>
      </c>
      <c r="AG17" t="n">
        <v>3</v>
      </c>
      <c r="AH17" t="n">
        <v>4</v>
      </c>
      <c r="AI17" t="n">
        <v>4</v>
      </c>
      <c r="AJ17" t="n">
        <v>4</v>
      </c>
      <c r="AK17" t="n">
        <v>4</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HYPERLINK("https://creighton-primo.hosted.exlibrisgroup.com/primo-explore/search?tab=default_tab&amp;search_scope=EVERYTHING&amp;vid=01CRU&amp;lang=en_US&amp;offset=0&amp;query=any,contains,991001274949702656","Catalog Record")</f>
        <v/>
      </c>
      <c r="AT17">
        <f>HYPERLINK("http://www.worldcat.org/oclc/17873168","WorldCat Record")</f>
        <v/>
      </c>
      <c r="AU17" t="inlineStr">
        <is>
          <t>304441548:eng</t>
        </is>
      </c>
      <c r="AV17" t="inlineStr">
        <is>
          <t>17873168</t>
        </is>
      </c>
      <c r="AW17" t="inlineStr">
        <is>
          <t>991001274949702656</t>
        </is>
      </c>
      <c r="AX17" t="inlineStr">
        <is>
          <t>991001274949702656</t>
        </is>
      </c>
      <c r="AY17" t="inlineStr">
        <is>
          <t>2269598130002656</t>
        </is>
      </c>
      <c r="AZ17" t="inlineStr">
        <is>
          <t>BOOK</t>
        </is>
      </c>
      <c r="BB17" t="inlineStr">
        <is>
          <t>9780300042221</t>
        </is>
      </c>
      <c r="BC17" t="inlineStr">
        <is>
          <t>32285001360659</t>
        </is>
      </c>
      <c r="BD17" t="inlineStr">
        <is>
          <t>893420217</t>
        </is>
      </c>
    </row>
    <row r="18">
      <c r="A18" t="inlineStr">
        <is>
          <t>No</t>
        </is>
      </c>
      <c r="B18" t="inlineStr">
        <is>
          <t>NE2049.5.M3 H3</t>
        </is>
      </c>
      <c r="C18" t="inlineStr">
        <is>
          <t>0                      NE 2049500M  3                  H  3</t>
        </is>
      </c>
      <c r="D18" t="inlineStr">
        <is>
          <t>Edouard Manet: graphic works; a definitive catalogue raisonné [by] Jean C. Harris.</t>
        </is>
      </c>
      <c r="F18" t="inlineStr">
        <is>
          <t>No</t>
        </is>
      </c>
      <c r="G18" t="inlineStr">
        <is>
          <t>1</t>
        </is>
      </c>
      <c r="H18" t="inlineStr">
        <is>
          <t>No</t>
        </is>
      </c>
      <c r="I18" t="inlineStr">
        <is>
          <t>No</t>
        </is>
      </c>
      <c r="J18" t="inlineStr">
        <is>
          <t>0</t>
        </is>
      </c>
      <c r="K18" t="inlineStr">
        <is>
          <t>Harris, Jean C., 1927-1988.</t>
        </is>
      </c>
      <c r="L18" t="inlineStr">
        <is>
          <t>New York, Collectors Editions [1970]</t>
        </is>
      </c>
      <c r="M18" t="inlineStr">
        <is>
          <t>1970</t>
        </is>
      </c>
      <c r="O18" t="inlineStr">
        <is>
          <t>eng</t>
        </is>
      </c>
      <c r="P18" t="inlineStr">
        <is>
          <t>nyu</t>
        </is>
      </c>
      <c r="R18" t="inlineStr">
        <is>
          <t xml:space="preserve">NE </t>
        </is>
      </c>
      <c r="S18" t="n">
        <v>2</v>
      </c>
      <c r="T18" t="n">
        <v>2</v>
      </c>
      <c r="U18" t="inlineStr">
        <is>
          <t>1999-03-09</t>
        </is>
      </c>
      <c r="V18" t="inlineStr">
        <is>
          <t>1999-03-09</t>
        </is>
      </c>
      <c r="W18" t="inlineStr">
        <is>
          <t>1997-08-06</t>
        </is>
      </c>
      <c r="X18" t="inlineStr">
        <is>
          <t>1997-08-06</t>
        </is>
      </c>
      <c r="Y18" t="n">
        <v>401</v>
      </c>
      <c r="Z18" t="n">
        <v>333</v>
      </c>
      <c r="AA18" t="n">
        <v>334</v>
      </c>
      <c r="AB18" t="n">
        <v>3</v>
      </c>
      <c r="AC18" t="n">
        <v>3</v>
      </c>
      <c r="AD18" t="n">
        <v>13</v>
      </c>
      <c r="AE18" t="n">
        <v>13</v>
      </c>
      <c r="AF18" t="n">
        <v>3</v>
      </c>
      <c r="AG18" t="n">
        <v>3</v>
      </c>
      <c r="AH18" t="n">
        <v>3</v>
      </c>
      <c r="AI18" t="n">
        <v>3</v>
      </c>
      <c r="AJ18" t="n">
        <v>6</v>
      </c>
      <c r="AK18" t="n">
        <v>6</v>
      </c>
      <c r="AL18" t="n">
        <v>2</v>
      </c>
      <c r="AM18" t="n">
        <v>2</v>
      </c>
      <c r="AN18" t="n">
        <v>0</v>
      </c>
      <c r="AO18" t="n">
        <v>0</v>
      </c>
      <c r="AP18" t="inlineStr">
        <is>
          <t>No</t>
        </is>
      </c>
      <c r="AQ18" t="inlineStr">
        <is>
          <t>Yes</t>
        </is>
      </c>
      <c r="AR18">
        <f>HYPERLINK("http://catalog.hathitrust.org/Record/001470266","HathiTrust Record")</f>
        <v/>
      </c>
      <c r="AS18">
        <f>HYPERLINK("https://creighton-primo.hosted.exlibrisgroup.com/primo-explore/search?tab=default_tab&amp;search_scope=EVERYTHING&amp;vid=01CRU&amp;lang=en_US&amp;offset=0&amp;query=any,contains,991000835269702656","Catalog Record")</f>
        <v/>
      </c>
      <c r="AT18">
        <f>HYPERLINK("http://www.worldcat.org/oclc/148563","WorldCat Record")</f>
        <v/>
      </c>
      <c r="AU18" t="inlineStr">
        <is>
          <t>1334594:eng</t>
        </is>
      </c>
      <c r="AV18" t="inlineStr">
        <is>
          <t>148563</t>
        </is>
      </c>
      <c r="AW18" t="inlineStr">
        <is>
          <t>991000835269702656</t>
        </is>
      </c>
      <c r="AX18" t="inlineStr">
        <is>
          <t>991000835269702656</t>
        </is>
      </c>
      <c r="AY18" t="inlineStr">
        <is>
          <t>2260099400002656</t>
        </is>
      </c>
      <c r="AZ18" t="inlineStr">
        <is>
          <t>BOOK</t>
        </is>
      </c>
      <c r="BB18" t="inlineStr">
        <is>
          <t>9780876810408</t>
        </is>
      </c>
      <c r="BC18" t="inlineStr">
        <is>
          <t>32285003046678</t>
        </is>
      </c>
      <c r="BD18" t="inlineStr">
        <is>
          <t>893865730</t>
        </is>
      </c>
    </row>
    <row r="19">
      <c r="A19" t="inlineStr">
        <is>
          <t>No</t>
        </is>
      </c>
      <c r="B19" t="inlineStr">
        <is>
          <t>NE2062.5 .G6 L6 1970 V.2</t>
        </is>
      </c>
      <c r="C19" t="inlineStr">
        <is>
          <t>0                      NE 2062500G  6                  L  6           1970                  V.2</t>
        </is>
      </c>
      <c r="D19" t="inlineStr">
        <is>
          <t>Goya's Caprichos : beauty, reason &amp; caricature.</t>
        </is>
      </c>
      <c r="E19" t="inlineStr">
        <is>
          <t>V. 2</t>
        </is>
      </c>
      <c r="F19" t="inlineStr">
        <is>
          <t>Yes</t>
        </is>
      </c>
      <c r="G19" t="inlineStr">
        <is>
          <t>1</t>
        </is>
      </c>
      <c r="H19" t="inlineStr">
        <is>
          <t>No</t>
        </is>
      </c>
      <c r="I19" t="inlineStr">
        <is>
          <t>No</t>
        </is>
      </c>
      <c r="J19" t="inlineStr">
        <is>
          <t>0</t>
        </is>
      </c>
      <c r="K19" t="inlineStr">
        <is>
          <t>López-Rey, José.</t>
        </is>
      </c>
      <c r="L19" t="inlineStr">
        <is>
          <t>Westport, Conn. : Greenwood Press, [1970, c1953]</t>
        </is>
      </c>
      <c r="M19" t="inlineStr">
        <is>
          <t>1970</t>
        </is>
      </c>
      <c r="O19" t="inlineStr">
        <is>
          <t>eng</t>
        </is>
      </c>
      <c r="P19" t="inlineStr">
        <is>
          <t>ctu</t>
        </is>
      </c>
      <c r="R19" t="inlineStr">
        <is>
          <t xml:space="preserve">NE </t>
        </is>
      </c>
      <c r="S19" t="n">
        <v>2</v>
      </c>
      <c r="T19" t="n">
        <v>9</v>
      </c>
      <c r="U19" t="inlineStr">
        <is>
          <t>1995-02-28</t>
        </is>
      </c>
      <c r="V19" t="inlineStr">
        <is>
          <t>2003-11-09</t>
        </is>
      </c>
      <c r="W19" t="inlineStr">
        <is>
          <t>1993-01-05</t>
        </is>
      </c>
      <c r="X19" t="inlineStr">
        <is>
          <t>1993-01-05</t>
        </is>
      </c>
      <c r="Y19" t="n">
        <v>274</v>
      </c>
      <c r="Z19" t="n">
        <v>233</v>
      </c>
      <c r="AA19" t="n">
        <v>547</v>
      </c>
      <c r="AB19" t="n">
        <v>2</v>
      </c>
      <c r="AC19" t="n">
        <v>5</v>
      </c>
      <c r="AD19" t="n">
        <v>12</v>
      </c>
      <c r="AE19" t="n">
        <v>24</v>
      </c>
      <c r="AF19" t="n">
        <v>2</v>
      </c>
      <c r="AG19" t="n">
        <v>8</v>
      </c>
      <c r="AH19" t="n">
        <v>6</v>
      </c>
      <c r="AI19" t="n">
        <v>8</v>
      </c>
      <c r="AJ19" t="n">
        <v>5</v>
      </c>
      <c r="AK19" t="n">
        <v>10</v>
      </c>
      <c r="AL19" t="n">
        <v>1</v>
      </c>
      <c r="AM19" t="n">
        <v>2</v>
      </c>
      <c r="AN19" t="n">
        <v>0</v>
      </c>
      <c r="AO19" t="n">
        <v>0</v>
      </c>
      <c r="AP19" t="inlineStr">
        <is>
          <t>No</t>
        </is>
      </c>
      <c r="AQ19" t="inlineStr">
        <is>
          <t>Yes</t>
        </is>
      </c>
      <c r="AR19">
        <f>HYPERLINK("http://catalog.hathitrust.org/Record/004505496","HathiTrust Record")</f>
        <v/>
      </c>
      <c r="AS19">
        <f>HYPERLINK("https://creighton-primo.hosted.exlibrisgroup.com/primo-explore/search?tab=default_tab&amp;search_scope=EVERYTHING&amp;vid=01CRU&amp;lang=en_US&amp;offset=0&amp;query=any,contains,991000730109702656","Catalog Record")</f>
        <v/>
      </c>
      <c r="AT19">
        <f>HYPERLINK("http://www.worldcat.org/oclc/128369","WorldCat Record")</f>
        <v/>
      </c>
      <c r="AU19" t="inlineStr">
        <is>
          <t>836657019:eng</t>
        </is>
      </c>
      <c r="AV19" t="inlineStr">
        <is>
          <t>128369</t>
        </is>
      </c>
      <c r="AW19" t="inlineStr">
        <is>
          <t>991000730109702656</t>
        </is>
      </c>
      <c r="AX19" t="inlineStr">
        <is>
          <t>991000730109702656</t>
        </is>
      </c>
      <c r="AY19" t="inlineStr">
        <is>
          <t>2261670400002656</t>
        </is>
      </c>
      <c r="AZ19" t="inlineStr">
        <is>
          <t>BOOK</t>
        </is>
      </c>
      <c r="BB19" t="inlineStr">
        <is>
          <t>9780837144658</t>
        </is>
      </c>
      <c r="BC19" t="inlineStr">
        <is>
          <t>32285001472009</t>
        </is>
      </c>
      <c r="BD19" t="inlineStr">
        <is>
          <t>893432243</t>
        </is>
      </c>
    </row>
    <row r="20">
      <c r="A20" t="inlineStr">
        <is>
          <t>No</t>
        </is>
      </c>
      <c r="B20" t="inlineStr">
        <is>
          <t>NE2062.5.G6 A41 1989</t>
        </is>
      </c>
      <c r="C20" t="inlineStr">
        <is>
          <t>0                      NE 2062500G  6                  A  41          1989</t>
        </is>
      </c>
      <c r="D20" t="inlineStr">
        <is>
          <t>Graphic evolutions : the print series of Francisco Goya / by Janis A. Tomlinson ; with an introduction by David Rosand.</t>
        </is>
      </c>
      <c r="F20" t="inlineStr">
        <is>
          <t>No</t>
        </is>
      </c>
      <c r="G20" t="inlineStr">
        <is>
          <t>1</t>
        </is>
      </c>
      <c r="H20" t="inlineStr">
        <is>
          <t>No</t>
        </is>
      </c>
      <c r="I20" t="inlineStr">
        <is>
          <t>No</t>
        </is>
      </c>
      <c r="J20" t="inlineStr">
        <is>
          <t>0</t>
        </is>
      </c>
      <c r="K20" t="inlineStr">
        <is>
          <t>Tomlinson, Janis A.</t>
        </is>
      </c>
      <c r="L20" t="inlineStr">
        <is>
          <t>New York : Columbia University Press, c1989.</t>
        </is>
      </c>
      <c r="M20" t="inlineStr">
        <is>
          <t>1989</t>
        </is>
      </c>
      <c r="O20" t="inlineStr">
        <is>
          <t>eng</t>
        </is>
      </c>
      <c r="P20" t="inlineStr">
        <is>
          <t>nyu</t>
        </is>
      </c>
      <c r="Q20" t="inlineStr">
        <is>
          <t>Columbia studies on art ; no. 2</t>
        </is>
      </c>
      <c r="R20" t="inlineStr">
        <is>
          <t xml:space="preserve">NE </t>
        </is>
      </c>
      <c r="S20" t="n">
        <v>3</v>
      </c>
      <c r="T20" t="n">
        <v>3</v>
      </c>
      <c r="U20" t="inlineStr">
        <is>
          <t>1995-02-28</t>
        </is>
      </c>
      <c r="V20" t="inlineStr">
        <is>
          <t>1995-02-28</t>
        </is>
      </c>
      <c r="W20" t="inlineStr">
        <is>
          <t>1990-06-12</t>
        </is>
      </c>
      <c r="X20" t="inlineStr">
        <is>
          <t>1990-06-12</t>
        </is>
      </c>
      <c r="Y20" t="n">
        <v>484</v>
      </c>
      <c r="Z20" t="n">
        <v>391</v>
      </c>
      <c r="AA20" t="n">
        <v>396</v>
      </c>
      <c r="AB20" t="n">
        <v>5</v>
      </c>
      <c r="AC20" t="n">
        <v>5</v>
      </c>
      <c r="AD20" t="n">
        <v>16</v>
      </c>
      <c r="AE20" t="n">
        <v>16</v>
      </c>
      <c r="AF20" t="n">
        <v>7</v>
      </c>
      <c r="AG20" t="n">
        <v>7</v>
      </c>
      <c r="AH20" t="n">
        <v>4</v>
      </c>
      <c r="AI20" t="n">
        <v>4</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HYPERLINK("https://creighton-primo.hosted.exlibrisgroup.com/primo-explore/search?tab=default_tab&amp;search_scope=EVERYTHING&amp;vid=01CRU&amp;lang=en_US&amp;offset=0&amp;query=any,contains,991001335459702656","Catalog Record")</f>
        <v/>
      </c>
      <c r="AT20">
        <f>HYPERLINK("http://www.worldcat.org/oclc/18351158","WorldCat Record")</f>
        <v/>
      </c>
      <c r="AU20" t="inlineStr">
        <is>
          <t>889756435:eng</t>
        </is>
      </c>
      <c r="AV20" t="inlineStr">
        <is>
          <t>18351158</t>
        </is>
      </c>
      <c r="AW20" t="inlineStr">
        <is>
          <t>991001335459702656</t>
        </is>
      </c>
      <c r="AX20" t="inlineStr">
        <is>
          <t>991001335459702656</t>
        </is>
      </c>
      <c r="AY20" t="inlineStr">
        <is>
          <t>2265961300002656</t>
        </is>
      </c>
      <c r="AZ20" t="inlineStr">
        <is>
          <t>BOOK</t>
        </is>
      </c>
      <c r="BB20" t="inlineStr">
        <is>
          <t>9780231068659</t>
        </is>
      </c>
      <c r="BC20" t="inlineStr">
        <is>
          <t>32285000175710</t>
        </is>
      </c>
      <c r="BD20" t="inlineStr">
        <is>
          <t>893702940</t>
        </is>
      </c>
    </row>
    <row r="21">
      <c r="A21" t="inlineStr">
        <is>
          <t>No</t>
        </is>
      </c>
      <c r="B21" t="inlineStr">
        <is>
          <t>NE2062.5.G6 A64 1989</t>
        </is>
      </c>
      <c r="C21" t="inlineStr">
        <is>
          <t>0                      NE 2062500G  6                  A  64          1989</t>
        </is>
      </c>
      <c r="D21" t="inlineStr">
        <is>
          <t>Los caprichos de Francisco de Goya y Lucientes / Camilo José Cela.</t>
        </is>
      </c>
      <c r="F21" t="inlineStr">
        <is>
          <t>No</t>
        </is>
      </c>
      <c r="G21" t="inlineStr">
        <is>
          <t>1</t>
        </is>
      </c>
      <c r="H21" t="inlineStr">
        <is>
          <t>No</t>
        </is>
      </c>
      <c r="I21" t="inlineStr">
        <is>
          <t>No</t>
        </is>
      </c>
      <c r="J21" t="inlineStr">
        <is>
          <t>0</t>
        </is>
      </c>
      <c r="K21" t="inlineStr">
        <is>
          <t>Cela, Camilo José, 1916-2002.</t>
        </is>
      </c>
      <c r="L21" t="inlineStr">
        <is>
          <t>[Spain] : Silex, c1989.</t>
        </is>
      </c>
      <c r="M21" t="inlineStr">
        <is>
          <t>1989</t>
        </is>
      </c>
      <c r="O21" t="inlineStr">
        <is>
          <t>spa</t>
        </is>
      </c>
      <c r="P21" t="inlineStr">
        <is>
          <t xml:space="preserve">sp </t>
        </is>
      </c>
      <c r="R21" t="inlineStr">
        <is>
          <t xml:space="preserve">NE </t>
        </is>
      </c>
      <c r="S21" t="n">
        <v>4</v>
      </c>
      <c r="T21" t="n">
        <v>4</v>
      </c>
      <c r="U21" t="inlineStr">
        <is>
          <t>2003-11-09</t>
        </is>
      </c>
      <c r="V21" t="inlineStr">
        <is>
          <t>2003-11-09</t>
        </is>
      </c>
      <c r="W21" t="inlineStr">
        <is>
          <t>1991-04-24</t>
        </is>
      </c>
      <c r="X21" t="inlineStr">
        <is>
          <t>1991-04-24</t>
        </is>
      </c>
      <c r="Y21" t="n">
        <v>93</v>
      </c>
      <c r="Z21" t="n">
        <v>73</v>
      </c>
      <c r="AA21" t="n">
        <v>75</v>
      </c>
      <c r="AB21" t="n">
        <v>2</v>
      </c>
      <c r="AC21" t="n">
        <v>2</v>
      </c>
      <c r="AD21" t="n">
        <v>2</v>
      </c>
      <c r="AE21" t="n">
        <v>2</v>
      </c>
      <c r="AF21" t="n">
        <v>0</v>
      </c>
      <c r="AG21" t="n">
        <v>0</v>
      </c>
      <c r="AH21" t="n">
        <v>1</v>
      </c>
      <c r="AI21" t="n">
        <v>1</v>
      </c>
      <c r="AJ21" t="n">
        <v>0</v>
      </c>
      <c r="AK21" t="n">
        <v>0</v>
      </c>
      <c r="AL21" t="n">
        <v>1</v>
      </c>
      <c r="AM21" t="n">
        <v>1</v>
      </c>
      <c r="AN21" t="n">
        <v>0</v>
      </c>
      <c r="AO21" t="n">
        <v>0</v>
      </c>
      <c r="AP21" t="inlineStr">
        <is>
          <t>No</t>
        </is>
      </c>
      <c r="AQ21" t="inlineStr">
        <is>
          <t>Yes</t>
        </is>
      </c>
      <c r="AR21">
        <f>HYPERLINK("http://catalog.hathitrust.org/Record/002169303","HathiTrust Record")</f>
        <v/>
      </c>
      <c r="AS21">
        <f>HYPERLINK("https://creighton-primo.hosted.exlibrisgroup.com/primo-explore/search?tab=default_tab&amp;search_scope=EVERYTHING&amp;vid=01CRU&amp;lang=en_US&amp;offset=0&amp;query=any,contains,991001740559702656","Catalog Record")</f>
        <v/>
      </c>
      <c r="AT21">
        <f>HYPERLINK("http://www.worldcat.org/oclc/22003504","WorldCat Record")</f>
        <v/>
      </c>
      <c r="AU21" t="inlineStr">
        <is>
          <t>355676134:spa</t>
        </is>
      </c>
      <c r="AV21" t="inlineStr">
        <is>
          <t>22003504</t>
        </is>
      </c>
      <c r="AW21" t="inlineStr">
        <is>
          <t>991001740559702656</t>
        </is>
      </c>
      <c r="AX21" t="inlineStr">
        <is>
          <t>991001740559702656</t>
        </is>
      </c>
      <c r="AY21" t="inlineStr">
        <is>
          <t>2269777310002656</t>
        </is>
      </c>
      <c r="AZ21" t="inlineStr">
        <is>
          <t>BOOK</t>
        </is>
      </c>
      <c r="BB21" t="inlineStr">
        <is>
          <t>9788477370185</t>
        </is>
      </c>
      <c r="BC21" t="inlineStr">
        <is>
          <t>32285000568963</t>
        </is>
      </c>
      <c r="BD21" t="inlineStr">
        <is>
          <t>893866441</t>
        </is>
      </c>
    </row>
    <row r="22">
      <c r="A22" t="inlineStr">
        <is>
          <t>No</t>
        </is>
      </c>
      <c r="B22" t="inlineStr">
        <is>
          <t>NE2062.5.G6 L6 1970</t>
        </is>
      </c>
      <c r="C22" t="inlineStr">
        <is>
          <t>0                      NE 2062500G  6                  L  6           1970</t>
        </is>
      </c>
      <c r="D22" t="inlineStr">
        <is>
          <t>Goya's Caprichos : beauty, reason &amp; caricature.</t>
        </is>
      </c>
      <c r="E22" t="inlineStr">
        <is>
          <t>V. 1</t>
        </is>
      </c>
      <c r="F22" t="inlineStr">
        <is>
          <t>Yes</t>
        </is>
      </c>
      <c r="G22" t="inlineStr">
        <is>
          <t>1</t>
        </is>
      </c>
      <c r="H22" t="inlineStr">
        <is>
          <t>No</t>
        </is>
      </c>
      <c r="I22" t="inlineStr">
        <is>
          <t>No</t>
        </is>
      </c>
      <c r="J22" t="inlineStr">
        <is>
          <t>0</t>
        </is>
      </c>
      <c r="K22" t="inlineStr">
        <is>
          <t>López-Rey, José.</t>
        </is>
      </c>
      <c r="L22" t="inlineStr">
        <is>
          <t>Westport, Conn. : Greenwood Press, [1970, c1953]</t>
        </is>
      </c>
      <c r="M22" t="inlineStr">
        <is>
          <t>1970</t>
        </is>
      </c>
      <c r="O22" t="inlineStr">
        <is>
          <t>eng</t>
        </is>
      </c>
      <c r="P22" t="inlineStr">
        <is>
          <t>ctu</t>
        </is>
      </c>
      <c r="R22" t="inlineStr">
        <is>
          <t xml:space="preserve">NE </t>
        </is>
      </c>
      <c r="S22" t="n">
        <v>7</v>
      </c>
      <c r="T22" t="n">
        <v>9</v>
      </c>
      <c r="U22" t="inlineStr">
        <is>
          <t>2003-11-09</t>
        </is>
      </c>
      <c r="V22" t="inlineStr">
        <is>
          <t>2003-11-09</t>
        </is>
      </c>
      <c r="W22" t="inlineStr">
        <is>
          <t>1993-01-05</t>
        </is>
      </c>
      <c r="X22" t="inlineStr">
        <is>
          <t>1993-01-05</t>
        </is>
      </c>
      <c r="Y22" t="n">
        <v>274</v>
      </c>
      <c r="Z22" t="n">
        <v>233</v>
      </c>
      <c r="AA22" t="n">
        <v>547</v>
      </c>
      <c r="AB22" t="n">
        <v>2</v>
      </c>
      <c r="AC22" t="n">
        <v>5</v>
      </c>
      <c r="AD22" t="n">
        <v>12</v>
      </c>
      <c r="AE22" t="n">
        <v>24</v>
      </c>
      <c r="AF22" t="n">
        <v>2</v>
      </c>
      <c r="AG22" t="n">
        <v>8</v>
      </c>
      <c r="AH22" t="n">
        <v>6</v>
      </c>
      <c r="AI22" t="n">
        <v>8</v>
      </c>
      <c r="AJ22" t="n">
        <v>5</v>
      </c>
      <c r="AK22" t="n">
        <v>10</v>
      </c>
      <c r="AL22" t="n">
        <v>1</v>
      </c>
      <c r="AM22" t="n">
        <v>2</v>
      </c>
      <c r="AN22" t="n">
        <v>0</v>
      </c>
      <c r="AO22" t="n">
        <v>0</v>
      </c>
      <c r="AP22" t="inlineStr">
        <is>
          <t>No</t>
        </is>
      </c>
      <c r="AQ22" t="inlineStr">
        <is>
          <t>Yes</t>
        </is>
      </c>
      <c r="AR22">
        <f>HYPERLINK("http://catalog.hathitrust.org/Record/004505496","HathiTrust Record")</f>
        <v/>
      </c>
      <c r="AS22">
        <f>HYPERLINK("https://creighton-primo.hosted.exlibrisgroup.com/primo-explore/search?tab=default_tab&amp;search_scope=EVERYTHING&amp;vid=01CRU&amp;lang=en_US&amp;offset=0&amp;query=any,contains,991000730109702656","Catalog Record")</f>
        <v/>
      </c>
      <c r="AT22">
        <f>HYPERLINK("http://www.worldcat.org/oclc/128369","WorldCat Record")</f>
        <v/>
      </c>
      <c r="AU22" t="inlineStr">
        <is>
          <t>836657019:eng</t>
        </is>
      </c>
      <c r="AV22" t="inlineStr">
        <is>
          <t>128369</t>
        </is>
      </c>
      <c r="AW22" t="inlineStr">
        <is>
          <t>991000730109702656</t>
        </is>
      </c>
      <c r="AX22" t="inlineStr">
        <is>
          <t>991000730109702656</t>
        </is>
      </c>
      <c r="AY22" t="inlineStr">
        <is>
          <t>2261670400002656</t>
        </is>
      </c>
      <c r="AZ22" t="inlineStr">
        <is>
          <t>BOOK</t>
        </is>
      </c>
      <c r="BB22" t="inlineStr">
        <is>
          <t>9780837144658</t>
        </is>
      </c>
      <c r="BC22" t="inlineStr">
        <is>
          <t>32285001471993</t>
        </is>
      </c>
      <c r="BD22" t="inlineStr">
        <is>
          <t>893419729</t>
        </is>
      </c>
    </row>
    <row r="23">
      <c r="A23" t="inlineStr">
        <is>
          <t>No</t>
        </is>
      </c>
      <c r="B23" t="inlineStr">
        <is>
          <t>NE2165.R5 B58</t>
        </is>
      </c>
      <c r="C23" t="inlineStr">
        <is>
          <t>0                      NE 2165000R  5                  B  58</t>
        </is>
      </c>
      <c r="D23" t="inlineStr">
        <is>
          <t>Rembrandt : the complete etchings / [By] K.G. Boon. [Translated from the Dutch by Elizabeth Willems-Treman]</t>
        </is>
      </c>
      <c r="F23" t="inlineStr">
        <is>
          <t>No</t>
        </is>
      </c>
      <c r="G23" t="inlineStr">
        <is>
          <t>1</t>
        </is>
      </c>
      <c r="H23" t="inlineStr">
        <is>
          <t>No</t>
        </is>
      </c>
      <c r="I23" t="inlineStr">
        <is>
          <t>No</t>
        </is>
      </c>
      <c r="J23" t="inlineStr">
        <is>
          <t>0</t>
        </is>
      </c>
      <c r="K23" t="inlineStr">
        <is>
          <t>Rembrandt Harmenszoon van Rijn, 1606-1669.</t>
        </is>
      </c>
      <c r="L23" t="inlineStr">
        <is>
          <t>New York, H.N. Abrams [1963]</t>
        </is>
      </c>
      <c r="M23" t="inlineStr">
        <is>
          <t>1963</t>
        </is>
      </c>
      <c r="O23" t="inlineStr">
        <is>
          <t>eng</t>
        </is>
      </c>
      <c r="P23" t="inlineStr">
        <is>
          <t>nyu</t>
        </is>
      </c>
      <c r="R23" t="inlineStr">
        <is>
          <t xml:space="preserve">NE </t>
        </is>
      </c>
      <c r="S23" t="n">
        <v>3</v>
      </c>
      <c r="T23" t="n">
        <v>3</v>
      </c>
      <c r="U23" t="inlineStr">
        <is>
          <t>2003-04-17</t>
        </is>
      </c>
      <c r="V23" t="inlineStr">
        <is>
          <t>2003-04-17</t>
        </is>
      </c>
      <c r="W23" t="inlineStr">
        <is>
          <t>1997-05-28</t>
        </is>
      </c>
      <c r="X23" t="inlineStr">
        <is>
          <t>1997-05-28</t>
        </is>
      </c>
      <c r="Y23" t="n">
        <v>877</v>
      </c>
      <c r="Z23" t="n">
        <v>812</v>
      </c>
      <c r="AA23" t="n">
        <v>848</v>
      </c>
      <c r="AB23" t="n">
        <v>5</v>
      </c>
      <c r="AC23" t="n">
        <v>5</v>
      </c>
      <c r="AD23" t="n">
        <v>27</v>
      </c>
      <c r="AE23" t="n">
        <v>30</v>
      </c>
      <c r="AF23" t="n">
        <v>12</v>
      </c>
      <c r="AG23" t="n">
        <v>12</v>
      </c>
      <c r="AH23" t="n">
        <v>5</v>
      </c>
      <c r="AI23" t="n">
        <v>7</v>
      </c>
      <c r="AJ23" t="n">
        <v>11</v>
      </c>
      <c r="AK23" t="n">
        <v>13</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HYPERLINK("https://creighton-primo.hosted.exlibrisgroup.com/primo-explore/search?tab=default_tab&amp;search_scope=EVERYTHING&amp;vid=01CRU&amp;lang=en_US&amp;offset=0&amp;query=any,contains,991002905759702656","Catalog Record")</f>
        <v/>
      </c>
      <c r="AT23">
        <f>HYPERLINK("http://www.worldcat.org/oclc/519350","WorldCat Record")</f>
        <v/>
      </c>
      <c r="AU23" t="inlineStr">
        <is>
          <t>22853984:eng</t>
        </is>
      </c>
      <c r="AV23" t="inlineStr">
        <is>
          <t>519350</t>
        </is>
      </c>
      <c r="AW23" t="inlineStr">
        <is>
          <t>991002905759702656</t>
        </is>
      </c>
      <c r="AX23" t="inlineStr">
        <is>
          <t>991002905759702656</t>
        </is>
      </c>
      <c r="AY23" t="inlineStr">
        <is>
          <t>2256819130002656</t>
        </is>
      </c>
      <c r="AZ23" t="inlineStr">
        <is>
          <t>BOOK</t>
        </is>
      </c>
      <c r="BC23" t="inlineStr">
        <is>
          <t>32285002698735</t>
        </is>
      </c>
      <c r="BD23" t="inlineStr">
        <is>
          <t>893793086</t>
        </is>
      </c>
    </row>
    <row r="24">
      <c r="A24" t="inlineStr">
        <is>
          <t>No</t>
        </is>
      </c>
      <c r="B24" t="inlineStr">
        <is>
          <t>NE2165.R5 S78</t>
        </is>
      </c>
      <c r="C24" t="inlineStr">
        <is>
          <t>0                      NE 2165000R  5                  S  78</t>
        </is>
      </c>
      <c r="D24" t="inlineStr">
        <is>
          <t>Rembrandt: experimental etcher. [Catalogue was prepared jointly by Felice Stampfle and others]</t>
        </is>
      </c>
      <c r="F24" t="inlineStr">
        <is>
          <t>No</t>
        </is>
      </c>
      <c r="G24" t="inlineStr">
        <is>
          <t>1</t>
        </is>
      </c>
      <c r="H24" t="inlineStr">
        <is>
          <t>No</t>
        </is>
      </c>
      <c r="I24" t="inlineStr">
        <is>
          <t>No</t>
        </is>
      </c>
      <c r="J24" t="inlineStr">
        <is>
          <t>0</t>
        </is>
      </c>
      <c r="K24" t="inlineStr">
        <is>
          <t>Rembrandt Harmenszoon van Rijn, 1606-1669.</t>
        </is>
      </c>
      <c r="L24" t="inlineStr">
        <is>
          <t>Boston, Museum of Fine Arts; distributed by New York Graphic Society, Greenwich, Conn. [1969]</t>
        </is>
      </c>
      <c r="M24" t="inlineStr">
        <is>
          <t>1969</t>
        </is>
      </c>
      <c r="O24" t="inlineStr">
        <is>
          <t>eng</t>
        </is>
      </c>
      <c r="P24" t="inlineStr">
        <is>
          <t>ctu</t>
        </is>
      </c>
      <c r="R24" t="inlineStr">
        <is>
          <t xml:space="preserve">NE </t>
        </is>
      </c>
      <c r="S24" t="n">
        <v>2</v>
      </c>
      <c r="T24" t="n">
        <v>2</v>
      </c>
      <c r="U24" t="inlineStr">
        <is>
          <t>1997-09-13</t>
        </is>
      </c>
      <c r="V24" t="inlineStr">
        <is>
          <t>1997-09-13</t>
        </is>
      </c>
      <c r="W24" t="inlineStr">
        <is>
          <t>1997-08-07</t>
        </is>
      </c>
      <c r="X24" t="inlineStr">
        <is>
          <t>1997-08-07</t>
        </is>
      </c>
      <c r="Y24" t="n">
        <v>546</v>
      </c>
      <c r="Z24" t="n">
        <v>490</v>
      </c>
      <c r="AA24" t="n">
        <v>492</v>
      </c>
      <c r="AB24" t="n">
        <v>3</v>
      </c>
      <c r="AC24" t="n">
        <v>3</v>
      </c>
      <c r="AD24" t="n">
        <v>16</v>
      </c>
      <c r="AE24" t="n">
        <v>16</v>
      </c>
      <c r="AF24" t="n">
        <v>8</v>
      </c>
      <c r="AG24" t="n">
        <v>8</v>
      </c>
      <c r="AH24" t="n">
        <v>5</v>
      </c>
      <c r="AI24" t="n">
        <v>5</v>
      </c>
      <c r="AJ24" t="n">
        <v>7</v>
      </c>
      <c r="AK24" t="n">
        <v>7</v>
      </c>
      <c r="AL24" t="n">
        <v>1</v>
      </c>
      <c r="AM24" t="n">
        <v>1</v>
      </c>
      <c r="AN24" t="n">
        <v>0</v>
      </c>
      <c r="AO24" t="n">
        <v>0</v>
      </c>
      <c r="AP24" t="inlineStr">
        <is>
          <t>No</t>
        </is>
      </c>
      <c r="AQ24" t="inlineStr">
        <is>
          <t>Yes</t>
        </is>
      </c>
      <c r="AR24">
        <f>HYPERLINK("http://catalog.hathitrust.org/Record/001470289","HathiTrust Record")</f>
        <v/>
      </c>
      <c r="AS24">
        <f>HYPERLINK("https://creighton-primo.hosted.exlibrisgroup.com/primo-explore/search?tab=default_tab&amp;search_scope=EVERYTHING&amp;vid=01CRU&amp;lang=en_US&amp;offset=0&amp;query=any,contains,991000146809702656","Catalog Record")</f>
        <v/>
      </c>
      <c r="AT24">
        <f>HYPERLINK("http://www.worldcat.org/oclc/59029","WorldCat Record")</f>
        <v/>
      </c>
      <c r="AU24" t="inlineStr">
        <is>
          <t>1198286:eng</t>
        </is>
      </c>
      <c r="AV24" t="inlineStr">
        <is>
          <t>59029</t>
        </is>
      </c>
      <c r="AW24" t="inlineStr">
        <is>
          <t>991000146809702656</t>
        </is>
      </c>
      <c r="AX24" t="inlineStr">
        <is>
          <t>991000146809702656</t>
        </is>
      </c>
      <c r="AY24" t="inlineStr">
        <is>
          <t>2260552640002656</t>
        </is>
      </c>
      <c r="AZ24" t="inlineStr">
        <is>
          <t>BOOK</t>
        </is>
      </c>
      <c r="BC24" t="inlineStr">
        <is>
          <t>32285003046736</t>
        </is>
      </c>
      <c r="BD24" t="inlineStr">
        <is>
          <t>893327071</t>
        </is>
      </c>
    </row>
    <row r="25">
      <c r="A25" t="inlineStr">
        <is>
          <t>No</t>
        </is>
      </c>
      <c r="B25" t="inlineStr">
        <is>
          <t>NE2210.M38 L52</t>
        </is>
      </c>
      <c r="C25" t="inlineStr">
        <is>
          <t>0                      NE 2210000M  38                 L  52</t>
        </is>
      </c>
      <c r="D25" t="inlineStr">
        <is>
          <t>Matisse: 50 years of his graphic art. Text by William S. Lieberman.</t>
        </is>
      </c>
      <c r="F25" t="inlineStr">
        <is>
          <t>No</t>
        </is>
      </c>
      <c r="G25" t="inlineStr">
        <is>
          <t>1</t>
        </is>
      </c>
      <c r="H25" t="inlineStr">
        <is>
          <t>No</t>
        </is>
      </c>
      <c r="I25" t="inlineStr">
        <is>
          <t>No</t>
        </is>
      </c>
      <c r="J25" t="inlineStr">
        <is>
          <t>0</t>
        </is>
      </c>
      <c r="K25" t="inlineStr">
        <is>
          <t>Matisse, Henri, 1869-1954.</t>
        </is>
      </c>
      <c r="L25" t="inlineStr">
        <is>
          <t>New York, G. Braziller, 1956.</t>
        </is>
      </c>
      <c r="M25" t="inlineStr">
        <is>
          <t>1956</t>
        </is>
      </c>
      <c r="O25" t="inlineStr">
        <is>
          <t>eng</t>
        </is>
      </c>
      <c r="P25" t="inlineStr">
        <is>
          <t xml:space="preserve">xx </t>
        </is>
      </c>
      <c r="R25" t="inlineStr">
        <is>
          <t xml:space="preserve">NE </t>
        </is>
      </c>
      <c r="S25" t="n">
        <v>2</v>
      </c>
      <c r="T25" t="n">
        <v>2</v>
      </c>
      <c r="U25" t="inlineStr">
        <is>
          <t>2003-05-19</t>
        </is>
      </c>
      <c r="V25" t="inlineStr">
        <is>
          <t>2003-05-19</t>
        </is>
      </c>
      <c r="W25" t="inlineStr">
        <is>
          <t>1997-08-07</t>
        </is>
      </c>
      <c r="X25" t="inlineStr">
        <is>
          <t>1997-08-07</t>
        </is>
      </c>
      <c r="Y25" t="n">
        <v>745</v>
      </c>
      <c r="Z25" t="n">
        <v>685</v>
      </c>
      <c r="AA25" t="n">
        <v>860</v>
      </c>
      <c r="AB25" t="n">
        <v>6</v>
      </c>
      <c r="AC25" t="n">
        <v>9</v>
      </c>
      <c r="AD25" t="n">
        <v>22</v>
      </c>
      <c r="AE25" t="n">
        <v>29</v>
      </c>
      <c r="AF25" t="n">
        <v>9</v>
      </c>
      <c r="AG25" t="n">
        <v>12</v>
      </c>
      <c r="AH25" t="n">
        <v>5</v>
      </c>
      <c r="AI25" t="n">
        <v>5</v>
      </c>
      <c r="AJ25" t="n">
        <v>8</v>
      </c>
      <c r="AK25" t="n">
        <v>10</v>
      </c>
      <c r="AL25" t="n">
        <v>4</v>
      </c>
      <c r="AM25" t="n">
        <v>7</v>
      </c>
      <c r="AN25" t="n">
        <v>0</v>
      </c>
      <c r="AO25" t="n">
        <v>0</v>
      </c>
      <c r="AP25" t="inlineStr">
        <is>
          <t>No</t>
        </is>
      </c>
      <c r="AQ25" t="inlineStr">
        <is>
          <t>Yes</t>
        </is>
      </c>
      <c r="AR25">
        <f>HYPERLINK("http://catalog.hathitrust.org/Record/000268217","HathiTrust Record")</f>
        <v/>
      </c>
      <c r="AS25">
        <f>HYPERLINK("https://creighton-primo.hosted.exlibrisgroup.com/primo-explore/search?tab=default_tab&amp;search_scope=EVERYTHING&amp;vid=01CRU&amp;lang=en_US&amp;offset=0&amp;query=any,contains,991002872859702656","Catalog Record")</f>
        <v/>
      </c>
      <c r="AT25">
        <f>HYPERLINK("http://www.worldcat.org/oclc/46462503","WorldCat Record")</f>
        <v/>
      </c>
      <c r="AU25" t="inlineStr">
        <is>
          <t>3943309759:eng</t>
        </is>
      </c>
      <c r="AV25" t="inlineStr">
        <is>
          <t>46462503</t>
        </is>
      </c>
      <c r="AW25" t="inlineStr">
        <is>
          <t>991002872859702656</t>
        </is>
      </c>
      <c r="AX25" t="inlineStr">
        <is>
          <t>991002872859702656</t>
        </is>
      </c>
      <c r="AY25" t="inlineStr">
        <is>
          <t>2255205480002656</t>
        </is>
      </c>
      <c r="AZ25" t="inlineStr">
        <is>
          <t>BOOK</t>
        </is>
      </c>
      <c r="BC25" t="inlineStr">
        <is>
          <t>32285003046751</t>
        </is>
      </c>
      <c r="BD25" t="inlineStr">
        <is>
          <t>893352564</t>
        </is>
      </c>
    </row>
    <row r="26">
      <c r="A26" t="inlineStr">
        <is>
          <t>No</t>
        </is>
      </c>
      <c r="B26" t="inlineStr">
        <is>
          <t>NE2237.5.E78 A4 1992</t>
        </is>
      </c>
      <c r="C26" t="inlineStr">
        <is>
          <t>0                      NE 2237500E  78                 A  4           1992</t>
        </is>
      </c>
      <c r="D26" t="inlineStr">
        <is>
          <t>Erté, the last works : graphics, sculpture / by Eric Estorick ; contributions by Ray Perman and David Rogath ; photographed by Daniel Kramer ; additional photography by Ron Krisel.</t>
        </is>
      </c>
      <c r="F26" t="inlineStr">
        <is>
          <t>No</t>
        </is>
      </c>
      <c r="G26" t="inlineStr">
        <is>
          <t>1</t>
        </is>
      </c>
      <c r="H26" t="inlineStr">
        <is>
          <t>No</t>
        </is>
      </c>
      <c r="I26" t="inlineStr">
        <is>
          <t>No</t>
        </is>
      </c>
      <c r="J26" t="inlineStr">
        <is>
          <t>0</t>
        </is>
      </c>
      <c r="K26" t="inlineStr">
        <is>
          <t>Estorick, Eric.</t>
        </is>
      </c>
      <c r="L26" t="inlineStr">
        <is>
          <t>New York : Dutton Studio Books, [1992], c1991.</t>
        </is>
      </c>
      <c r="M26" t="inlineStr">
        <is>
          <t>1992</t>
        </is>
      </c>
      <c r="O26" t="inlineStr">
        <is>
          <t>eng</t>
        </is>
      </c>
      <c r="P26" t="inlineStr">
        <is>
          <t>nyu</t>
        </is>
      </c>
      <c r="R26" t="inlineStr">
        <is>
          <t xml:space="preserve">NE </t>
        </is>
      </c>
      <c r="S26" t="n">
        <v>1</v>
      </c>
      <c r="T26" t="n">
        <v>1</v>
      </c>
      <c r="U26" t="inlineStr">
        <is>
          <t>2003-11-13</t>
        </is>
      </c>
      <c r="V26" t="inlineStr">
        <is>
          <t>2003-11-13</t>
        </is>
      </c>
      <c r="W26" t="inlineStr">
        <is>
          <t>1993-12-06</t>
        </is>
      </c>
      <c r="X26" t="inlineStr">
        <is>
          <t>1993-12-06</t>
        </is>
      </c>
      <c r="Y26" t="n">
        <v>156</v>
      </c>
      <c r="Z26" t="n">
        <v>143</v>
      </c>
      <c r="AA26" t="n">
        <v>143</v>
      </c>
      <c r="AB26" t="n">
        <v>2</v>
      </c>
      <c r="AC26" t="n">
        <v>2</v>
      </c>
      <c r="AD26" t="n">
        <v>5</v>
      </c>
      <c r="AE26" t="n">
        <v>5</v>
      </c>
      <c r="AF26" t="n">
        <v>1</v>
      </c>
      <c r="AG26" t="n">
        <v>1</v>
      </c>
      <c r="AH26" t="n">
        <v>2</v>
      </c>
      <c r="AI26" t="n">
        <v>2</v>
      </c>
      <c r="AJ26" t="n">
        <v>1</v>
      </c>
      <c r="AK26" t="n">
        <v>1</v>
      </c>
      <c r="AL26" t="n">
        <v>1</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HYPERLINK("https://creighton-primo.hosted.exlibrisgroup.com/primo-explore/search?tab=default_tab&amp;search_scope=EVERYTHING&amp;vid=01CRU&amp;lang=en_US&amp;offset=0&amp;query=any,contains,991002100209702656","Catalog Record")</f>
        <v/>
      </c>
      <c r="AT26">
        <f>HYPERLINK("http://www.worldcat.org/oclc/29798534","WorldCat Record")</f>
        <v/>
      </c>
      <c r="AU26" t="inlineStr">
        <is>
          <t>32552050:eng</t>
        </is>
      </c>
      <c r="AV26" t="inlineStr">
        <is>
          <t>29798534</t>
        </is>
      </c>
      <c r="AW26" t="inlineStr">
        <is>
          <t>991002100209702656</t>
        </is>
      </c>
      <c r="AX26" t="inlineStr">
        <is>
          <t>991002100209702656</t>
        </is>
      </c>
      <c r="AY26" t="inlineStr">
        <is>
          <t>2259720010002656</t>
        </is>
      </c>
      <c r="AZ26" t="inlineStr">
        <is>
          <t>BOOK</t>
        </is>
      </c>
      <c r="BB26" t="inlineStr">
        <is>
          <t>9780525934394</t>
        </is>
      </c>
      <c r="BC26" t="inlineStr">
        <is>
          <t>32285001814002</t>
        </is>
      </c>
      <c r="BD26" t="inlineStr">
        <is>
          <t>893316385</t>
        </is>
      </c>
    </row>
    <row r="27">
      <c r="A27" t="inlineStr">
        <is>
          <t>No</t>
        </is>
      </c>
      <c r="B27" t="inlineStr">
        <is>
          <t>NE2297 .M3 1970b</t>
        </is>
      </c>
      <c r="C27" t="inlineStr">
        <is>
          <t>0                      NE 2297000M  3           1970b</t>
        </is>
      </c>
      <c r="D27" t="inlineStr">
        <is>
          <t>Artists' lithographs; a world history from Senefelder to the present day, by Felix H. Man.</t>
        </is>
      </c>
      <c r="F27" t="inlineStr">
        <is>
          <t>No</t>
        </is>
      </c>
      <c r="G27" t="inlineStr">
        <is>
          <t>1</t>
        </is>
      </c>
      <c r="H27" t="inlineStr">
        <is>
          <t>No</t>
        </is>
      </c>
      <c r="I27" t="inlineStr">
        <is>
          <t>No</t>
        </is>
      </c>
      <c r="J27" t="inlineStr">
        <is>
          <t>0</t>
        </is>
      </c>
      <c r="K27" t="inlineStr">
        <is>
          <t>Man, Felix H., 1893-1985.</t>
        </is>
      </c>
      <c r="L27" t="inlineStr">
        <is>
          <t>London, Studio Vista, 1970.</t>
        </is>
      </c>
      <c r="M27" t="inlineStr">
        <is>
          <t>1970</t>
        </is>
      </c>
      <c r="O27" t="inlineStr">
        <is>
          <t>eng</t>
        </is>
      </c>
      <c r="P27" t="inlineStr">
        <is>
          <t>enk</t>
        </is>
      </c>
      <c r="R27" t="inlineStr">
        <is>
          <t xml:space="preserve">NE </t>
        </is>
      </c>
      <c r="S27" t="n">
        <v>5</v>
      </c>
      <c r="T27" t="n">
        <v>5</v>
      </c>
      <c r="U27" t="inlineStr">
        <is>
          <t>1999-05-19</t>
        </is>
      </c>
      <c r="V27" t="inlineStr">
        <is>
          <t>1999-05-19</t>
        </is>
      </c>
      <c r="W27" t="inlineStr">
        <is>
          <t>1997-08-07</t>
        </is>
      </c>
      <c r="X27" t="inlineStr">
        <is>
          <t>1997-08-07</t>
        </is>
      </c>
      <c r="Y27" t="n">
        <v>172</v>
      </c>
      <c r="Z27" t="n">
        <v>57</v>
      </c>
      <c r="AA27" t="n">
        <v>735</v>
      </c>
      <c r="AB27" t="n">
        <v>1</v>
      </c>
      <c r="AC27" t="n">
        <v>8</v>
      </c>
      <c r="AD27" t="n">
        <v>0</v>
      </c>
      <c r="AE27" t="n">
        <v>22</v>
      </c>
      <c r="AF27" t="n">
        <v>0</v>
      </c>
      <c r="AG27" t="n">
        <v>8</v>
      </c>
      <c r="AH27" t="n">
        <v>0</v>
      </c>
      <c r="AI27" t="n">
        <v>5</v>
      </c>
      <c r="AJ27" t="n">
        <v>0</v>
      </c>
      <c r="AK27" t="n">
        <v>10</v>
      </c>
      <c r="AL27" t="n">
        <v>0</v>
      </c>
      <c r="AM27" t="n">
        <v>4</v>
      </c>
      <c r="AN27" t="n">
        <v>0</v>
      </c>
      <c r="AO27" t="n">
        <v>0</v>
      </c>
      <c r="AP27" t="inlineStr">
        <is>
          <t>No</t>
        </is>
      </c>
      <c r="AQ27" t="inlineStr">
        <is>
          <t>Yes</t>
        </is>
      </c>
      <c r="AR27">
        <f>HYPERLINK("http://catalog.hathitrust.org/Record/001470368","HathiTrust Record")</f>
        <v/>
      </c>
      <c r="AS27">
        <f>HYPERLINK("https://creighton-primo.hosted.exlibrisgroup.com/primo-explore/search?tab=default_tab&amp;search_scope=EVERYTHING&amp;vid=01CRU&amp;lang=en_US&amp;offset=0&amp;query=any,contains,991000759279702656","Catalog Record")</f>
        <v/>
      </c>
      <c r="AT27">
        <f>HYPERLINK("http://www.worldcat.org/oclc/130721","WorldCat Record")</f>
        <v/>
      </c>
      <c r="AU27" t="inlineStr">
        <is>
          <t>198700829:eng</t>
        </is>
      </c>
      <c r="AV27" t="inlineStr">
        <is>
          <t>130721</t>
        </is>
      </c>
      <c r="AW27" t="inlineStr">
        <is>
          <t>991000759279702656</t>
        </is>
      </c>
      <c r="AX27" t="inlineStr">
        <is>
          <t>991000759279702656</t>
        </is>
      </c>
      <c r="AY27" t="inlineStr">
        <is>
          <t>2254847810002656</t>
        </is>
      </c>
      <c r="AZ27" t="inlineStr">
        <is>
          <t>BOOK</t>
        </is>
      </c>
      <c r="BB27" t="inlineStr">
        <is>
          <t>9780289797334</t>
        </is>
      </c>
      <c r="BC27" t="inlineStr">
        <is>
          <t>32285003046769</t>
        </is>
      </c>
      <c r="BD27" t="inlineStr">
        <is>
          <t>893871981</t>
        </is>
      </c>
    </row>
    <row r="28">
      <c r="A28" t="inlineStr">
        <is>
          <t>No</t>
        </is>
      </c>
      <c r="B28" t="inlineStr">
        <is>
          <t>NE2312.C8 A45</t>
        </is>
      </c>
      <c r="C28" t="inlineStr">
        <is>
          <t>0                      NE 2312000C  8                  A  45</t>
        </is>
      </c>
      <c r="D28" t="inlineStr">
        <is>
          <t>The great book of Currier &amp; Ives' America / by Walton Rawls.</t>
        </is>
      </c>
      <c r="F28" t="inlineStr">
        <is>
          <t>No</t>
        </is>
      </c>
      <c r="G28" t="inlineStr">
        <is>
          <t>1</t>
        </is>
      </c>
      <c r="H28" t="inlineStr">
        <is>
          <t>No</t>
        </is>
      </c>
      <c r="I28" t="inlineStr">
        <is>
          <t>No</t>
        </is>
      </c>
      <c r="J28" t="inlineStr">
        <is>
          <t>0</t>
        </is>
      </c>
      <c r="K28" t="inlineStr">
        <is>
          <t>Currier &amp; Ives.</t>
        </is>
      </c>
      <c r="L28" t="inlineStr">
        <is>
          <t>New York : Abbeville Press, 1979.</t>
        </is>
      </c>
      <c r="M28" t="inlineStr">
        <is>
          <t>1979</t>
        </is>
      </c>
      <c r="O28" t="inlineStr">
        <is>
          <t>eng</t>
        </is>
      </c>
      <c r="P28" t="inlineStr">
        <is>
          <t>nyu</t>
        </is>
      </c>
      <c r="R28" t="inlineStr">
        <is>
          <t xml:space="preserve">NE </t>
        </is>
      </c>
      <c r="S28" t="n">
        <v>21</v>
      </c>
      <c r="T28" t="n">
        <v>21</v>
      </c>
      <c r="U28" t="inlineStr">
        <is>
          <t>2002-02-26</t>
        </is>
      </c>
      <c r="V28" t="inlineStr">
        <is>
          <t>2002-02-26</t>
        </is>
      </c>
      <c r="W28" t="inlineStr">
        <is>
          <t>1993-06-01</t>
        </is>
      </c>
      <c r="X28" t="inlineStr">
        <is>
          <t>1993-06-01</t>
        </is>
      </c>
      <c r="Y28" t="n">
        <v>818</v>
      </c>
      <c r="Z28" t="n">
        <v>772</v>
      </c>
      <c r="AA28" t="n">
        <v>817</v>
      </c>
      <c r="AB28" t="n">
        <v>8</v>
      </c>
      <c r="AC28" t="n">
        <v>8</v>
      </c>
      <c r="AD28" t="n">
        <v>16</v>
      </c>
      <c r="AE28" t="n">
        <v>17</v>
      </c>
      <c r="AF28" t="n">
        <v>7</v>
      </c>
      <c r="AG28" t="n">
        <v>7</v>
      </c>
      <c r="AH28" t="n">
        <v>4</v>
      </c>
      <c r="AI28" t="n">
        <v>4</v>
      </c>
      <c r="AJ28" t="n">
        <v>7</v>
      </c>
      <c r="AK28" t="n">
        <v>8</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HYPERLINK("https://creighton-primo.hosted.exlibrisgroup.com/primo-explore/search?tab=default_tab&amp;search_scope=EVERYTHING&amp;vid=01CRU&amp;lang=en_US&amp;offset=0&amp;query=any,contains,991005379349702656","Catalog Record")</f>
        <v/>
      </c>
      <c r="AT28">
        <f>HYPERLINK("http://www.worldcat.org/oclc/20358380","WorldCat Record")</f>
        <v/>
      </c>
      <c r="AU28" t="inlineStr">
        <is>
          <t>498576:eng</t>
        </is>
      </c>
      <c r="AV28" t="inlineStr">
        <is>
          <t>20358380</t>
        </is>
      </c>
      <c r="AW28" t="inlineStr">
        <is>
          <t>991005379349702656</t>
        </is>
      </c>
      <c r="AX28" t="inlineStr">
        <is>
          <t>991005379349702656</t>
        </is>
      </c>
      <c r="AY28" t="inlineStr">
        <is>
          <t>2262893070002656</t>
        </is>
      </c>
      <c r="AZ28" t="inlineStr">
        <is>
          <t>BOOK</t>
        </is>
      </c>
      <c r="BB28" t="inlineStr">
        <is>
          <t>9780896590700</t>
        </is>
      </c>
      <c r="BC28" t="inlineStr">
        <is>
          <t>32285001715688</t>
        </is>
      </c>
      <c r="BD28" t="inlineStr">
        <is>
          <t>893701489</t>
        </is>
      </c>
    </row>
    <row r="29">
      <c r="A29" t="inlineStr">
        <is>
          <t>No</t>
        </is>
      </c>
      <c r="B29" t="inlineStr">
        <is>
          <t>NE2349.5.B66 A4 1989</t>
        </is>
      </c>
      <c r="C29" t="inlineStr">
        <is>
          <t>0                      NE 2349500B  66                 A  4           1989</t>
        </is>
      </c>
      <c r="D29" t="inlineStr">
        <is>
          <t>Pierre Bonnard, the graphic art / Colta Ives, Helen Giambruni, Sasha M. Newman.</t>
        </is>
      </c>
      <c r="F29" t="inlineStr">
        <is>
          <t>No</t>
        </is>
      </c>
      <c r="G29" t="inlineStr">
        <is>
          <t>1</t>
        </is>
      </c>
      <c r="H29" t="inlineStr">
        <is>
          <t>No</t>
        </is>
      </c>
      <c r="I29" t="inlineStr">
        <is>
          <t>No</t>
        </is>
      </c>
      <c r="J29" t="inlineStr">
        <is>
          <t>0</t>
        </is>
      </c>
      <c r="K29" t="inlineStr">
        <is>
          <t>Bonnard, Pierre, 1867-1947.</t>
        </is>
      </c>
      <c r="L29" t="inlineStr">
        <is>
          <t>New York : Metropolitan Museum of Art : Distributed by H.N. Abrams, c1989.</t>
        </is>
      </c>
      <c r="M29" t="inlineStr">
        <is>
          <t>1989</t>
        </is>
      </c>
      <c r="O29" t="inlineStr">
        <is>
          <t>eng</t>
        </is>
      </c>
      <c r="P29" t="inlineStr">
        <is>
          <t>nyu</t>
        </is>
      </c>
      <c r="R29" t="inlineStr">
        <is>
          <t xml:space="preserve">NE </t>
        </is>
      </c>
      <c r="S29" t="n">
        <v>3</v>
      </c>
      <c r="T29" t="n">
        <v>3</v>
      </c>
      <c r="U29" t="inlineStr">
        <is>
          <t>1994-06-08</t>
        </is>
      </c>
      <c r="V29" t="inlineStr">
        <is>
          <t>1994-06-08</t>
        </is>
      </c>
      <c r="W29" t="inlineStr">
        <is>
          <t>1991-03-07</t>
        </is>
      </c>
      <c r="X29" t="inlineStr">
        <is>
          <t>1991-03-07</t>
        </is>
      </c>
      <c r="Y29" t="n">
        <v>582</v>
      </c>
      <c r="Z29" t="n">
        <v>483</v>
      </c>
      <c r="AA29" t="n">
        <v>534</v>
      </c>
      <c r="AB29" t="n">
        <v>5</v>
      </c>
      <c r="AC29" t="n">
        <v>5</v>
      </c>
      <c r="AD29" t="n">
        <v>18</v>
      </c>
      <c r="AE29" t="n">
        <v>18</v>
      </c>
      <c r="AF29" t="n">
        <v>6</v>
      </c>
      <c r="AG29" t="n">
        <v>6</v>
      </c>
      <c r="AH29" t="n">
        <v>4</v>
      </c>
      <c r="AI29" t="n">
        <v>4</v>
      </c>
      <c r="AJ29" t="n">
        <v>9</v>
      </c>
      <c r="AK29" t="n">
        <v>9</v>
      </c>
      <c r="AL29" t="n">
        <v>3</v>
      </c>
      <c r="AM29" t="n">
        <v>3</v>
      </c>
      <c r="AN29" t="n">
        <v>0</v>
      </c>
      <c r="AO29" t="n">
        <v>0</v>
      </c>
      <c r="AP29" t="inlineStr">
        <is>
          <t>No</t>
        </is>
      </c>
      <c r="AQ29" t="inlineStr">
        <is>
          <t>Yes</t>
        </is>
      </c>
      <c r="AR29">
        <f>HYPERLINK("http://catalog.hathitrust.org/Record/001954984","HathiTrust Record")</f>
        <v/>
      </c>
      <c r="AS29">
        <f>HYPERLINK("https://creighton-primo.hosted.exlibrisgroup.com/primo-explore/search?tab=default_tab&amp;search_scope=EVERYTHING&amp;vid=01CRU&amp;lang=en_US&amp;offset=0&amp;query=any,contains,991001541559702656","Catalog Record")</f>
        <v/>
      </c>
      <c r="AT29">
        <f>HYPERLINK("http://www.worldcat.org/oclc/20131149","WorldCat Record")</f>
        <v/>
      </c>
      <c r="AU29" t="inlineStr">
        <is>
          <t>341575664:eng</t>
        </is>
      </c>
      <c r="AV29" t="inlineStr">
        <is>
          <t>20131149</t>
        </is>
      </c>
      <c r="AW29" t="inlineStr">
        <is>
          <t>991001541559702656</t>
        </is>
      </c>
      <c r="AX29" t="inlineStr">
        <is>
          <t>991001541559702656</t>
        </is>
      </c>
      <c r="AY29" t="inlineStr">
        <is>
          <t>2264122870002656</t>
        </is>
      </c>
      <c r="AZ29" t="inlineStr">
        <is>
          <t>BOOK</t>
        </is>
      </c>
      <c r="BB29" t="inlineStr">
        <is>
          <t>9780870995675</t>
        </is>
      </c>
      <c r="BC29" t="inlineStr">
        <is>
          <t>32285000493337</t>
        </is>
      </c>
      <c r="BD29" t="inlineStr">
        <is>
          <t>893261855</t>
        </is>
      </c>
    </row>
    <row r="30">
      <c r="A30" t="inlineStr">
        <is>
          <t>No</t>
        </is>
      </c>
      <c r="B30" t="inlineStr">
        <is>
          <t>NE2349.5.P5 M613</t>
        </is>
      </c>
      <c r="C30" t="inlineStr">
        <is>
          <t>0                      NE 2349500P  5                  M  613</t>
        </is>
      </c>
      <c r="D30" t="inlineStr">
        <is>
          <t>Picasso lithographs / [translated from the French by Jean Didry.</t>
        </is>
      </c>
      <c r="F30" t="inlineStr">
        <is>
          <t>No</t>
        </is>
      </c>
      <c r="G30" t="inlineStr">
        <is>
          <t>1</t>
        </is>
      </c>
      <c r="H30" t="inlineStr">
        <is>
          <t>No</t>
        </is>
      </c>
      <c r="I30" t="inlineStr">
        <is>
          <t>No</t>
        </is>
      </c>
      <c r="J30" t="inlineStr">
        <is>
          <t>0</t>
        </is>
      </c>
      <c r="K30" t="inlineStr">
        <is>
          <t>Picasso, Pablo, 1881-1973.</t>
        </is>
      </c>
      <c r="L30" t="inlineStr">
        <is>
          <t>Boston] : Boston Book and Art Publisher, [1970]</t>
        </is>
      </c>
      <c r="M30" t="inlineStr">
        <is>
          <t>1970</t>
        </is>
      </c>
      <c r="O30" t="inlineStr">
        <is>
          <t>eng</t>
        </is>
      </c>
      <c r="P30" t="inlineStr">
        <is>
          <t>mau</t>
        </is>
      </c>
      <c r="R30" t="inlineStr">
        <is>
          <t xml:space="preserve">NE </t>
        </is>
      </c>
      <c r="S30" t="n">
        <v>6</v>
      </c>
      <c r="T30" t="n">
        <v>6</v>
      </c>
      <c r="U30" t="inlineStr">
        <is>
          <t>2006-04-11</t>
        </is>
      </c>
      <c r="V30" t="inlineStr">
        <is>
          <t>2006-04-11</t>
        </is>
      </c>
      <c r="W30" t="inlineStr">
        <is>
          <t>1995-04-18</t>
        </is>
      </c>
      <c r="X30" t="inlineStr">
        <is>
          <t>1995-04-18</t>
        </is>
      </c>
      <c r="Y30" t="n">
        <v>561</v>
      </c>
      <c r="Z30" t="n">
        <v>536</v>
      </c>
      <c r="AA30" t="n">
        <v>541</v>
      </c>
      <c r="AB30" t="n">
        <v>5</v>
      </c>
      <c r="AC30" t="n">
        <v>5</v>
      </c>
      <c r="AD30" t="n">
        <v>16</v>
      </c>
      <c r="AE30" t="n">
        <v>16</v>
      </c>
      <c r="AF30" t="n">
        <v>5</v>
      </c>
      <c r="AG30" t="n">
        <v>5</v>
      </c>
      <c r="AH30" t="n">
        <v>5</v>
      </c>
      <c r="AI30" t="n">
        <v>5</v>
      </c>
      <c r="AJ30" t="n">
        <v>7</v>
      </c>
      <c r="AK30" t="n">
        <v>7</v>
      </c>
      <c r="AL30" t="n">
        <v>4</v>
      </c>
      <c r="AM30" t="n">
        <v>4</v>
      </c>
      <c r="AN30" t="n">
        <v>0</v>
      </c>
      <c r="AO30" t="n">
        <v>0</v>
      </c>
      <c r="AP30" t="inlineStr">
        <is>
          <t>No</t>
        </is>
      </c>
      <c r="AQ30" t="inlineStr">
        <is>
          <t>Yes</t>
        </is>
      </c>
      <c r="AR30">
        <f>HYPERLINK("http://catalog.hathitrust.org/Record/001470384","HathiTrust Record")</f>
        <v/>
      </c>
      <c r="AS30">
        <f>HYPERLINK("https://creighton-primo.hosted.exlibrisgroup.com/primo-explore/search?tab=default_tab&amp;search_scope=EVERYTHING&amp;vid=01CRU&amp;lang=en_US&amp;offset=0&amp;query=any,contains,991000625329702656","Catalog Record")</f>
        <v/>
      </c>
      <c r="AT30">
        <f>HYPERLINK("http://www.worldcat.org/oclc/104024","WorldCat Record")</f>
        <v/>
      </c>
      <c r="AU30" t="inlineStr">
        <is>
          <t>9438599731:eng</t>
        </is>
      </c>
      <c r="AV30" t="inlineStr">
        <is>
          <t>104024</t>
        </is>
      </c>
      <c r="AW30" t="inlineStr">
        <is>
          <t>991000625329702656</t>
        </is>
      </c>
      <c r="AX30" t="inlineStr">
        <is>
          <t>991000625329702656</t>
        </is>
      </c>
      <c r="AY30" t="inlineStr">
        <is>
          <t>2260799070002656</t>
        </is>
      </c>
      <c r="AZ30" t="inlineStr">
        <is>
          <t>BOOK</t>
        </is>
      </c>
      <c r="BC30" t="inlineStr">
        <is>
          <t>32285002027679</t>
        </is>
      </c>
      <c r="BD30" t="inlineStr">
        <is>
          <t>893515445</t>
        </is>
      </c>
    </row>
    <row r="31">
      <c r="A31" t="inlineStr">
        <is>
          <t>No</t>
        </is>
      </c>
      <c r="B31" t="inlineStr">
        <is>
          <t>NE2349.5.T68 A4 1989</t>
        </is>
      </c>
      <c r="C31" t="inlineStr">
        <is>
          <t>0                      NE 2349500T  68                 A  4           1989</t>
        </is>
      </c>
      <c r="D31" t="inlineStr">
        <is>
          <t>Toulouse-Lautrec : the Baldwin M. Baldwin collection, San Diego Museum of Art / Nora Desloge ; with essays by Phillip Dennis Cate, Julia Frey.</t>
        </is>
      </c>
      <c r="F31" t="inlineStr">
        <is>
          <t>No</t>
        </is>
      </c>
      <c r="G31" t="inlineStr">
        <is>
          <t>1</t>
        </is>
      </c>
      <c r="H31" t="inlineStr">
        <is>
          <t>No</t>
        </is>
      </c>
      <c r="I31" t="inlineStr">
        <is>
          <t>No</t>
        </is>
      </c>
      <c r="J31" t="inlineStr">
        <is>
          <t>0</t>
        </is>
      </c>
      <c r="K31" t="inlineStr">
        <is>
          <t>San Diego Museum of Art.</t>
        </is>
      </c>
      <c r="L31" t="inlineStr">
        <is>
          <t>[San Diego] : The Museum, c1988.</t>
        </is>
      </c>
      <c r="M31" t="inlineStr">
        <is>
          <t>1989</t>
        </is>
      </c>
      <c r="O31" t="inlineStr">
        <is>
          <t>eng</t>
        </is>
      </c>
      <c r="P31" t="inlineStr">
        <is>
          <t>cau</t>
        </is>
      </c>
      <c r="R31" t="inlineStr">
        <is>
          <t xml:space="preserve">NE </t>
        </is>
      </c>
      <c r="S31" t="n">
        <v>5</v>
      </c>
      <c r="T31" t="n">
        <v>5</v>
      </c>
      <c r="U31" t="inlineStr">
        <is>
          <t>2003-07-31</t>
        </is>
      </c>
      <c r="V31" t="inlineStr">
        <is>
          <t>2003-07-31</t>
        </is>
      </c>
      <c r="W31" t="inlineStr">
        <is>
          <t>1992-06-01</t>
        </is>
      </c>
      <c r="X31" t="inlineStr">
        <is>
          <t>1992-06-01</t>
        </is>
      </c>
      <c r="Y31" t="n">
        <v>149</v>
      </c>
      <c r="Z31" t="n">
        <v>133</v>
      </c>
      <c r="AA31" t="n">
        <v>134</v>
      </c>
      <c r="AB31" t="n">
        <v>2</v>
      </c>
      <c r="AC31" t="n">
        <v>2</v>
      </c>
      <c r="AD31" t="n">
        <v>2</v>
      </c>
      <c r="AE31" t="n">
        <v>2</v>
      </c>
      <c r="AF31" t="n">
        <v>1</v>
      </c>
      <c r="AG31" t="n">
        <v>1</v>
      </c>
      <c r="AH31" t="n">
        <v>1</v>
      </c>
      <c r="AI31" t="n">
        <v>1</v>
      </c>
      <c r="AJ31" t="n">
        <v>1</v>
      </c>
      <c r="AK31" t="n">
        <v>1</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HYPERLINK("https://creighton-primo.hosted.exlibrisgroup.com/primo-explore/search?tab=default_tab&amp;search_scope=EVERYTHING&amp;vid=01CRU&amp;lang=en_US&amp;offset=0&amp;query=any,contains,991001504979702656","Catalog Record")</f>
        <v/>
      </c>
      <c r="AT31">
        <f>HYPERLINK("http://www.worldcat.org/oclc/19819225","WorldCat Record")</f>
        <v/>
      </c>
      <c r="AU31" t="inlineStr">
        <is>
          <t>3806252015:eng</t>
        </is>
      </c>
      <c r="AV31" t="inlineStr">
        <is>
          <t>19819225</t>
        </is>
      </c>
      <c r="AW31" t="inlineStr">
        <is>
          <t>991001504979702656</t>
        </is>
      </c>
      <c r="AX31" t="inlineStr">
        <is>
          <t>991001504979702656</t>
        </is>
      </c>
      <c r="AY31" t="inlineStr">
        <is>
          <t>2270373220002656</t>
        </is>
      </c>
      <c r="AZ31" t="inlineStr">
        <is>
          <t>BOOK</t>
        </is>
      </c>
      <c r="BB31" t="inlineStr">
        <is>
          <t>9780937108079</t>
        </is>
      </c>
      <c r="BC31" t="inlineStr">
        <is>
          <t>32285001125938</t>
        </is>
      </c>
      <c r="BD31" t="inlineStr">
        <is>
          <t>893426638</t>
        </is>
      </c>
    </row>
    <row r="32">
      <c r="A32" t="inlineStr">
        <is>
          <t>No</t>
        </is>
      </c>
      <c r="B32" t="inlineStr">
        <is>
          <t>NE2350.5.A4 B8 1977</t>
        </is>
      </c>
      <c r="C32" t="inlineStr">
        <is>
          <t>0                      NE 2350500A  4                  B  8           1977</t>
        </is>
      </c>
      <c r="D32" t="inlineStr">
        <is>
          <t>Josef Albers : despite straight lines : an analysis of his graphic constructions / by François Bucher ; statements and poems by Josef Albers.</t>
        </is>
      </c>
      <c r="F32" t="inlineStr">
        <is>
          <t>No</t>
        </is>
      </c>
      <c r="G32" t="inlineStr">
        <is>
          <t>1</t>
        </is>
      </c>
      <c r="H32" t="inlineStr">
        <is>
          <t>No</t>
        </is>
      </c>
      <c r="I32" t="inlineStr">
        <is>
          <t>No</t>
        </is>
      </c>
      <c r="J32" t="inlineStr">
        <is>
          <t>0</t>
        </is>
      </c>
      <c r="K32" t="inlineStr">
        <is>
          <t>Bucher, François.</t>
        </is>
      </c>
      <c r="L32" t="inlineStr">
        <is>
          <t>Cambridge : MIT Press, c1977.</t>
        </is>
      </c>
      <c r="M32" t="inlineStr">
        <is>
          <t>1977</t>
        </is>
      </c>
      <c r="N32" t="inlineStr">
        <is>
          <t>Rev. ed.</t>
        </is>
      </c>
      <c r="O32" t="inlineStr">
        <is>
          <t>eng</t>
        </is>
      </c>
      <c r="P32" t="inlineStr">
        <is>
          <t>mau</t>
        </is>
      </c>
      <c r="R32" t="inlineStr">
        <is>
          <t xml:space="preserve">NE </t>
        </is>
      </c>
      <c r="S32" t="n">
        <v>2</v>
      </c>
      <c r="T32" t="n">
        <v>2</v>
      </c>
      <c r="U32" t="inlineStr">
        <is>
          <t>1993-09-06</t>
        </is>
      </c>
      <c r="V32" t="inlineStr">
        <is>
          <t>1993-09-06</t>
        </is>
      </c>
      <c r="W32" t="inlineStr">
        <is>
          <t>1991-12-09</t>
        </is>
      </c>
      <c r="X32" t="inlineStr">
        <is>
          <t>1991-12-09</t>
        </is>
      </c>
      <c r="Y32" t="n">
        <v>473</v>
      </c>
      <c r="Z32" t="n">
        <v>406</v>
      </c>
      <c r="AA32" t="n">
        <v>408</v>
      </c>
      <c r="AB32" t="n">
        <v>5</v>
      </c>
      <c r="AC32" t="n">
        <v>5</v>
      </c>
      <c r="AD32" t="n">
        <v>14</v>
      </c>
      <c r="AE32" t="n">
        <v>14</v>
      </c>
      <c r="AF32" t="n">
        <v>4</v>
      </c>
      <c r="AG32" t="n">
        <v>4</v>
      </c>
      <c r="AH32" t="n">
        <v>3</v>
      </c>
      <c r="AI32" t="n">
        <v>3</v>
      </c>
      <c r="AJ32" t="n">
        <v>5</v>
      </c>
      <c r="AK32" t="n">
        <v>5</v>
      </c>
      <c r="AL32" t="n">
        <v>4</v>
      </c>
      <c r="AM32" t="n">
        <v>4</v>
      </c>
      <c r="AN32" t="n">
        <v>0</v>
      </c>
      <c r="AO32" t="n">
        <v>0</v>
      </c>
      <c r="AP32" t="inlineStr">
        <is>
          <t>No</t>
        </is>
      </c>
      <c r="AQ32" t="inlineStr">
        <is>
          <t>Yes</t>
        </is>
      </c>
      <c r="AR32">
        <f>HYPERLINK("http://catalog.hathitrust.org/Record/000751484","HathiTrust Record")</f>
        <v/>
      </c>
      <c r="AS32">
        <f>HYPERLINK("https://creighton-primo.hosted.exlibrisgroup.com/primo-explore/search?tab=default_tab&amp;search_scope=EVERYTHING&amp;vid=01CRU&amp;lang=en_US&amp;offset=0&amp;query=any,contains,991004426579702656","Catalog Record")</f>
        <v/>
      </c>
      <c r="AT32">
        <f>HYPERLINK("http://www.worldcat.org/oclc/3401274","WorldCat Record")</f>
        <v/>
      </c>
      <c r="AU32" t="inlineStr">
        <is>
          <t>4061613626:eng</t>
        </is>
      </c>
      <c r="AV32" t="inlineStr">
        <is>
          <t>3401274</t>
        </is>
      </c>
      <c r="AW32" t="inlineStr">
        <is>
          <t>991004426579702656</t>
        </is>
      </c>
      <c r="AX32" t="inlineStr">
        <is>
          <t>991004426579702656</t>
        </is>
      </c>
      <c r="AY32" t="inlineStr">
        <is>
          <t>2256277740002656</t>
        </is>
      </c>
      <c r="AZ32" t="inlineStr">
        <is>
          <t>BOOK</t>
        </is>
      </c>
      <c r="BB32" t="inlineStr">
        <is>
          <t>9780262010498</t>
        </is>
      </c>
      <c r="BC32" t="inlineStr">
        <is>
          <t>32285000885490</t>
        </is>
      </c>
      <c r="BD32" t="inlineStr">
        <is>
          <t>893700229</t>
        </is>
      </c>
    </row>
    <row r="33">
      <c r="A33" t="inlineStr">
        <is>
          <t>No</t>
        </is>
      </c>
      <c r="B33" t="inlineStr">
        <is>
          <t>NE2356.5.E77 A4 1978</t>
        </is>
      </c>
      <c r="C33" t="inlineStr">
        <is>
          <t>0                      NE 2356500E  77                 A  4           1978</t>
        </is>
      </c>
      <c r="D33" t="inlineStr">
        <is>
          <t>Erté graphics : five complete suites reproduced in full color = Erté : cinq suites de lithographies / pref. by Salome Estorick.</t>
        </is>
      </c>
      <c r="F33" t="inlineStr">
        <is>
          <t>No</t>
        </is>
      </c>
      <c r="G33" t="inlineStr">
        <is>
          <t>1</t>
        </is>
      </c>
      <c r="H33" t="inlineStr">
        <is>
          <t>No</t>
        </is>
      </c>
      <c r="I33" t="inlineStr">
        <is>
          <t>No</t>
        </is>
      </c>
      <c r="J33" t="inlineStr">
        <is>
          <t>0</t>
        </is>
      </c>
      <c r="K33" t="inlineStr">
        <is>
          <t>Erté.</t>
        </is>
      </c>
      <c r="L33" t="inlineStr">
        <is>
          <t>New York : Dover Publications, c1978.</t>
        </is>
      </c>
      <c r="M33" t="inlineStr">
        <is>
          <t>1978</t>
        </is>
      </c>
      <c r="O33" t="inlineStr">
        <is>
          <t>eng</t>
        </is>
      </c>
      <c r="P33" t="inlineStr">
        <is>
          <t>nyu</t>
        </is>
      </c>
      <c r="R33" t="inlineStr">
        <is>
          <t xml:space="preserve">NE </t>
        </is>
      </c>
      <c r="S33" t="n">
        <v>1</v>
      </c>
      <c r="T33" t="n">
        <v>1</v>
      </c>
      <c r="U33" t="inlineStr">
        <is>
          <t>2004-12-02</t>
        </is>
      </c>
      <c r="V33" t="inlineStr">
        <is>
          <t>2004-12-02</t>
        </is>
      </c>
      <c r="W33" t="inlineStr">
        <is>
          <t>1999-03-03</t>
        </is>
      </c>
      <c r="X33" t="inlineStr">
        <is>
          <t>1999-03-03</t>
        </is>
      </c>
      <c r="Y33" t="n">
        <v>374</v>
      </c>
      <c r="Z33" t="n">
        <v>311</v>
      </c>
      <c r="AA33" t="n">
        <v>318</v>
      </c>
      <c r="AB33" t="n">
        <v>3</v>
      </c>
      <c r="AC33" t="n">
        <v>4</v>
      </c>
      <c r="AD33" t="n">
        <v>6</v>
      </c>
      <c r="AE33" t="n">
        <v>7</v>
      </c>
      <c r="AF33" t="n">
        <v>2</v>
      </c>
      <c r="AG33" t="n">
        <v>2</v>
      </c>
      <c r="AH33" t="n">
        <v>2</v>
      </c>
      <c r="AI33" t="n">
        <v>2</v>
      </c>
      <c r="AJ33" t="n">
        <v>4</v>
      </c>
      <c r="AK33" t="n">
        <v>4</v>
      </c>
      <c r="AL33" t="n">
        <v>0</v>
      </c>
      <c r="AM33" t="n">
        <v>1</v>
      </c>
      <c r="AN33" t="n">
        <v>0</v>
      </c>
      <c r="AO33" t="n">
        <v>0</v>
      </c>
      <c r="AP33" t="inlineStr">
        <is>
          <t>No</t>
        </is>
      </c>
      <c r="AQ33" t="inlineStr">
        <is>
          <t>Yes</t>
        </is>
      </c>
      <c r="AR33">
        <f>HYPERLINK("http://catalog.hathitrust.org/Record/008544538","HathiTrust Record")</f>
        <v/>
      </c>
      <c r="AS33">
        <f>HYPERLINK("https://creighton-primo.hosted.exlibrisgroup.com/primo-explore/search?tab=default_tab&amp;search_scope=EVERYTHING&amp;vid=01CRU&amp;lang=en_US&amp;offset=0&amp;query=any,contains,991004575369702656","Catalog Record")</f>
        <v/>
      </c>
      <c r="AT33">
        <f>HYPERLINK("http://www.worldcat.org/oclc/4037284","WorldCat Record")</f>
        <v/>
      </c>
      <c r="AU33" t="inlineStr">
        <is>
          <t>1027493083:eng</t>
        </is>
      </c>
      <c r="AV33" t="inlineStr">
        <is>
          <t>4037284</t>
        </is>
      </c>
      <c r="AW33" t="inlineStr">
        <is>
          <t>991004575369702656</t>
        </is>
      </c>
      <c r="AX33" t="inlineStr">
        <is>
          <t>991004575369702656</t>
        </is>
      </c>
      <c r="AY33" t="inlineStr">
        <is>
          <t>2269084970002656</t>
        </is>
      </c>
      <c r="AZ33" t="inlineStr">
        <is>
          <t>BOOK</t>
        </is>
      </c>
      <c r="BB33" t="inlineStr">
        <is>
          <t>9780486235806</t>
        </is>
      </c>
      <c r="BC33" t="inlineStr">
        <is>
          <t>32285003529061</t>
        </is>
      </c>
      <c r="BD33" t="inlineStr">
        <is>
          <t>893876268</t>
        </is>
      </c>
    </row>
    <row r="34">
      <c r="A34" t="inlineStr">
        <is>
          <t>No</t>
        </is>
      </c>
      <c r="B34" t="inlineStr">
        <is>
          <t>NE2415.C7 P38 1930</t>
        </is>
      </c>
      <c r="C34" t="inlineStr">
        <is>
          <t>0                      NE 2415000C  7                  P  38          1930</t>
        </is>
      </c>
      <c r="D34" t="inlineStr">
        <is>
          <t>Railroad, Indian and pioneer prints / by N. Currier and Currier &amp; Ives ; compiled by Fred J. Peters ; being a pictorial check list and collation, fully illustrated.</t>
        </is>
      </c>
      <c r="F34" t="inlineStr">
        <is>
          <t>No</t>
        </is>
      </c>
      <c r="G34" t="inlineStr">
        <is>
          <t>1</t>
        </is>
      </c>
      <c r="H34" t="inlineStr">
        <is>
          <t>No</t>
        </is>
      </c>
      <c r="I34" t="inlineStr">
        <is>
          <t>No</t>
        </is>
      </c>
      <c r="J34" t="inlineStr">
        <is>
          <t>0</t>
        </is>
      </c>
      <c r="K34" t="inlineStr">
        <is>
          <t>Peters, Fred J. (Fred Joseph), 1882-, compiler.</t>
        </is>
      </c>
      <c r="L34" t="inlineStr">
        <is>
          <t>New York, N.Y. : Antique Bulletin Pub. Co., 1930.</t>
        </is>
      </c>
      <c r="M34" t="inlineStr">
        <is>
          <t>1930</t>
        </is>
      </c>
      <c r="N34" t="inlineStr">
        <is>
          <t>Library ed.</t>
        </is>
      </c>
      <c r="O34" t="inlineStr">
        <is>
          <t>eng</t>
        </is>
      </c>
      <c r="P34" t="inlineStr">
        <is>
          <t>nyu</t>
        </is>
      </c>
      <c r="R34" t="inlineStr">
        <is>
          <t xml:space="preserve">NE </t>
        </is>
      </c>
      <c r="S34" t="n">
        <v>1</v>
      </c>
      <c r="T34" t="n">
        <v>1</v>
      </c>
      <c r="U34" t="inlineStr">
        <is>
          <t>2005-10-19</t>
        </is>
      </c>
      <c r="V34" t="inlineStr">
        <is>
          <t>2005-10-19</t>
        </is>
      </c>
      <c r="W34" t="inlineStr">
        <is>
          <t>2005-10-19</t>
        </is>
      </c>
      <c r="X34" t="inlineStr">
        <is>
          <t>2005-10-19</t>
        </is>
      </c>
      <c r="Y34" t="n">
        <v>48</v>
      </c>
      <c r="Z34" t="n">
        <v>48</v>
      </c>
      <c r="AA34" t="n">
        <v>237</v>
      </c>
      <c r="AB34" t="n">
        <v>1</v>
      </c>
      <c r="AC34" t="n">
        <v>3</v>
      </c>
      <c r="AD34" t="n">
        <v>2</v>
      </c>
      <c r="AE34" t="n">
        <v>4</v>
      </c>
      <c r="AF34" t="n">
        <v>0</v>
      </c>
      <c r="AG34" t="n">
        <v>1</v>
      </c>
      <c r="AH34" t="n">
        <v>2</v>
      </c>
      <c r="AI34" t="n">
        <v>2</v>
      </c>
      <c r="AJ34" t="n">
        <v>1</v>
      </c>
      <c r="AK34" t="n">
        <v>1</v>
      </c>
      <c r="AL34" t="n">
        <v>0</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HYPERLINK("https://creighton-primo.hosted.exlibrisgroup.com/primo-explore/search?tab=default_tab&amp;search_scope=EVERYTHING&amp;vid=01CRU&amp;lang=en_US&amp;offset=0&amp;query=any,contains,991004680039702656","Catalog Record")</f>
        <v/>
      </c>
      <c r="AT34">
        <f>HYPERLINK("http://www.worldcat.org/oclc/9101588","WorldCat Record")</f>
        <v/>
      </c>
      <c r="AU34" t="inlineStr">
        <is>
          <t>1330830:eng</t>
        </is>
      </c>
      <c r="AV34" t="inlineStr">
        <is>
          <t>9101588</t>
        </is>
      </c>
      <c r="AW34" t="inlineStr">
        <is>
          <t>991004680039702656</t>
        </is>
      </c>
      <c r="AX34" t="inlineStr">
        <is>
          <t>991004680039702656</t>
        </is>
      </c>
      <c r="AY34" t="inlineStr">
        <is>
          <t>2260072600002656</t>
        </is>
      </c>
      <c r="AZ34" t="inlineStr">
        <is>
          <t>BOOK</t>
        </is>
      </c>
      <c r="BC34" t="inlineStr">
        <is>
          <t>32285005089809</t>
        </is>
      </c>
      <c r="BD34" t="inlineStr">
        <is>
          <t>893337993</t>
        </is>
      </c>
    </row>
    <row r="35">
      <c r="A35" t="inlineStr">
        <is>
          <t>No</t>
        </is>
      </c>
      <c r="B35" t="inlineStr">
        <is>
          <t>NE2415.C7 P4</t>
        </is>
      </c>
      <c r="C35" t="inlineStr">
        <is>
          <t>0                      NE 2415000C  7                  P  4</t>
        </is>
      </c>
      <c r="D35" t="inlineStr">
        <is>
          <t>Currier &amp; Ives, printmakers to the American people / by Harry T. Peters.</t>
        </is>
      </c>
      <c r="F35" t="inlineStr">
        <is>
          <t>No</t>
        </is>
      </c>
      <c r="G35" t="inlineStr">
        <is>
          <t>1</t>
        </is>
      </c>
      <c r="H35" t="inlineStr">
        <is>
          <t>No</t>
        </is>
      </c>
      <c r="I35" t="inlineStr">
        <is>
          <t>No</t>
        </is>
      </c>
      <c r="J35" t="inlineStr">
        <is>
          <t>0</t>
        </is>
      </c>
      <c r="K35" t="inlineStr">
        <is>
          <t>Peters, Harry Twyford, 1881-1948.</t>
        </is>
      </c>
      <c r="L35" t="inlineStr">
        <is>
          <t>Garden City, N.Y. : Doubleday, Doran &amp; co., inc., 1942.</t>
        </is>
      </c>
      <c r="M35" t="inlineStr">
        <is>
          <t>1942</t>
        </is>
      </c>
      <c r="O35" t="inlineStr">
        <is>
          <t>eng</t>
        </is>
      </c>
      <c r="P35" t="inlineStr">
        <is>
          <t>nyu</t>
        </is>
      </c>
      <c r="R35" t="inlineStr">
        <is>
          <t xml:space="preserve">NE </t>
        </is>
      </c>
      <c r="S35" t="n">
        <v>6</v>
      </c>
      <c r="T35" t="n">
        <v>6</v>
      </c>
      <c r="U35" t="inlineStr">
        <is>
          <t>2000-08-25</t>
        </is>
      </c>
      <c r="V35" t="inlineStr">
        <is>
          <t>2000-08-25</t>
        </is>
      </c>
      <c r="W35" t="inlineStr">
        <is>
          <t>1994-08-04</t>
        </is>
      </c>
      <c r="X35" t="inlineStr">
        <is>
          <t>1994-08-04</t>
        </is>
      </c>
      <c r="Y35" t="n">
        <v>2077</v>
      </c>
      <c r="Z35" t="n">
        <v>1970</v>
      </c>
      <c r="AA35" t="n">
        <v>2202</v>
      </c>
      <c r="AB35" t="n">
        <v>16</v>
      </c>
      <c r="AC35" t="n">
        <v>17</v>
      </c>
      <c r="AD35" t="n">
        <v>49</v>
      </c>
      <c r="AE35" t="n">
        <v>54</v>
      </c>
      <c r="AF35" t="n">
        <v>26</v>
      </c>
      <c r="AG35" t="n">
        <v>27</v>
      </c>
      <c r="AH35" t="n">
        <v>8</v>
      </c>
      <c r="AI35" t="n">
        <v>9</v>
      </c>
      <c r="AJ35" t="n">
        <v>19</v>
      </c>
      <c r="AK35" t="n">
        <v>23</v>
      </c>
      <c r="AL35" t="n">
        <v>6</v>
      </c>
      <c r="AM35" t="n">
        <v>7</v>
      </c>
      <c r="AN35" t="n">
        <v>0</v>
      </c>
      <c r="AO35" t="n">
        <v>0</v>
      </c>
      <c r="AP35" t="inlineStr">
        <is>
          <t>No</t>
        </is>
      </c>
      <c r="AQ35" t="inlineStr">
        <is>
          <t>Yes</t>
        </is>
      </c>
      <c r="AR35">
        <f>HYPERLINK("http://catalog.hathitrust.org/Record/007122054","HathiTrust Record")</f>
        <v/>
      </c>
      <c r="AS35">
        <f>HYPERLINK("https://creighton-primo.hosted.exlibrisgroup.com/primo-explore/search?tab=default_tab&amp;search_scope=EVERYTHING&amp;vid=01CRU&amp;lang=en_US&amp;offset=0&amp;query=any,contains,991005353529702656","Catalog Record")</f>
        <v/>
      </c>
      <c r="AT35">
        <f>HYPERLINK("http://www.worldcat.org/oclc/171756","WorldCat Record")</f>
        <v/>
      </c>
      <c r="AU35" t="inlineStr">
        <is>
          <t>1298845:eng</t>
        </is>
      </c>
      <c r="AV35" t="inlineStr">
        <is>
          <t>171756</t>
        </is>
      </c>
      <c r="AW35" t="inlineStr">
        <is>
          <t>991005353529702656</t>
        </is>
      </c>
      <c r="AX35" t="inlineStr">
        <is>
          <t>991005353529702656</t>
        </is>
      </c>
      <c r="AY35" t="inlineStr">
        <is>
          <t>2267418610002656</t>
        </is>
      </c>
      <c r="AZ35" t="inlineStr">
        <is>
          <t>BOOK</t>
        </is>
      </c>
      <c r="BC35" t="inlineStr">
        <is>
          <t>32285001942407</t>
        </is>
      </c>
      <c r="BD35" t="inlineStr">
        <is>
          <t>893514481</t>
        </is>
      </c>
    </row>
    <row r="36">
      <c r="A36" t="inlineStr">
        <is>
          <t>No</t>
        </is>
      </c>
      <c r="B36" t="inlineStr">
        <is>
          <t>NE2415.C7 P7</t>
        </is>
      </c>
      <c r="C36" t="inlineStr">
        <is>
          <t>0                      NE 2415000C  7                  P  7</t>
        </is>
      </c>
      <c r="D36" t="inlineStr">
        <is>
          <t>Currier &amp; Ives chronicles of America : color plates reproduced from the original hand colored stone prints by N. Currier and Currier &amp; Ives / edited by John Lowell Pratt. Introd. by A. K. Baragwanath.</t>
        </is>
      </c>
      <c r="F36" t="inlineStr">
        <is>
          <t>No</t>
        </is>
      </c>
      <c r="G36" t="inlineStr">
        <is>
          <t>1</t>
        </is>
      </c>
      <c r="H36" t="inlineStr">
        <is>
          <t>No</t>
        </is>
      </c>
      <c r="I36" t="inlineStr">
        <is>
          <t>No</t>
        </is>
      </c>
      <c r="J36" t="inlineStr">
        <is>
          <t>0</t>
        </is>
      </c>
      <c r="K36" t="inlineStr">
        <is>
          <t>Pratt, John Lowell, compiler.</t>
        </is>
      </c>
      <c r="L36" t="inlineStr">
        <is>
          <t>Maplewood, N.J. : Hammond, [1968]</t>
        </is>
      </c>
      <c r="M36" t="inlineStr">
        <is>
          <t>1968</t>
        </is>
      </c>
      <c r="O36" t="inlineStr">
        <is>
          <t>eng</t>
        </is>
      </c>
      <c r="P36" t="inlineStr">
        <is>
          <t>nju</t>
        </is>
      </c>
      <c r="R36" t="inlineStr">
        <is>
          <t xml:space="preserve">NE </t>
        </is>
      </c>
      <c r="S36" t="n">
        <v>8</v>
      </c>
      <c r="T36" t="n">
        <v>8</v>
      </c>
      <c r="U36" t="inlineStr">
        <is>
          <t>2002-02-26</t>
        </is>
      </c>
      <c r="V36" t="inlineStr">
        <is>
          <t>2002-02-26</t>
        </is>
      </c>
      <c r="W36" t="inlineStr">
        <is>
          <t>1992-11-07</t>
        </is>
      </c>
      <c r="X36" t="inlineStr">
        <is>
          <t>1992-11-07</t>
        </is>
      </c>
      <c r="Y36" t="n">
        <v>850</v>
      </c>
      <c r="Z36" t="n">
        <v>834</v>
      </c>
      <c r="AA36" t="n">
        <v>1288</v>
      </c>
      <c r="AB36" t="n">
        <v>9</v>
      </c>
      <c r="AC36" t="n">
        <v>11</v>
      </c>
      <c r="AD36" t="n">
        <v>17</v>
      </c>
      <c r="AE36" t="n">
        <v>30</v>
      </c>
      <c r="AF36" t="n">
        <v>6</v>
      </c>
      <c r="AG36" t="n">
        <v>13</v>
      </c>
      <c r="AH36" t="n">
        <v>3</v>
      </c>
      <c r="AI36" t="n">
        <v>7</v>
      </c>
      <c r="AJ36" t="n">
        <v>7</v>
      </c>
      <c r="AK36" t="n">
        <v>14</v>
      </c>
      <c r="AL36" t="n">
        <v>3</v>
      </c>
      <c r="AM36" t="n">
        <v>3</v>
      </c>
      <c r="AN36" t="n">
        <v>0</v>
      </c>
      <c r="AO36" t="n">
        <v>0</v>
      </c>
      <c r="AP36" t="inlineStr">
        <is>
          <t>No</t>
        </is>
      </c>
      <c r="AQ36" t="inlineStr">
        <is>
          <t>Yes</t>
        </is>
      </c>
      <c r="AR36">
        <f>HYPERLINK("http://catalog.hathitrust.org/Record/001470397","HathiTrust Record")</f>
        <v/>
      </c>
      <c r="AS36">
        <f>HYPERLINK("https://creighton-primo.hosted.exlibrisgroup.com/primo-explore/search?tab=default_tab&amp;search_scope=EVERYTHING&amp;vid=01CRU&amp;lang=en_US&amp;offset=0&amp;query=any,contains,991005355429702656","Catalog Record")</f>
        <v/>
      </c>
      <c r="AT36">
        <f>HYPERLINK("http://www.worldcat.org/oclc/438103","WorldCat Record")</f>
        <v/>
      </c>
      <c r="AU36" t="inlineStr">
        <is>
          <t>902149917:eng</t>
        </is>
      </c>
      <c r="AV36" t="inlineStr">
        <is>
          <t>438103</t>
        </is>
      </c>
      <c r="AW36" t="inlineStr">
        <is>
          <t>991005355429702656</t>
        </is>
      </c>
      <c r="AX36" t="inlineStr">
        <is>
          <t>991005355429702656</t>
        </is>
      </c>
      <c r="AY36" t="inlineStr">
        <is>
          <t>2265225340002656</t>
        </is>
      </c>
      <c r="AZ36" t="inlineStr">
        <is>
          <t>BOOK</t>
        </is>
      </c>
      <c r="BC36" t="inlineStr">
        <is>
          <t>32285001383339</t>
        </is>
      </c>
      <c r="BD36" t="inlineStr">
        <is>
          <t>893796023</t>
        </is>
      </c>
    </row>
    <row r="37">
      <c r="A37" t="inlineStr">
        <is>
          <t>No</t>
        </is>
      </c>
      <c r="B37" t="inlineStr">
        <is>
          <t>NE2415.C7 S55</t>
        </is>
      </c>
      <c r="C37" t="inlineStr">
        <is>
          <t>0                      NE 2415000C  7                  S  55</t>
        </is>
      </c>
      <c r="D37" t="inlineStr">
        <is>
          <t>Currier and Ives' America : a panorama of the mid-nineteenth century scene / eighty prints in full color, with an introd. and commentary by the editor, Colin Simkin.</t>
        </is>
      </c>
      <c r="F37" t="inlineStr">
        <is>
          <t>No</t>
        </is>
      </c>
      <c r="G37" t="inlineStr">
        <is>
          <t>1</t>
        </is>
      </c>
      <c r="H37" t="inlineStr">
        <is>
          <t>No</t>
        </is>
      </c>
      <c r="I37" t="inlineStr">
        <is>
          <t>No</t>
        </is>
      </c>
      <c r="J37" t="inlineStr">
        <is>
          <t>0</t>
        </is>
      </c>
      <c r="K37" t="inlineStr">
        <is>
          <t>Currier &amp; Ives.</t>
        </is>
      </c>
      <c r="L37" t="inlineStr">
        <is>
          <t>New York : Crown Publishers, [1952]</t>
        </is>
      </c>
      <c r="M37" t="inlineStr">
        <is>
          <t>1952</t>
        </is>
      </c>
      <c r="O37" t="inlineStr">
        <is>
          <t>eng</t>
        </is>
      </c>
      <c r="P37" t="inlineStr">
        <is>
          <t>nyu</t>
        </is>
      </c>
      <c r="R37" t="inlineStr">
        <is>
          <t xml:space="preserve">NE </t>
        </is>
      </c>
      <c r="S37" t="n">
        <v>12</v>
      </c>
      <c r="T37" t="n">
        <v>12</v>
      </c>
      <c r="U37" t="inlineStr">
        <is>
          <t>2002-02-26</t>
        </is>
      </c>
      <c r="V37" t="inlineStr">
        <is>
          <t>2002-02-26</t>
        </is>
      </c>
      <c r="W37" t="inlineStr">
        <is>
          <t>1992-11-07</t>
        </is>
      </c>
      <c r="X37" t="inlineStr">
        <is>
          <t>1992-11-07</t>
        </is>
      </c>
      <c r="Y37" t="n">
        <v>1221</v>
      </c>
      <c r="Z37" t="n">
        <v>1169</v>
      </c>
      <c r="AA37" t="n">
        <v>1286</v>
      </c>
      <c r="AB37" t="n">
        <v>7</v>
      </c>
      <c r="AC37" t="n">
        <v>8</v>
      </c>
      <c r="AD37" t="n">
        <v>22</v>
      </c>
      <c r="AE37" t="n">
        <v>22</v>
      </c>
      <c r="AF37" t="n">
        <v>7</v>
      </c>
      <c r="AG37" t="n">
        <v>7</v>
      </c>
      <c r="AH37" t="n">
        <v>5</v>
      </c>
      <c r="AI37" t="n">
        <v>5</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HYPERLINK("https://creighton-primo.hosted.exlibrisgroup.com/primo-explore/search?tab=default_tab&amp;search_scope=EVERYTHING&amp;vid=01CRU&amp;lang=en_US&amp;offset=0&amp;query=any,contains,991005357829702656","Catalog Record")</f>
        <v/>
      </c>
      <c r="AT37">
        <f>HYPERLINK("http://www.worldcat.org/oclc/1112660","WorldCat Record")</f>
        <v/>
      </c>
      <c r="AU37" t="inlineStr">
        <is>
          <t>836149676:eng</t>
        </is>
      </c>
      <c r="AV37" t="inlineStr">
        <is>
          <t>1112660</t>
        </is>
      </c>
      <c r="AW37" t="inlineStr">
        <is>
          <t>991005357829702656</t>
        </is>
      </c>
      <c r="AX37" t="inlineStr">
        <is>
          <t>991005357829702656</t>
        </is>
      </c>
      <c r="AY37" t="inlineStr">
        <is>
          <t>2271129780002656</t>
        </is>
      </c>
      <c r="AZ37" t="inlineStr">
        <is>
          <t>BOOK</t>
        </is>
      </c>
      <c r="BC37" t="inlineStr">
        <is>
          <t>32285001383321</t>
        </is>
      </c>
      <c r="BD37" t="inlineStr">
        <is>
          <t>893326623</t>
        </is>
      </c>
    </row>
    <row r="38">
      <c r="A38" t="inlineStr">
        <is>
          <t>No</t>
        </is>
      </c>
      <c r="B38" t="inlineStr">
        <is>
          <t>NE2425 .A5</t>
        </is>
      </c>
      <c r="C38" t="inlineStr">
        <is>
          <t>0                      NE 2425000A  5</t>
        </is>
      </c>
      <c r="D38" t="inlineStr">
        <is>
          <t>The Tamarind book of lithography: art &amp; techniques [by] Garo Z. Antreasian with Clinton Adams.</t>
        </is>
      </c>
      <c r="F38" t="inlineStr">
        <is>
          <t>No</t>
        </is>
      </c>
      <c r="G38" t="inlineStr">
        <is>
          <t>1</t>
        </is>
      </c>
      <c r="H38" t="inlineStr">
        <is>
          <t>No</t>
        </is>
      </c>
      <c r="I38" t="inlineStr">
        <is>
          <t>No</t>
        </is>
      </c>
      <c r="J38" t="inlineStr">
        <is>
          <t>0</t>
        </is>
      </c>
      <c r="K38" t="inlineStr">
        <is>
          <t>Antreasian, Garo Z., 1922-</t>
        </is>
      </c>
      <c r="L38" t="inlineStr">
        <is>
          <t>Los Angeles, Tamarind Lithography Workshop, 1971.</t>
        </is>
      </c>
      <c r="M38" t="inlineStr">
        <is>
          <t>1971</t>
        </is>
      </c>
      <c r="O38" t="inlineStr">
        <is>
          <t>eng</t>
        </is>
      </c>
      <c r="P38" t="inlineStr">
        <is>
          <t>cau</t>
        </is>
      </c>
      <c r="R38" t="inlineStr">
        <is>
          <t xml:space="preserve">NE </t>
        </is>
      </c>
      <c r="S38" t="n">
        <v>1</v>
      </c>
      <c r="T38" t="n">
        <v>1</v>
      </c>
      <c r="U38" t="inlineStr">
        <is>
          <t>2006-06-16</t>
        </is>
      </c>
      <c r="V38" t="inlineStr">
        <is>
          <t>2006-06-16</t>
        </is>
      </c>
      <c r="W38" t="inlineStr">
        <is>
          <t>1997-08-07</t>
        </is>
      </c>
      <c r="X38" t="inlineStr">
        <is>
          <t>1997-08-07</t>
        </is>
      </c>
      <c r="Y38" t="n">
        <v>1134</v>
      </c>
      <c r="Z38" t="n">
        <v>972</v>
      </c>
      <c r="AA38" t="n">
        <v>1044</v>
      </c>
      <c r="AB38" t="n">
        <v>9</v>
      </c>
      <c r="AC38" t="n">
        <v>9</v>
      </c>
      <c r="AD38" t="n">
        <v>32</v>
      </c>
      <c r="AE38" t="n">
        <v>33</v>
      </c>
      <c r="AF38" t="n">
        <v>14</v>
      </c>
      <c r="AG38" t="n">
        <v>15</v>
      </c>
      <c r="AH38" t="n">
        <v>5</v>
      </c>
      <c r="AI38" t="n">
        <v>5</v>
      </c>
      <c r="AJ38" t="n">
        <v>13</v>
      </c>
      <c r="AK38" t="n">
        <v>13</v>
      </c>
      <c r="AL38" t="n">
        <v>7</v>
      </c>
      <c r="AM38" t="n">
        <v>7</v>
      </c>
      <c r="AN38" t="n">
        <v>0</v>
      </c>
      <c r="AO38" t="n">
        <v>0</v>
      </c>
      <c r="AP38" t="inlineStr">
        <is>
          <t>No</t>
        </is>
      </c>
      <c r="AQ38" t="inlineStr">
        <is>
          <t>Yes</t>
        </is>
      </c>
      <c r="AR38">
        <f>HYPERLINK("http://catalog.hathitrust.org/Record/001470416","HathiTrust Record")</f>
        <v/>
      </c>
      <c r="AS38">
        <f>HYPERLINK("https://creighton-primo.hosted.exlibrisgroup.com/primo-explore/search?tab=default_tab&amp;search_scope=EVERYTHING&amp;vid=01CRU&amp;lang=en_US&amp;offset=0&amp;query=any,contains,991001235639702656","Catalog Record")</f>
        <v/>
      </c>
      <c r="AT38">
        <f>HYPERLINK("http://www.worldcat.org/oclc/205837","WorldCat Record")</f>
        <v/>
      </c>
      <c r="AU38" t="inlineStr">
        <is>
          <t>579712:eng</t>
        </is>
      </c>
      <c r="AV38" t="inlineStr">
        <is>
          <t>205837</t>
        </is>
      </c>
      <c r="AW38" t="inlineStr">
        <is>
          <t>991001235639702656</t>
        </is>
      </c>
      <c r="AX38" t="inlineStr">
        <is>
          <t>991001235639702656</t>
        </is>
      </c>
      <c r="AY38" t="inlineStr">
        <is>
          <t>2256699620002656</t>
        </is>
      </c>
      <c r="AZ38" t="inlineStr">
        <is>
          <t>BOOK</t>
        </is>
      </c>
      <c r="BB38" t="inlineStr">
        <is>
          <t>9780810904965</t>
        </is>
      </c>
      <c r="BC38" t="inlineStr">
        <is>
          <t>32285003046801</t>
        </is>
      </c>
      <c r="BD38" t="inlineStr">
        <is>
          <t>893903352</t>
        </is>
      </c>
    </row>
    <row r="39">
      <c r="A39" t="inlineStr">
        <is>
          <t>No</t>
        </is>
      </c>
      <c r="B39" t="inlineStr">
        <is>
          <t>NE400 .E32</t>
        </is>
      </c>
      <c r="C39" t="inlineStr">
        <is>
          <t>0                      NE 0400000E  32</t>
        </is>
      </c>
      <c r="D39" t="inlineStr">
        <is>
          <t>The art of the print : masterpieces, history, techniques.</t>
        </is>
      </c>
      <c r="F39" t="inlineStr">
        <is>
          <t>No</t>
        </is>
      </c>
      <c r="G39" t="inlineStr">
        <is>
          <t>1</t>
        </is>
      </c>
      <c r="H39" t="inlineStr">
        <is>
          <t>No</t>
        </is>
      </c>
      <c r="I39" t="inlineStr">
        <is>
          <t>No</t>
        </is>
      </c>
      <c r="J39" t="inlineStr">
        <is>
          <t>0</t>
        </is>
      </c>
      <c r="K39" t="inlineStr">
        <is>
          <t>Eichenberg, Fritz, 1901-1990.</t>
        </is>
      </c>
      <c r="L39" t="inlineStr">
        <is>
          <t>New York : H. N. Abrams, [1976]</t>
        </is>
      </c>
      <c r="M39" t="inlineStr">
        <is>
          <t>1976</t>
        </is>
      </c>
      <c r="O39" t="inlineStr">
        <is>
          <t>eng</t>
        </is>
      </c>
      <c r="P39" t="inlineStr">
        <is>
          <t>nyu</t>
        </is>
      </c>
      <c r="R39" t="inlineStr">
        <is>
          <t xml:space="preserve">NE </t>
        </is>
      </c>
      <c r="S39" t="n">
        <v>8</v>
      </c>
      <c r="T39" t="n">
        <v>8</v>
      </c>
      <c r="U39" t="inlineStr">
        <is>
          <t>1996-04-16</t>
        </is>
      </c>
      <c r="V39" t="inlineStr">
        <is>
          <t>1996-04-16</t>
        </is>
      </c>
      <c r="W39" t="inlineStr">
        <is>
          <t>1991-05-16</t>
        </is>
      </c>
      <c r="X39" t="inlineStr">
        <is>
          <t>1991-05-16</t>
        </is>
      </c>
      <c r="Y39" t="n">
        <v>1174</v>
      </c>
      <c r="Z39" t="n">
        <v>1064</v>
      </c>
      <c r="AA39" t="n">
        <v>1131</v>
      </c>
      <c r="AB39" t="n">
        <v>15</v>
      </c>
      <c r="AC39" t="n">
        <v>15</v>
      </c>
      <c r="AD39" t="n">
        <v>36</v>
      </c>
      <c r="AE39" t="n">
        <v>39</v>
      </c>
      <c r="AF39" t="n">
        <v>13</v>
      </c>
      <c r="AG39" t="n">
        <v>14</v>
      </c>
      <c r="AH39" t="n">
        <v>8</v>
      </c>
      <c r="AI39" t="n">
        <v>8</v>
      </c>
      <c r="AJ39" t="n">
        <v>13</v>
      </c>
      <c r="AK39" t="n">
        <v>16</v>
      </c>
      <c r="AL39" t="n">
        <v>9</v>
      </c>
      <c r="AM39" t="n">
        <v>9</v>
      </c>
      <c r="AN39" t="n">
        <v>0</v>
      </c>
      <c r="AO39" t="n">
        <v>0</v>
      </c>
      <c r="AP39" t="inlineStr">
        <is>
          <t>No</t>
        </is>
      </c>
      <c r="AQ39" t="inlineStr">
        <is>
          <t>Yes</t>
        </is>
      </c>
      <c r="AR39">
        <f>HYPERLINK("http://catalog.hathitrust.org/Record/000017610","HathiTrust Record")</f>
        <v/>
      </c>
      <c r="AS39">
        <f>HYPERLINK("https://creighton-primo.hosted.exlibrisgroup.com/primo-explore/search?tab=default_tab&amp;search_scope=EVERYTHING&amp;vid=01CRU&amp;lang=en_US&amp;offset=0&amp;query=any,contains,991003485069702656","Catalog Record")</f>
        <v/>
      </c>
      <c r="AT39">
        <f>HYPERLINK("http://www.worldcat.org/oclc/1032275","WorldCat Record")</f>
        <v/>
      </c>
      <c r="AU39" t="inlineStr">
        <is>
          <t>287801226:eng</t>
        </is>
      </c>
      <c r="AV39" t="inlineStr">
        <is>
          <t>1032275</t>
        </is>
      </c>
      <c r="AW39" t="inlineStr">
        <is>
          <t>991003485069702656</t>
        </is>
      </c>
      <c r="AX39" t="inlineStr">
        <is>
          <t>991003485069702656</t>
        </is>
      </c>
      <c r="AY39" t="inlineStr">
        <is>
          <t>2268162340002656</t>
        </is>
      </c>
      <c r="AZ39" t="inlineStr">
        <is>
          <t>BOOK</t>
        </is>
      </c>
      <c r="BB39" t="inlineStr">
        <is>
          <t>9780810901032</t>
        </is>
      </c>
      <c r="BC39" t="inlineStr">
        <is>
          <t>32285000596576</t>
        </is>
      </c>
      <c r="BD39" t="inlineStr">
        <is>
          <t>893598623</t>
        </is>
      </c>
    </row>
    <row r="40">
      <c r="A40" t="inlineStr">
        <is>
          <t>No</t>
        </is>
      </c>
      <c r="B40" t="inlineStr">
        <is>
          <t>NE400 .M3</t>
        </is>
      </c>
      <c r="C40" t="inlineStr">
        <is>
          <t>0                      NE 0400000M  3</t>
        </is>
      </c>
      <c r="D40" t="inlineStr">
        <is>
          <t>Prints &amp; people : a social history of printed pictures / [by] A. Hyatt Mayor.</t>
        </is>
      </c>
      <c r="F40" t="inlineStr">
        <is>
          <t>No</t>
        </is>
      </c>
      <c r="G40" t="inlineStr">
        <is>
          <t>1</t>
        </is>
      </c>
      <c r="H40" t="inlineStr">
        <is>
          <t>No</t>
        </is>
      </c>
      <c r="I40" t="inlineStr">
        <is>
          <t>No</t>
        </is>
      </c>
      <c r="J40" t="inlineStr">
        <is>
          <t>0</t>
        </is>
      </c>
      <c r="K40" t="inlineStr">
        <is>
          <t>Mayor, A. Hyatt (Alpheus Hyatt), 1901-1980.</t>
        </is>
      </c>
      <c r="L40" t="inlineStr">
        <is>
          <t>[New York] : Metropolitan Museum of Art; distributed by New York Graphic Society, [1971]</t>
        </is>
      </c>
      <c r="M40" t="inlineStr">
        <is>
          <t>1971</t>
        </is>
      </c>
      <c r="O40" t="inlineStr">
        <is>
          <t>eng</t>
        </is>
      </c>
      <c r="P40" t="inlineStr">
        <is>
          <t>nyu</t>
        </is>
      </c>
      <c r="R40" t="inlineStr">
        <is>
          <t xml:space="preserve">NE </t>
        </is>
      </c>
      <c r="S40" t="n">
        <v>4</v>
      </c>
      <c r="T40" t="n">
        <v>4</v>
      </c>
      <c r="U40" t="inlineStr">
        <is>
          <t>1999-05-19</t>
        </is>
      </c>
      <c r="V40" t="inlineStr">
        <is>
          <t>1999-05-19</t>
        </is>
      </c>
      <c r="W40" t="inlineStr">
        <is>
          <t>1990-04-25</t>
        </is>
      </c>
      <c r="X40" t="inlineStr">
        <is>
          <t>1990-04-25</t>
        </is>
      </c>
      <c r="Y40" t="n">
        <v>1229</v>
      </c>
      <c r="Z40" t="n">
        <v>1062</v>
      </c>
      <c r="AA40" t="n">
        <v>1203</v>
      </c>
      <c r="AB40" t="n">
        <v>8</v>
      </c>
      <c r="AC40" t="n">
        <v>9</v>
      </c>
      <c r="AD40" t="n">
        <v>39</v>
      </c>
      <c r="AE40" t="n">
        <v>42</v>
      </c>
      <c r="AF40" t="n">
        <v>14</v>
      </c>
      <c r="AG40" t="n">
        <v>16</v>
      </c>
      <c r="AH40" t="n">
        <v>10</v>
      </c>
      <c r="AI40" t="n">
        <v>10</v>
      </c>
      <c r="AJ40" t="n">
        <v>18</v>
      </c>
      <c r="AK40" t="n">
        <v>18</v>
      </c>
      <c r="AL40" t="n">
        <v>6</v>
      </c>
      <c r="AM40" t="n">
        <v>7</v>
      </c>
      <c r="AN40" t="n">
        <v>0</v>
      </c>
      <c r="AO40" t="n">
        <v>0</v>
      </c>
      <c r="AP40" t="inlineStr">
        <is>
          <t>No</t>
        </is>
      </c>
      <c r="AQ40" t="inlineStr">
        <is>
          <t>Yes</t>
        </is>
      </c>
      <c r="AR40">
        <f>HYPERLINK("http://catalog.hathitrust.org/Record/001469641","HathiTrust Record")</f>
        <v/>
      </c>
      <c r="AS40">
        <f>HYPERLINK("https://creighton-primo.hosted.exlibrisgroup.com/primo-explore/search?tab=default_tab&amp;search_scope=EVERYTHING&amp;vid=01CRU&amp;lang=en_US&amp;offset=0&amp;query=any,contains,991001385469702656","Catalog Record")</f>
        <v/>
      </c>
      <c r="AT40">
        <f>HYPERLINK("http://www.worldcat.org/oclc/226680","WorldCat Record")</f>
        <v/>
      </c>
      <c r="AU40" t="inlineStr">
        <is>
          <t>440570:eng</t>
        </is>
      </c>
      <c r="AV40" t="inlineStr">
        <is>
          <t>226680</t>
        </is>
      </c>
      <c r="AW40" t="inlineStr">
        <is>
          <t>991001385469702656</t>
        </is>
      </c>
      <c r="AX40" t="inlineStr">
        <is>
          <t>991001385469702656</t>
        </is>
      </c>
      <c r="AY40" t="inlineStr">
        <is>
          <t>2263143370002656</t>
        </is>
      </c>
      <c r="AZ40" t="inlineStr">
        <is>
          <t>BOOK</t>
        </is>
      </c>
      <c r="BB40" t="inlineStr">
        <is>
          <t>9780870991080</t>
        </is>
      </c>
      <c r="BC40" t="inlineStr">
        <is>
          <t>32285000119155</t>
        </is>
      </c>
      <c r="BD40" t="inlineStr">
        <is>
          <t>893872501</t>
        </is>
      </c>
    </row>
    <row r="41">
      <c r="A41" t="inlineStr">
        <is>
          <t>No</t>
        </is>
      </c>
      <c r="B41" t="inlineStr">
        <is>
          <t>NE400 .P58 2000</t>
        </is>
      </c>
      <c r="C41" t="inlineStr">
        <is>
          <t>0                      NE 0400000P  58          2000</t>
        </is>
      </c>
      <c r="D41" t="inlineStr">
        <is>
          <t>Hard pressed : 600 years of prints and process / David Platzker and Elizabeth Wyckoff.</t>
        </is>
      </c>
      <c r="F41" t="inlineStr">
        <is>
          <t>No</t>
        </is>
      </c>
      <c r="G41" t="inlineStr">
        <is>
          <t>1</t>
        </is>
      </c>
      <c r="H41" t="inlineStr">
        <is>
          <t>No</t>
        </is>
      </c>
      <c r="I41" t="inlineStr">
        <is>
          <t>No</t>
        </is>
      </c>
      <c r="J41" t="inlineStr">
        <is>
          <t>0</t>
        </is>
      </c>
      <c r="K41" t="inlineStr">
        <is>
          <t>Platzker, David, 1965-</t>
        </is>
      </c>
      <c r="L41" t="inlineStr">
        <is>
          <t>New York : Hudson Hills Press, 2000.</t>
        </is>
      </c>
      <c r="M41" t="inlineStr">
        <is>
          <t>2000</t>
        </is>
      </c>
      <c r="N41" t="inlineStr">
        <is>
          <t>1st ed.</t>
        </is>
      </c>
      <c r="O41" t="inlineStr">
        <is>
          <t>eng</t>
        </is>
      </c>
      <c r="P41" t="inlineStr">
        <is>
          <t>nyu</t>
        </is>
      </c>
      <c r="R41" t="inlineStr">
        <is>
          <t xml:space="preserve">NE </t>
        </is>
      </c>
      <c r="S41" t="n">
        <v>2</v>
      </c>
      <c r="T41" t="n">
        <v>2</v>
      </c>
      <c r="U41" t="inlineStr">
        <is>
          <t>2009-04-08</t>
        </is>
      </c>
      <c r="V41" t="inlineStr">
        <is>
          <t>2009-04-08</t>
        </is>
      </c>
      <c r="W41" t="inlineStr">
        <is>
          <t>2002-04-15</t>
        </is>
      </c>
      <c r="X41" t="inlineStr">
        <is>
          <t>2002-04-15</t>
        </is>
      </c>
      <c r="Y41" t="n">
        <v>871</v>
      </c>
      <c r="Z41" t="n">
        <v>771</v>
      </c>
      <c r="AA41" t="n">
        <v>779</v>
      </c>
      <c r="AB41" t="n">
        <v>6</v>
      </c>
      <c r="AC41" t="n">
        <v>6</v>
      </c>
      <c r="AD41" t="n">
        <v>27</v>
      </c>
      <c r="AE41" t="n">
        <v>27</v>
      </c>
      <c r="AF41" t="n">
        <v>12</v>
      </c>
      <c r="AG41" t="n">
        <v>12</v>
      </c>
      <c r="AH41" t="n">
        <v>5</v>
      </c>
      <c r="AI41" t="n">
        <v>5</v>
      </c>
      <c r="AJ41" t="n">
        <v>12</v>
      </c>
      <c r="AK41" t="n">
        <v>12</v>
      </c>
      <c r="AL41" t="n">
        <v>4</v>
      </c>
      <c r="AM41" t="n">
        <v>4</v>
      </c>
      <c r="AN41" t="n">
        <v>0</v>
      </c>
      <c r="AO41" t="n">
        <v>0</v>
      </c>
      <c r="AP41" t="inlineStr">
        <is>
          <t>No</t>
        </is>
      </c>
      <c r="AQ41" t="inlineStr">
        <is>
          <t>Yes</t>
        </is>
      </c>
      <c r="AR41">
        <f>HYPERLINK("http://catalog.hathitrust.org/Record/004133816","HathiTrust Record")</f>
        <v/>
      </c>
      <c r="AS41">
        <f>HYPERLINK("https://creighton-primo.hosted.exlibrisgroup.com/primo-explore/search?tab=default_tab&amp;search_scope=EVERYTHING&amp;vid=01CRU&amp;lang=en_US&amp;offset=0&amp;query=any,contains,991003782169702656","Catalog Record")</f>
        <v/>
      </c>
      <c r="AT41">
        <f>HYPERLINK("http://www.worldcat.org/oclc/44266175","WorldCat Record")</f>
        <v/>
      </c>
      <c r="AU41" t="inlineStr">
        <is>
          <t>197593696:eng</t>
        </is>
      </c>
      <c r="AV41" t="inlineStr">
        <is>
          <t>44266175</t>
        </is>
      </c>
      <c r="AW41" t="inlineStr">
        <is>
          <t>991003782169702656</t>
        </is>
      </c>
      <c r="AX41" t="inlineStr">
        <is>
          <t>991003782169702656</t>
        </is>
      </c>
      <c r="AY41" t="inlineStr">
        <is>
          <t>2265372180002656</t>
        </is>
      </c>
      <c r="AZ41" t="inlineStr">
        <is>
          <t>BOOK</t>
        </is>
      </c>
      <c r="BB41" t="inlineStr">
        <is>
          <t>9781555951924</t>
        </is>
      </c>
      <c r="BC41" t="inlineStr">
        <is>
          <t>32285004479027</t>
        </is>
      </c>
      <c r="BD41" t="inlineStr">
        <is>
          <t>893705629</t>
        </is>
      </c>
    </row>
    <row r="42">
      <c r="A42" t="inlineStr">
        <is>
          <t>No</t>
        </is>
      </c>
      <c r="B42" t="inlineStr">
        <is>
          <t>NE400 .S213 1972</t>
        </is>
      </c>
      <c r="C42" t="inlineStr">
        <is>
          <t>0                      NE 0400000S  213         1972</t>
        </is>
      </c>
      <c r="D42" t="inlineStr">
        <is>
          <t>The history of prints and printmaking from Dürer to Picasso : a guide to collecting.</t>
        </is>
      </c>
      <c r="F42" t="inlineStr">
        <is>
          <t>No</t>
        </is>
      </c>
      <c r="G42" t="inlineStr">
        <is>
          <t>1</t>
        </is>
      </c>
      <c r="H42" t="inlineStr">
        <is>
          <t>No</t>
        </is>
      </c>
      <c r="I42" t="inlineStr">
        <is>
          <t>No</t>
        </is>
      </c>
      <c r="J42" t="inlineStr">
        <is>
          <t>0</t>
        </is>
      </c>
      <c r="K42" t="inlineStr">
        <is>
          <t>Salamon, Ferdinando.</t>
        </is>
      </c>
      <c r="L42" t="inlineStr">
        <is>
          <t>New York : American Heritage Press, [1972]</t>
        </is>
      </c>
      <c r="M42" t="inlineStr">
        <is>
          <t>1972</t>
        </is>
      </c>
      <c r="O42" t="inlineStr">
        <is>
          <t>eng</t>
        </is>
      </c>
      <c r="P42" t="inlineStr">
        <is>
          <t>nyu</t>
        </is>
      </c>
      <c r="R42" t="inlineStr">
        <is>
          <t xml:space="preserve">NE </t>
        </is>
      </c>
      <c r="S42" t="n">
        <v>7</v>
      </c>
      <c r="T42" t="n">
        <v>7</v>
      </c>
      <c r="U42" t="inlineStr">
        <is>
          <t>2004-04-08</t>
        </is>
      </c>
      <c r="V42" t="inlineStr">
        <is>
          <t>2004-04-08</t>
        </is>
      </c>
      <c r="W42" t="inlineStr">
        <is>
          <t>1991-04-09</t>
        </is>
      </c>
      <c r="X42" t="inlineStr">
        <is>
          <t>1991-04-09</t>
        </is>
      </c>
      <c r="Y42" t="n">
        <v>965</v>
      </c>
      <c r="Z42" t="n">
        <v>908</v>
      </c>
      <c r="AA42" t="n">
        <v>935</v>
      </c>
      <c r="AB42" t="n">
        <v>7</v>
      </c>
      <c r="AC42" t="n">
        <v>7</v>
      </c>
      <c r="AD42" t="n">
        <v>24</v>
      </c>
      <c r="AE42" t="n">
        <v>24</v>
      </c>
      <c r="AF42" t="n">
        <v>11</v>
      </c>
      <c r="AG42" t="n">
        <v>11</v>
      </c>
      <c r="AH42" t="n">
        <v>7</v>
      </c>
      <c r="AI42" t="n">
        <v>7</v>
      </c>
      <c r="AJ42" t="n">
        <v>10</v>
      </c>
      <c r="AK42" t="n">
        <v>10</v>
      </c>
      <c r="AL42" t="n">
        <v>2</v>
      </c>
      <c r="AM42" t="n">
        <v>2</v>
      </c>
      <c r="AN42" t="n">
        <v>0</v>
      </c>
      <c r="AO42" t="n">
        <v>0</v>
      </c>
      <c r="AP42" t="inlineStr">
        <is>
          <t>No</t>
        </is>
      </c>
      <c r="AQ42" t="inlineStr">
        <is>
          <t>Yes</t>
        </is>
      </c>
      <c r="AR42">
        <f>HYPERLINK("http://catalog.hathitrust.org/Record/001469643","HathiTrust Record")</f>
        <v/>
      </c>
      <c r="AS42">
        <f>HYPERLINK("https://creighton-primo.hosted.exlibrisgroup.com/primo-explore/search?tab=default_tab&amp;search_scope=EVERYTHING&amp;vid=01CRU&amp;lang=en_US&amp;offset=0&amp;query=any,contains,991002917169702656","Catalog Record")</f>
        <v/>
      </c>
      <c r="AT42">
        <f>HYPERLINK("http://www.worldcat.org/oclc/524404","WorldCat Record")</f>
        <v/>
      </c>
      <c r="AU42" t="inlineStr">
        <is>
          <t>2864331901:eng</t>
        </is>
      </c>
      <c r="AV42" t="inlineStr">
        <is>
          <t>524404</t>
        </is>
      </c>
      <c r="AW42" t="inlineStr">
        <is>
          <t>991002917169702656</t>
        </is>
      </c>
      <c r="AX42" t="inlineStr">
        <is>
          <t>991002917169702656</t>
        </is>
      </c>
      <c r="AY42" t="inlineStr">
        <is>
          <t>2261016930002656</t>
        </is>
      </c>
      <c r="AZ42" t="inlineStr">
        <is>
          <t>BOOK</t>
        </is>
      </c>
      <c r="BB42" t="inlineStr">
        <is>
          <t>9780070544604</t>
        </is>
      </c>
      <c r="BC42" t="inlineStr">
        <is>
          <t>32285000550698</t>
        </is>
      </c>
      <c r="BD42" t="inlineStr">
        <is>
          <t>893251777</t>
        </is>
      </c>
    </row>
    <row r="43">
      <c r="A43" t="inlineStr">
        <is>
          <t>No</t>
        </is>
      </c>
      <c r="B43" t="inlineStr">
        <is>
          <t>NE440 .P37 2001</t>
        </is>
      </c>
      <c r="C43" t="inlineStr">
        <is>
          <t>0                      NE 0440000P  37          2001</t>
        </is>
      </c>
      <c r="D43" t="inlineStr">
        <is>
          <t>The unfinished print / Peter Parshall, Stacey Sell, Judith Brodie.</t>
        </is>
      </c>
      <c r="F43" t="inlineStr">
        <is>
          <t>No</t>
        </is>
      </c>
      <c r="G43" t="inlineStr">
        <is>
          <t>1</t>
        </is>
      </c>
      <c r="H43" t="inlineStr">
        <is>
          <t>No</t>
        </is>
      </c>
      <c r="I43" t="inlineStr">
        <is>
          <t>No</t>
        </is>
      </c>
      <c r="J43" t="inlineStr">
        <is>
          <t>0</t>
        </is>
      </c>
      <c r="K43" t="inlineStr">
        <is>
          <t>Parshall, Peter W.</t>
        </is>
      </c>
      <c r="L43" t="inlineStr">
        <is>
          <t>Washington, D.C. : National Gallery of Art, c2001.</t>
        </is>
      </c>
      <c r="M43" t="inlineStr">
        <is>
          <t>2001</t>
        </is>
      </c>
      <c r="O43" t="inlineStr">
        <is>
          <t>eng</t>
        </is>
      </c>
      <c r="P43" t="inlineStr">
        <is>
          <t>dcu</t>
        </is>
      </c>
      <c r="R43" t="inlineStr">
        <is>
          <t xml:space="preserve">NE </t>
        </is>
      </c>
      <c r="S43" t="n">
        <v>3</v>
      </c>
      <c r="T43" t="n">
        <v>3</v>
      </c>
      <c r="U43" t="inlineStr">
        <is>
          <t>2002-05-17</t>
        </is>
      </c>
      <c r="V43" t="inlineStr">
        <is>
          <t>2002-05-17</t>
        </is>
      </c>
      <c r="W43" t="inlineStr">
        <is>
          <t>2002-05-13</t>
        </is>
      </c>
      <c r="X43" t="inlineStr">
        <is>
          <t>2002-05-13</t>
        </is>
      </c>
      <c r="Y43" t="n">
        <v>354</v>
      </c>
      <c r="Z43" t="n">
        <v>307</v>
      </c>
      <c r="AA43" t="n">
        <v>366</v>
      </c>
      <c r="AB43" t="n">
        <v>2</v>
      </c>
      <c r="AC43" t="n">
        <v>2</v>
      </c>
      <c r="AD43" t="n">
        <v>9</v>
      </c>
      <c r="AE43" t="n">
        <v>11</v>
      </c>
      <c r="AF43" t="n">
        <v>4</v>
      </c>
      <c r="AG43" t="n">
        <v>4</v>
      </c>
      <c r="AH43" t="n">
        <v>3</v>
      </c>
      <c r="AI43" t="n">
        <v>3</v>
      </c>
      <c r="AJ43" t="n">
        <v>4</v>
      </c>
      <c r="AK43" t="n">
        <v>6</v>
      </c>
      <c r="AL43" t="n">
        <v>1</v>
      </c>
      <c r="AM43" t="n">
        <v>1</v>
      </c>
      <c r="AN43" t="n">
        <v>0</v>
      </c>
      <c r="AO43" t="n">
        <v>0</v>
      </c>
      <c r="AP43" t="inlineStr">
        <is>
          <t>No</t>
        </is>
      </c>
      <c r="AQ43" t="inlineStr">
        <is>
          <t>Yes</t>
        </is>
      </c>
      <c r="AR43">
        <f>HYPERLINK("http://catalog.hathitrust.org/Record/004209024","HathiTrust Record")</f>
        <v/>
      </c>
      <c r="AS43">
        <f>HYPERLINK("https://creighton-primo.hosted.exlibrisgroup.com/primo-explore/search?tab=default_tab&amp;search_scope=EVERYTHING&amp;vid=01CRU&amp;lang=en_US&amp;offset=0&amp;query=any,contains,991003667529702656","Catalog Record")</f>
        <v/>
      </c>
      <c r="AT43">
        <f>HYPERLINK("http://www.worldcat.org/oclc/45756231","WorldCat Record")</f>
        <v/>
      </c>
      <c r="AU43" t="inlineStr">
        <is>
          <t>20378411:eng</t>
        </is>
      </c>
      <c r="AV43" t="inlineStr">
        <is>
          <t>45756231</t>
        </is>
      </c>
      <c r="AW43" t="inlineStr">
        <is>
          <t>991003667529702656</t>
        </is>
      </c>
      <c r="AX43" t="inlineStr">
        <is>
          <t>991003667529702656</t>
        </is>
      </c>
      <c r="AY43" t="inlineStr">
        <is>
          <t>2266327680002656</t>
        </is>
      </c>
      <c r="AZ43" t="inlineStr">
        <is>
          <t>BOOK</t>
        </is>
      </c>
      <c r="BB43" t="inlineStr">
        <is>
          <t>9780894682841</t>
        </is>
      </c>
      <c r="BC43" t="inlineStr">
        <is>
          <t>32285004487731</t>
        </is>
      </c>
      <c r="BD43" t="inlineStr">
        <is>
          <t>893800009</t>
        </is>
      </c>
    </row>
    <row r="44">
      <c r="A44" t="inlineStr">
        <is>
          <t>No</t>
        </is>
      </c>
      <c r="B44" t="inlineStr">
        <is>
          <t>NE441.5.R44 L35 1994</t>
        </is>
      </c>
      <c r="C44" t="inlineStr">
        <is>
          <t>0                      NE 0441500R  44                 L  35          1994</t>
        </is>
      </c>
      <c r="D44" t="inlineStr">
        <is>
          <t>The Renaissance print, 1470-1550 / David Landau and Peter Parshall.</t>
        </is>
      </c>
      <c r="F44" t="inlineStr">
        <is>
          <t>No</t>
        </is>
      </c>
      <c r="G44" t="inlineStr">
        <is>
          <t>1</t>
        </is>
      </c>
      <c r="H44" t="inlineStr">
        <is>
          <t>No</t>
        </is>
      </c>
      <c r="I44" t="inlineStr">
        <is>
          <t>No</t>
        </is>
      </c>
      <c r="J44" t="inlineStr">
        <is>
          <t>0</t>
        </is>
      </c>
      <c r="K44" t="inlineStr">
        <is>
          <t>Landau, David, 1950-</t>
        </is>
      </c>
      <c r="L44" t="inlineStr">
        <is>
          <t>New Haven : Yale University Press, 1994.</t>
        </is>
      </c>
      <c r="M44" t="inlineStr">
        <is>
          <t>1994</t>
        </is>
      </c>
      <c r="O44" t="inlineStr">
        <is>
          <t>eng</t>
        </is>
      </c>
      <c r="P44" t="inlineStr">
        <is>
          <t>ctu</t>
        </is>
      </c>
      <c r="R44" t="inlineStr">
        <is>
          <t xml:space="preserve">NE </t>
        </is>
      </c>
      <c r="S44" t="n">
        <v>1</v>
      </c>
      <c r="T44" t="n">
        <v>1</v>
      </c>
      <c r="U44" t="inlineStr">
        <is>
          <t>2002-08-13</t>
        </is>
      </c>
      <c r="V44" t="inlineStr">
        <is>
          <t>2002-08-13</t>
        </is>
      </c>
      <c r="W44" t="inlineStr">
        <is>
          <t>2000-04-11</t>
        </is>
      </c>
      <c r="X44" t="inlineStr">
        <is>
          <t>2000-04-11</t>
        </is>
      </c>
      <c r="Y44" t="n">
        <v>931</v>
      </c>
      <c r="Z44" t="n">
        <v>743</v>
      </c>
      <c r="AA44" t="n">
        <v>770</v>
      </c>
      <c r="AB44" t="n">
        <v>7</v>
      </c>
      <c r="AC44" t="n">
        <v>7</v>
      </c>
      <c r="AD44" t="n">
        <v>38</v>
      </c>
      <c r="AE44" t="n">
        <v>40</v>
      </c>
      <c r="AF44" t="n">
        <v>19</v>
      </c>
      <c r="AG44" t="n">
        <v>20</v>
      </c>
      <c r="AH44" t="n">
        <v>8</v>
      </c>
      <c r="AI44" t="n">
        <v>9</v>
      </c>
      <c r="AJ44" t="n">
        <v>17</v>
      </c>
      <c r="AK44" t="n">
        <v>17</v>
      </c>
      <c r="AL44" t="n">
        <v>5</v>
      </c>
      <c r="AM44" t="n">
        <v>5</v>
      </c>
      <c r="AN44" t="n">
        <v>0</v>
      </c>
      <c r="AO44" t="n">
        <v>0</v>
      </c>
      <c r="AP44" t="inlineStr">
        <is>
          <t>No</t>
        </is>
      </c>
      <c r="AQ44" t="inlineStr">
        <is>
          <t>No</t>
        </is>
      </c>
      <c r="AS44">
        <f>HYPERLINK("https://creighton-primo.hosted.exlibrisgroup.com/primo-explore/search?tab=default_tab&amp;search_scope=EVERYTHING&amp;vid=01CRU&amp;lang=en_US&amp;offset=0&amp;query=any,contains,991002212809702656","Catalog Record")</f>
        <v/>
      </c>
      <c r="AT44">
        <f>HYPERLINK("http://www.worldcat.org/oclc/28495351","WorldCat Record")</f>
        <v/>
      </c>
      <c r="AU44" t="inlineStr">
        <is>
          <t>31021046:eng</t>
        </is>
      </c>
      <c r="AV44" t="inlineStr">
        <is>
          <t>28495351</t>
        </is>
      </c>
      <c r="AW44" t="inlineStr">
        <is>
          <t>991002212809702656</t>
        </is>
      </c>
      <c r="AX44" t="inlineStr">
        <is>
          <t>991002212809702656</t>
        </is>
      </c>
      <c r="AY44" t="inlineStr">
        <is>
          <t>2272594160002656</t>
        </is>
      </c>
      <c r="AZ44" t="inlineStr">
        <is>
          <t>BOOK</t>
        </is>
      </c>
      <c r="BB44" t="inlineStr">
        <is>
          <t>9780300057393</t>
        </is>
      </c>
      <c r="BC44" t="inlineStr">
        <is>
          <t>32285003677035</t>
        </is>
      </c>
      <c r="BD44" t="inlineStr">
        <is>
          <t>893439894</t>
        </is>
      </c>
    </row>
    <row r="45">
      <c r="A45" t="inlineStr">
        <is>
          <t>No</t>
        </is>
      </c>
      <c r="B45" t="inlineStr">
        <is>
          <t>NE507 .A42 1975</t>
        </is>
      </c>
      <c r="C45" t="inlineStr">
        <is>
          <t>0                      NE 0507000A  42          1975</t>
        </is>
      </c>
      <c r="D45" t="inlineStr">
        <is>
          <t>Art &amp; commerce : American prints of the nineteenth century : proceedings of a conference held in Boston, May 8-10, 1975, Museum of Fine Arts, Boston, Massachusetts.</t>
        </is>
      </c>
      <c r="F45" t="inlineStr">
        <is>
          <t>No</t>
        </is>
      </c>
      <c r="G45" t="inlineStr">
        <is>
          <t>1</t>
        </is>
      </c>
      <c r="H45" t="inlineStr">
        <is>
          <t>No</t>
        </is>
      </c>
      <c r="I45" t="inlineStr">
        <is>
          <t>No</t>
        </is>
      </c>
      <c r="J45" t="inlineStr">
        <is>
          <t>0</t>
        </is>
      </c>
      <c r="K45" t="inlineStr">
        <is>
          <t>American Prints Conference (1975 : Boston, Mass.)</t>
        </is>
      </c>
      <c r="L45" t="inlineStr">
        <is>
          <t>[Boston] : The Museum ; Charlottesville : distributed by the University Press of Virginia, c1978.</t>
        </is>
      </c>
      <c r="M45" t="inlineStr">
        <is>
          <t>1978</t>
        </is>
      </c>
      <c r="O45" t="inlineStr">
        <is>
          <t>eng</t>
        </is>
      </c>
      <c r="P45" t="inlineStr">
        <is>
          <t>mau</t>
        </is>
      </c>
      <c r="R45" t="inlineStr">
        <is>
          <t xml:space="preserve">NE </t>
        </is>
      </c>
      <c r="S45" t="n">
        <v>3</v>
      </c>
      <c r="T45" t="n">
        <v>3</v>
      </c>
      <c r="U45" t="inlineStr">
        <is>
          <t>2000-08-25</t>
        </is>
      </c>
      <c r="V45" t="inlineStr">
        <is>
          <t>2000-08-25</t>
        </is>
      </c>
      <c r="W45" t="inlineStr">
        <is>
          <t>1993-06-01</t>
        </is>
      </c>
      <c r="X45" t="inlineStr">
        <is>
          <t>1993-06-01</t>
        </is>
      </c>
      <c r="Y45" t="n">
        <v>357</v>
      </c>
      <c r="Z45" t="n">
        <v>327</v>
      </c>
      <c r="AA45" t="n">
        <v>336</v>
      </c>
      <c r="AB45" t="n">
        <v>4</v>
      </c>
      <c r="AC45" t="n">
        <v>4</v>
      </c>
      <c r="AD45" t="n">
        <v>12</v>
      </c>
      <c r="AE45" t="n">
        <v>12</v>
      </c>
      <c r="AF45" t="n">
        <v>1</v>
      </c>
      <c r="AG45" t="n">
        <v>1</v>
      </c>
      <c r="AH45" t="n">
        <v>4</v>
      </c>
      <c r="AI45" t="n">
        <v>4</v>
      </c>
      <c r="AJ45" t="n">
        <v>6</v>
      </c>
      <c r="AK45" t="n">
        <v>6</v>
      </c>
      <c r="AL45" t="n">
        <v>2</v>
      </c>
      <c r="AM45" t="n">
        <v>2</v>
      </c>
      <c r="AN45" t="n">
        <v>0</v>
      </c>
      <c r="AO45" t="n">
        <v>0</v>
      </c>
      <c r="AP45" t="inlineStr">
        <is>
          <t>No</t>
        </is>
      </c>
      <c r="AQ45" t="inlineStr">
        <is>
          <t>Yes</t>
        </is>
      </c>
      <c r="AR45">
        <f>HYPERLINK("http://catalog.hathitrust.org/Record/000297430","HathiTrust Record")</f>
        <v/>
      </c>
      <c r="AS45">
        <f>HYPERLINK("https://creighton-primo.hosted.exlibrisgroup.com/primo-explore/search?tab=default_tab&amp;search_scope=EVERYTHING&amp;vid=01CRU&amp;lang=en_US&amp;offset=0&amp;query=any,contains,991005374419702656","Catalog Record")</f>
        <v/>
      </c>
      <c r="AT45">
        <f>HYPERLINK("http://www.worldcat.org/oclc/4768263","WorldCat Record")</f>
        <v/>
      </c>
      <c r="AU45" t="inlineStr">
        <is>
          <t>1150981363:eng</t>
        </is>
      </c>
      <c r="AV45" t="inlineStr">
        <is>
          <t>4768263</t>
        </is>
      </c>
      <c r="AW45" t="inlineStr">
        <is>
          <t>991005374419702656</t>
        </is>
      </c>
      <c r="AX45" t="inlineStr">
        <is>
          <t>991005374419702656</t>
        </is>
      </c>
      <c r="AY45" t="inlineStr">
        <is>
          <t>2263757860002656</t>
        </is>
      </c>
      <c r="AZ45" t="inlineStr">
        <is>
          <t>BOOK</t>
        </is>
      </c>
      <c r="BB45" t="inlineStr">
        <is>
          <t>9780878461301</t>
        </is>
      </c>
      <c r="BC45" t="inlineStr">
        <is>
          <t>32285001715316</t>
        </is>
      </c>
      <c r="BD45" t="inlineStr">
        <is>
          <t>893619903</t>
        </is>
      </c>
    </row>
    <row r="46">
      <c r="A46" t="inlineStr">
        <is>
          <t>No</t>
        </is>
      </c>
      <c r="B46" t="inlineStr">
        <is>
          <t>NE507 .W37 1984</t>
        </is>
      </c>
      <c r="C46" t="inlineStr">
        <is>
          <t>0                      NE 0507000W  37          1984</t>
        </is>
      </c>
      <c r="D46" t="inlineStr">
        <is>
          <t>American printmaking : a century of American printmaking, 1880-1980 / James Watrous.</t>
        </is>
      </c>
      <c r="F46" t="inlineStr">
        <is>
          <t>No</t>
        </is>
      </c>
      <c r="G46" t="inlineStr">
        <is>
          <t>1</t>
        </is>
      </c>
      <c r="H46" t="inlineStr">
        <is>
          <t>No</t>
        </is>
      </c>
      <c r="I46" t="inlineStr">
        <is>
          <t>No</t>
        </is>
      </c>
      <c r="J46" t="inlineStr">
        <is>
          <t>0</t>
        </is>
      </c>
      <c r="K46" t="inlineStr">
        <is>
          <t>Watrous, James, 1908-</t>
        </is>
      </c>
      <c r="L46" t="inlineStr">
        <is>
          <t>Madison, Wis. : University of Wisconsin Press, 1984.</t>
        </is>
      </c>
      <c r="M46" t="inlineStr">
        <is>
          <t>1984</t>
        </is>
      </c>
      <c r="O46" t="inlineStr">
        <is>
          <t>eng</t>
        </is>
      </c>
      <c r="P46" t="inlineStr">
        <is>
          <t>wiu</t>
        </is>
      </c>
      <c r="R46" t="inlineStr">
        <is>
          <t xml:space="preserve">NE </t>
        </is>
      </c>
      <c r="S46" t="n">
        <v>3</v>
      </c>
      <c r="T46" t="n">
        <v>3</v>
      </c>
      <c r="U46" t="inlineStr">
        <is>
          <t>1994-10-25</t>
        </is>
      </c>
      <c r="V46" t="inlineStr">
        <is>
          <t>1994-10-25</t>
        </is>
      </c>
      <c r="W46" t="inlineStr">
        <is>
          <t>1993-06-01</t>
        </is>
      </c>
      <c r="X46" t="inlineStr">
        <is>
          <t>1993-06-01</t>
        </is>
      </c>
      <c r="Y46" t="n">
        <v>1002</v>
      </c>
      <c r="Z46" t="n">
        <v>885</v>
      </c>
      <c r="AA46" t="n">
        <v>890</v>
      </c>
      <c r="AB46" t="n">
        <v>6</v>
      </c>
      <c r="AC46" t="n">
        <v>6</v>
      </c>
      <c r="AD46" t="n">
        <v>30</v>
      </c>
      <c r="AE46" t="n">
        <v>30</v>
      </c>
      <c r="AF46" t="n">
        <v>18</v>
      </c>
      <c r="AG46" t="n">
        <v>18</v>
      </c>
      <c r="AH46" t="n">
        <v>4</v>
      </c>
      <c r="AI46" t="n">
        <v>4</v>
      </c>
      <c r="AJ46" t="n">
        <v>12</v>
      </c>
      <c r="AK46" t="n">
        <v>12</v>
      </c>
      <c r="AL46" t="n">
        <v>4</v>
      </c>
      <c r="AM46" t="n">
        <v>4</v>
      </c>
      <c r="AN46" t="n">
        <v>0</v>
      </c>
      <c r="AO46" t="n">
        <v>0</v>
      </c>
      <c r="AP46" t="inlineStr">
        <is>
          <t>No</t>
        </is>
      </c>
      <c r="AQ46" t="inlineStr">
        <is>
          <t>Yes</t>
        </is>
      </c>
      <c r="AR46">
        <f>HYPERLINK("http://catalog.hathitrust.org/Record/000244146","HathiTrust Record")</f>
        <v/>
      </c>
      <c r="AS46">
        <f>HYPERLINK("https://creighton-primo.hosted.exlibrisgroup.com/primo-explore/search?tab=default_tab&amp;search_scope=EVERYTHING&amp;vid=01CRU&amp;lang=en_US&amp;offset=0&amp;query=any,contains,991000282029702656","Catalog Record")</f>
        <v/>
      </c>
      <c r="AT46">
        <f>HYPERLINK("http://www.worldcat.org/oclc/9919144","WorldCat Record")</f>
        <v/>
      </c>
      <c r="AU46" t="inlineStr">
        <is>
          <t>836629288:eng</t>
        </is>
      </c>
      <c r="AV46" t="inlineStr">
        <is>
          <t>9919144</t>
        </is>
      </c>
      <c r="AW46" t="inlineStr">
        <is>
          <t>991000282029702656</t>
        </is>
      </c>
      <c r="AX46" t="inlineStr">
        <is>
          <t>991000282029702656</t>
        </is>
      </c>
      <c r="AY46" t="inlineStr">
        <is>
          <t>2268286120002656</t>
        </is>
      </c>
      <c r="AZ46" t="inlineStr">
        <is>
          <t>BOOK</t>
        </is>
      </c>
      <c r="BB46" t="inlineStr">
        <is>
          <t>9780299096809</t>
        </is>
      </c>
      <c r="BC46" t="inlineStr">
        <is>
          <t>32285001715332</t>
        </is>
      </c>
      <c r="BD46" t="inlineStr">
        <is>
          <t>893589316</t>
        </is>
      </c>
    </row>
    <row r="47">
      <c r="A47" t="inlineStr">
        <is>
          <t>No</t>
        </is>
      </c>
      <c r="B47" t="inlineStr">
        <is>
          <t>NE508 .K7 1984</t>
        </is>
      </c>
      <c r="C47" t="inlineStr">
        <is>
          <t>0                      NE 0508000K  7           1984</t>
        </is>
      </c>
      <c r="D47" t="inlineStr">
        <is>
          <t>Great American prints, 1900-1950 : 138 lithographs, etchings, and woodcuts / June and Norman Kraeft.</t>
        </is>
      </c>
      <c r="F47" t="inlineStr">
        <is>
          <t>No</t>
        </is>
      </c>
      <c r="G47" t="inlineStr">
        <is>
          <t>1</t>
        </is>
      </c>
      <c r="H47" t="inlineStr">
        <is>
          <t>No</t>
        </is>
      </c>
      <c r="I47" t="inlineStr">
        <is>
          <t>No</t>
        </is>
      </c>
      <c r="J47" t="inlineStr">
        <is>
          <t>0</t>
        </is>
      </c>
      <c r="K47" t="inlineStr">
        <is>
          <t>Kraeft, June.</t>
        </is>
      </c>
      <c r="L47" t="inlineStr">
        <is>
          <t>New York : Dover Publications, 1984.</t>
        </is>
      </c>
      <c r="M47" t="inlineStr">
        <is>
          <t>1984</t>
        </is>
      </c>
      <c r="O47" t="inlineStr">
        <is>
          <t>eng</t>
        </is>
      </c>
      <c r="P47" t="inlineStr">
        <is>
          <t>nyu</t>
        </is>
      </c>
      <c r="R47" t="inlineStr">
        <is>
          <t xml:space="preserve">NE </t>
        </is>
      </c>
      <c r="S47" t="n">
        <v>7</v>
      </c>
      <c r="T47" t="n">
        <v>7</v>
      </c>
      <c r="U47" t="inlineStr">
        <is>
          <t>1998-11-16</t>
        </is>
      </c>
      <c r="V47" t="inlineStr">
        <is>
          <t>1998-11-16</t>
        </is>
      </c>
      <c r="W47" t="inlineStr">
        <is>
          <t>1992-05-14</t>
        </is>
      </c>
      <c r="X47" t="inlineStr">
        <is>
          <t>1992-05-14</t>
        </is>
      </c>
      <c r="Y47" t="n">
        <v>291</v>
      </c>
      <c r="Z47" t="n">
        <v>261</v>
      </c>
      <c r="AA47" t="n">
        <v>264</v>
      </c>
      <c r="AB47" t="n">
        <v>5</v>
      </c>
      <c r="AC47" t="n">
        <v>5</v>
      </c>
      <c r="AD47" t="n">
        <v>8</v>
      </c>
      <c r="AE47" t="n">
        <v>8</v>
      </c>
      <c r="AF47" t="n">
        <v>2</v>
      </c>
      <c r="AG47" t="n">
        <v>2</v>
      </c>
      <c r="AH47" t="n">
        <v>2</v>
      </c>
      <c r="AI47" t="n">
        <v>2</v>
      </c>
      <c r="AJ47" t="n">
        <v>2</v>
      </c>
      <c r="AK47" t="n">
        <v>2</v>
      </c>
      <c r="AL47" t="n">
        <v>3</v>
      </c>
      <c r="AM47" t="n">
        <v>3</v>
      </c>
      <c r="AN47" t="n">
        <v>0</v>
      </c>
      <c r="AO47" t="n">
        <v>0</v>
      </c>
      <c r="AP47" t="inlineStr">
        <is>
          <t>No</t>
        </is>
      </c>
      <c r="AQ47" t="inlineStr">
        <is>
          <t>Yes</t>
        </is>
      </c>
      <c r="AR47">
        <f>HYPERLINK("http://catalog.hathitrust.org/Record/100024242","HathiTrust Record")</f>
        <v/>
      </c>
      <c r="AS47">
        <f>HYPERLINK("https://creighton-primo.hosted.exlibrisgroup.com/primo-explore/search?tab=default_tab&amp;search_scope=EVERYTHING&amp;vid=01CRU&amp;lang=en_US&amp;offset=0&amp;query=any,contains,991000303479702656","Catalog Record")</f>
        <v/>
      </c>
      <c r="AT47">
        <f>HYPERLINK("http://www.worldcat.org/oclc/10045639","WorldCat Record")</f>
        <v/>
      </c>
      <c r="AU47" t="inlineStr">
        <is>
          <t>836636394:eng</t>
        </is>
      </c>
      <c r="AV47" t="inlineStr">
        <is>
          <t>10045639</t>
        </is>
      </c>
      <c r="AW47" t="inlineStr">
        <is>
          <t>991000303479702656</t>
        </is>
      </c>
      <c r="AX47" t="inlineStr">
        <is>
          <t>991000303479702656</t>
        </is>
      </c>
      <c r="AY47" t="inlineStr">
        <is>
          <t>2258896530002656</t>
        </is>
      </c>
      <c r="AZ47" t="inlineStr">
        <is>
          <t>BOOK</t>
        </is>
      </c>
      <c r="BB47" t="inlineStr">
        <is>
          <t>9780486246611</t>
        </is>
      </c>
      <c r="BC47" t="inlineStr">
        <is>
          <t>32285001109528</t>
        </is>
      </c>
      <c r="BD47" t="inlineStr">
        <is>
          <t>893595460</t>
        </is>
      </c>
    </row>
    <row r="48">
      <c r="A48" t="inlineStr">
        <is>
          <t>No</t>
        </is>
      </c>
      <c r="B48" t="inlineStr">
        <is>
          <t>NE539.C3 A4 1979</t>
        </is>
      </c>
      <c r="C48" t="inlineStr">
        <is>
          <t>0                      NE 0539000C  3                  A  4           1979</t>
        </is>
      </c>
      <c r="D48" t="inlineStr">
        <is>
          <t>Mary Cassatt : a catalogue raisonné of the graphic work / Adelyn Dohme Breeskin.</t>
        </is>
      </c>
      <c r="F48" t="inlineStr">
        <is>
          <t>No</t>
        </is>
      </c>
      <c r="G48" t="inlineStr">
        <is>
          <t>1</t>
        </is>
      </c>
      <c r="H48" t="inlineStr">
        <is>
          <t>No</t>
        </is>
      </c>
      <c r="I48" t="inlineStr">
        <is>
          <t>No</t>
        </is>
      </c>
      <c r="J48" t="inlineStr">
        <is>
          <t>0</t>
        </is>
      </c>
      <c r="K48" t="inlineStr">
        <is>
          <t>Breeskin, Adelyn Dohme, 1896-1986.</t>
        </is>
      </c>
      <c r="L48" t="inlineStr">
        <is>
          <t>Washington : Smithsonian Institution Press, 1979.</t>
        </is>
      </c>
      <c r="M48" t="inlineStr">
        <is>
          <t>1979</t>
        </is>
      </c>
      <c r="N48" t="inlineStr">
        <is>
          <t>2d ed., rev.</t>
        </is>
      </c>
      <c r="O48" t="inlineStr">
        <is>
          <t>eng</t>
        </is>
      </c>
      <c r="P48" t="inlineStr">
        <is>
          <t>dcu</t>
        </is>
      </c>
      <c r="R48" t="inlineStr">
        <is>
          <t xml:space="preserve">NE </t>
        </is>
      </c>
      <c r="S48" t="n">
        <v>2</v>
      </c>
      <c r="T48" t="n">
        <v>2</v>
      </c>
      <c r="U48" t="inlineStr">
        <is>
          <t>1999-04-06</t>
        </is>
      </c>
      <c r="V48" t="inlineStr">
        <is>
          <t>1999-04-06</t>
        </is>
      </c>
      <c r="W48" t="inlineStr">
        <is>
          <t>1992-02-06</t>
        </is>
      </c>
      <c r="X48" t="inlineStr">
        <is>
          <t>1992-02-06</t>
        </is>
      </c>
      <c r="Y48" t="n">
        <v>741</v>
      </c>
      <c r="Z48" t="n">
        <v>653</v>
      </c>
      <c r="AA48" t="n">
        <v>662</v>
      </c>
      <c r="AB48" t="n">
        <v>6</v>
      </c>
      <c r="AC48" t="n">
        <v>6</v>
      </c>
      <c r="AD48" t="n">
        <v>24</v>
      </c>
      <c r="AE48" t="n">
        <v>24</v>
      </c>
      <c r="AF48" t="n">
        <v>8</v>
      </c>
      <c r="AG48" t="n">
        <v>8</v>
      </c>
      <c r="AH48" t="n">
        <v>6</v>
      </c>
      <c r="AI48" t="n">
        <v>6</v>
      </c>
      <c r="AJ48" t="n">
        <v>12</v>
      </c>
      <c r="AK48" t="n">
        <v>12</v>
      </c>
      <c r="AL48" t="n">
        <v>4</v>
      </c>
      <c r="AM48" t="n">
        <v>4</v>
      </c>
      <c r="AN48" t="n">
        <v>0</v>
      </c>
      <c r="AO48" t="n">
        <v>0</v>
      </c>
      <c r="AP48" t="inlineStr">
        <is>
          <t>No</t>
        </is>
      </c>
      <c r="AQ48" t="inlineStr">
        <is>
          <t>Yes</t>
        </is>
      </c>
      <c r="AR48">
        <f>HYPERLINK("http://catalog.hathitrust.org/Record/000041808","HathiTrust Record")</f>
        <v/>
      </c>
      <c r="AS48">
        <f>HYPERLINK("https://creighton-primo.hosted.exlibrisgroup.com/primo-explore/search?tab=default_tab&amp;search_scope=EVERYTHING&amp;vid=01CRU&amp;lang=en_US&amp;offset=0&amp;query=any,contains,991004686639702656","Catalog Record")</f>
        <v/>
      </c>
      <c r="AT48">
        <f>HYPERLINK("http://www.worldcat.org/oclc/4593214","WorldCat Record")</f>
        <v/>
      </c>
      <c r="AU48" t="inlineStr">
        <is>
          <t>256236021:eng</t>
        </is>
      </c>
      <c r="AV48" t="inlineStr">
        <is>
          <t>4593214</t>
        </is>
      </c>
      <c r="AW48" t="inlineStr">
        <is>
          <t>991004686639702656</t>
        </is>
      </c>
      <c r="AX48" t="inlineStr">
        <is>
          <t>991004686639702656</t>
        </is>
      </c>
      <c r="AY48" t="inlineStr">
        <is>
          <t>2271081540002656</t>
        </is>
      </c>
      <c r="AZ48" t="inlineStr">
        <is>
          <t>BOOK</t>
        </is>
      </c>
      <c r="BB48" t="inlineStr">
        <is>
          <t>9780874742848</t>
        </is>
      </c>
      <c r="BC48" t="inlineStr">
        <is>
          <t>32285000943646</t>
        </is>
      </c>
      <c r="BD48" t="inlineStr">
        <is>
          <t>893882804</t>
        </is>
      </c>
    </row>
    <row r="49">
      <c r="A49" t="inlineStr">
        <is>
          <t>No</t>
        </is>
      </c>
      <c r="B49" t="inlineStr">
        <is>
          <t>NE539.C3 A4 1989</t>
        </is>
      </c>
      <c r="C49" t="inlineStr">
        <is>
          <t>0                      NE 0539000C  3                  A  4           1989</t>
        </is>
      </c>
      <c r="D49" t="inlineStr">
        <is>
          <t>Mary Cassatt : the color prints / Nancy Mowll Mathews and Barbara Stern Shapiro.</t>
        </is>
      </c>
      <c r="F49" t="inlineStr">
        <is>
          <t>No</t>
        </is>
      </c>
      <c r="G49" t="inlineStr">
        <is>
          <t>1</t>
        </is>
      </c>
      <c r="H49" t="inlineStr">
        <is>
          <t>No</t>
        </is>
      </c>
      <c r="I49" t="inlineStr">
        <is>
          <t>No</t>
        </is>
      </c>
      <c r="J49" t="inlineStr">
        <is>
          <t>0</t>
        </is>
      </c>
      <c r="K49" t="inlineStr">
        <is>
          <t>Mathews, Nancy Mowll.</t>
        </is>
      </c>
      <c r="L49" t="inlineStr">
        <is>
          <t>New York : H.N. Abrams ; [Williamstown, Mass.] : Williams College Museum of Art, 1989.</t>
        </is>
      </c>
      <c r="M49" t="inlineStr">
        <is>
          <t>1989</t>
        </is>
      </c>
      <c r="O49" t="inlineStr">
        <is>
          <t>eng</t>
        </is>
      </c>
      <c r="P49" t="inlineStr">
        <is>
          <t>nyu</t>
        </is>
      </c>
      <c r="R49" t="inlineStr">
        <is>
          <t xml:space="preserve">NE </t>
        </is>
      </c>
      <c r="S49" t="n">
        <v>2</v>
      </c>
      <c r="T49" t="n">
        <v>2</v>
      </c>
      <c r="U49" t="inlineStr">
        <is>
          <t>1999-04-06</t>
        </is>
      </c>
      <c r="V49" t="inlineStr">
        <is>
          <t>1999-04-06</t>
        </is>
      </c>
      <c r="W49" t="inlineStr">
        <is>
          <t>1993-05-13</t>
        </is>
      </c>
      <c r="X49" t="inlineStr">
        <is>
          <t>1993-05-13</t>
        </is>
      </c>
      <c r="Y49" t="n">
        <v>1131</v>
      </c>
      <c r="Z49" t="n">
        <v>998</v>
      </c>
      <c r="AA49" t="n">
        <v>1004</v>
      </c>
      <c r="AB49" t="n">
        <v>8</v>
      </c>
      <c r="AC49" t="n">
        <v>8</v>
      </c>
      <c r="AD49" t="n">
        <v>30</v>
      </c>
      <c r="AE49" t="n">
        <v>30</v>
      </c>
      <c r="AF49" t="n">
        <v>14</v>
      </c>
      <c r="AG49" t="n">
        <v>14</v>
      </c>
      <c r="AH49" t="n">
        <v>7</v>
      </c>
      <c r="AI49" t="n">
        <v>7</v>
      </c>
      <c r="AJ49" t="n">
        <v>13</v>
      </c>
      <c r="AK49" t="n">
        <v>13</v>
      </c>
      <c r="AL49" t="n">
        <v>5</v>
      </c>
      <c r="AM49" t="n">
        <v>5</v>
      </c>
      <c r="AN49" t="n">
        <v>0</v>
      </c>
      <c r="AO49" t="n">
        <v>0</v>
      </c>
      <c r="AP49" t="inlineStr">
        <is>
          <t>No</t>
        </is>
      </c>
      <c r="AQ49" t="inlineStr">
        <is>
          <t>Yes</t>
        </is>
      </c>
      <c r="AR49">
        <f>HYPERLINK("http://catalog.hathitrust.org/Record/001547725","HathiTrust Record")</f>
        <v/>
      </c>
      <c r="AS49">
        <f>HYPERLINK("https://creighton-primo.hosted.exlibrisgroup.com/primo-explore/search?tab=default_tab&amp;search_scope=EVERYTHING&amp;vid=01CRU&amp;lang=en_US&amp;offset=0&amp;query=any,contains,991001351269702656","Catalog Record")</f>
        <v/>
      </c>
      <c r="AT49">
        <f>HYPERLINK("http://www.worldcat.org/oclc/18442109","WorldCat Record")</f>
        <v/>
      </c>
      <c r="AU49" t="inlineStr">
        <is>
          <t>1808421028:eng</t>
        </is>
      </c>
      <c r="AV49" t="inlineStr">
        <is>
          <t>18442109</t>
        </is>
      </c>
      <c r="AW49" t="inlineStr">
        <is>
          <t>991001351269702656</t>
        </is>
      </c>
      <c r="AX49" t="inlineStr">
        <is>
          <t>991001351269702656</t>
        </is>
      </c>
      <c r="AY49" t="inlineStr">
        <is>
          <t>2269501250002656</t>
        </is>
      </c>
      <c r="AZ49" t="inlineStr">
        <is>
          <t>BOOK</t>
        </is>
      </c>
      <c r="BB49" t="inlineStr">
        <is>
          <t>9780810910492</t>
        </is>
      </c>
      <c r="BC49" t="inlineStr">
        <is>
          <t>32285001581742</t>
        </is>
      </c>
      <c r="BD49" t="inlineStr">
        <is>
          <t>893238058</t>
        </is>
      </c>
    </row>
    <row r="50">
      <c r="A50" t="inlineStr">
        <is>
          <t>No</t>
        </is>
      </c>
      <c r="B50" t="inlineStr">
        <is>
          <t>NE539.G74 A4 2001</t>
        </is>
      </c>
      <c r="C50" t="inlineStr">
        <is>
          <t>0                      NE 0539000G  74                 A  4           2001</t>
        </is>
      </c>
      <c r="D50" t="inlineStr">
        <is>
          <t>Red Grooms : the graphic work / introduction and catalogue by Walter G. Knestrick ; essay by Vincent Katz.</t>
        </is>
      </c>
      <c r="F50" t="inlineStr">
        <is>
          <t>No</t>
        </is>
      </c>
      <c r="G50" t="inlineStr">
        <is>
          <t>1</t>
        </is>
      </c>
      <c r="H50" t="inlineStr">
        <is>
          <t>No</t>
        </is>
      </c>
      <c r="I50" t="inlineStr">
        <is>
          <t>No</t>
        </is>
      </c>
      <c r="J50" t="inlineStr">
        <is>
          <t>0</t>
        </is>
      </c>
      <c r="K50" t="inlineStr">
        <is>
          <t>Knestrick, Walter.</t>
        </is>
      </c>
      <c r="L50" t="inlineStr">
        <is>
          <t>New York : Harry N. Abrams, 2001.</t>
        </is>
      </c>
      <c r="M50" t="inlineStr">
        <is>
          <t>2001</t>
        </is>
      </c>
      <c r="O50" t="inlineStr">
        <is>
          <t>eng</t>
        </is>
      </c>
      <c r="P50" t="inlineStr">
        <is>
          <t>nyu</t>
        </is>
      </c>
      <c r="R50" t="inlineStr">
        <is>
          <t xml:space="preserve">NE </t>
        </is>
      </c>
      <c r="S50" t="n">
        <v>3</v>
      </c>
      <c r="T50" t="n">
        <v>3</v>
      </c>
      <c r="U50" t="inlineStr">
        <is>
          <t>2004-07-28</t>
        </is>
      </c>
      <c r="V50" t="inlineStr">
        <is>
          <t>2004-07-28</t>
        </is>
      </c>
      <c r="W50" t="inlineStr">
        <is>
          <t>2002-04-15</t>
        </is>
      </c>
      <c r="X50" t="inlineStr">
        <is>
          <t>2002-04-15</t>
        </is>
      </c>
      <c r="Y50" t="n">
        <v>601</v>
      </c>
      <c r="Z50" t="n">
        <v>538</v>
      </c>
      <c r="AA50" t="n">
        <v>540</v>
      </c>
      <c r="AB50" t="n">
        <v>2</v>
      </c>
      <c r="AC50" t="n">
        <v>2</v>
      </c>
      <c r="AD50" t="n">
        <v>14</v>
      </c>
      <c r="AE50" t="n">
        <v>14</v>
      </c>
      <c r="AF50" t="n">
        <v>8</v>
      </c>
      <c r="AG50" t="n">
        <v>8</v>
      </c>
      <c r="AH50" t="n">
        <v>2</v>
      </c>
      <c r="AI50" t="n">
        <v>2</v>
      </c>
      <c r="AJ50" t="n">
        <v>7</v>
      </c>
      <c r="AK50" t="n">
        <v>7</v>
      </c>
      <c r="AL50" t="n">
        <v>1</v>
      </c>
      <c r="AM50" t="n">
        <v>1</v>
      </c>
      <c r="AN50" t="n">
        <v>0</v>
      </c>
      <c r="AO50" t="n">
        <v>0</v>
      </c>
      <c r="AP50" t="inlineStr">
        <is>
          <t>No</t>
        </is>
      </c>
      <c r="AQ50" t="inlineStr">
        <is>
          <t>Yes</t>
        </is>
      </c>
      <c r="AR50">
        <f>HYPERLINK("http://catalog.hathitrust.org/Record/004204241","HathiTrust Record")</f>
        <v/>
      </c>
      <c r="AS50">
        <f>HYPERLINK("https://creighton-primo.hosted.exlibrisgroup.com/primo-explore/search?tab=default_tab&amp;search_scope=EVERYTHING&amp;vid=01CRU&amp;lang=en_US&amp;offset=0&amp;query=any,contains,991003781969702656","Catalog Record")</f>
        <v/>
      </c>
      <c r="AT50">
        <f>HYPERLINK("http://www.worldcat.org/oclc/44493364","WorldCat Record")</f>
        <v/>
      </c>
      <c r="AU50" t="inlineStr">
        <is>
          <t>807612085:eng</t>
        </is>
      </c>
      <c r="AV50" t="inlineStr">
        <is>
          <t>44493364</t>
        </is>
      </c>
      <c r="AW50" t="inlineStr">
        <is>
          <t>991003781969702656</t>
        </is>
      </c>
      <c r="AX50" t="inlineStr">
        <is>
          <t>991003781969702656</t>
        </is>
      </c>
      <c r="AY50" t="inlineStr">
        <is>
          <t>2269385440002656</t>
        </is>
      </c>
      <c r="AZ50" t="inlineStr">
        <is>
          <t>BOOK</t>
        </is>
      </c>
      <c r="BB50" t="inlineStr">
        <is>
          <t>9780810927247</t>
        </is>
      </c>
      <c r="BC50" t="inlineStr">
        <is>
          <t>32285004479050</t>
        </is>
      </c>
      <c r="BD50" t="inlineStr">
        <is>
          <t>893410704</t>
        </is>
      </c>
    </row>
    <row r="51">
      <c r="A51" t="inlineStr">
        <is>
          <t>No</t>
        </is>
      </c>
      <c r="B51" t="inlineStr">
        <is>
          <t>NE594.L3 T44</t>
        </is>
      </c>
      <c r="C51" t="inlineStr">
        <is>
          <t>0                      NE 0594000L  3                  T  44</t>
        </is>
      </c>
      <c r="D51" t="inlineStr">
        <is>
          <t>Lasansky, printmaker.</t>
        </is>
      </c>
      <c r="F51" t="inlineStr">
        <is>
          <t>No</t>
        </is>
      </c>
      <c r="G51" t="inlineStr">
        <is>
          <t>1</t>
        </is>
      </c>
      <c r="H51" t="inlineStr">
        <is>
          <t>No</t>
        </is>
      </c>
      <c r="I51" t="inlineStr">
        <is>
          <t>No</t>
        </is>
      </c>
      <c r="J51" t="inlineStr">
        <is>
          <t>0</t>
        </is>
      </c>
      <c r="K51" t="inlineStr">
        <is>
          <t>Lasansky, Mauricio, 1914-2012.</t>
        </is>
      </c>
      <c r="L51" t="inlineStr">
        <is>
          <t>Iowa City : University of Iowa Press, c1975.</t>
        </is>
      </c>
      <c r="M51" t="inlineStr">
        <is>
          <t>1975</t>
        </is>
      </c>
      <c r="O51" t="inlineStr">
        <is>
          <t>eng</t>
        </is>
      </c>
      <c r="P51" t="inlineStr">
        <is>
          <t>iau</t>
        </is>
      </c>
      <c r="R51" t="inlineStr">
        <is>
          <t xml:space="preserve">NE </t>
        </is>
      </c>
      <c r="S51" t="n">
        <v>6</v>
      </c>
      <c r="T51" t="n">
        <v>6</v>
      </c>
      <c r="U51" t="inlineStr">
        <is>
          <t>1995-01-15</t>
        </is>
      </c>
      <c r="V51" t="inlineStr">
        <is>
          <t>1995-01-15</t>
        </is>
      </c>
      <c r="W51" t="inlineStr">
        <is>
          <t>1992-02-27</t>
        </is>
      </c>
      <c r="X51" t="inlineStr">
        <is>
          <t>1992-02-27</t>
        </is>
      </c>
      <c r="Y51" t="n">
        <v>471</v>
      </c>
      <c r="Z51" t="n">
        <v>432</v>
      </c>
      <c r="AA51" t="n">
        <v>435</v>
      </c>
      <c r="AB51" t="n">
        <v>7</v>
      </c>
      <c r="AC51" t="n">
        <v>7</v>
      </c>
      <c r="AD51" t="n">
        <v>15</v>
      </c>
      <c r="AE51" t="n">
        <v>15</v>
      </c>
      <c r="AF51" t="n">
        <v>5</v>
      </c>
      <c r="AG51" t="n">
        <v>5</v>
      </c>
      <c r="AH51" t="n">
        <v>2</v>
      </c>
      <c r="AI51" t="n">
        <v>2</v>
      </c>
      <c r="AJ51" t="n">
        <v>6</v>
      </c>
      <c r="AK51" t="n">
        <v>6</v>
      </c>
      <c r="AL51" t="n">
        <v>5</v>
      </c>
      <c r="AM51" t="n">
        <v>5</v>
      </c>
      <c r="AN51" t="n">
        <v>0</v>
      </c>
      <c r="AO51" t="n">
        <v>0</v>
      </c>
      <c r="AP51" t="inlineStr">
        <is>
          <t>No</t>
        </is>
      </c>
      <c r="AQ51" t="inlineStr">
        <is>
          <t>Yes</t>
        </is>
      </c>
      <c r="AR51">
        <f>HYPERLINK("http://catalog.hathitrust.org/Record/000313643","HathiTrust Record")</f>
        <v/>
      </c>
      <c r="AS51">
        <f>HYPERLINK("https://creighton-primo.hosted.exlibrisgroup.com/primo-explore/search?tab=default_tab&amp;search_scope=EVERYTHING&amp;vid=01CRU&amp;lang=en_US&amp;offset=0&amp;query=any,contains,991003703149702656","Catalog Record")</f>
        <v/>
      </c>
      <c r="AT51">
        <f>HYPERLINK("http://www.worldcat.org/oclc/1339704","WorldCat Record")</f>
        <v/>
      </c>
      <c r="AU51" t="inlineStr">
        <is>
          <t>2229469:eng</t>
        </is>
      </c>
      <c r="AV51" t="inlineStr">
        <is>
          <t>1339704</t>
        </is>
      </c>
      <c r="AW51" t="inlineStr">
        <is>
          <t>991003703149702656</t>
        </is>
      </c>
      <c r="AX51" t="inlineStr">
        <is>
          <t>991003703149702656</t>
        </is>
      </c>
      <c r="AY51" t="inlineStr">
        <is>
          <t>2255083020002656</t>
        </is>
      </c>
      <c r="AZ51" t="inlineStr">
        <is>
          <t>BOOK</t>
        </is>
      </c>
      <c r="BB51" t="inlineStr">
        <is>
          <t>9780877450573</t>
        </is>
      </c>
      <c r="BC51" t="inlineStr">
        <is>
          <t>32285000977131</t>
        </is>
      </c>
      <c r="BD51" t="inlineStr">
        <is>
          <t>893518781</t>
        </is>
      </c>
    </row>
    <row r="52">
      <c r="A52" t="inlineStr">
        <is>
          <t>No</t>
        </is>
      </c>
      <c r="B52" t="inlineStr">
        <is>
          <t>NE628 .C37 1990</t>
        </is>
      </c>
      <c r="C52" t="inlineStr">
        <is>
          <t>0                      NE 0628000C  37          1990</t>
        </is>
      </c>
      <c r="D52" t="inlineStr">
        <is>
          <t>Avant-garde British printmaking, 1914-1960 / Frances Carey and Antony Griffiths ; with a contribution by Stephen Coppel.</t>
        </is>
      </c>
      <c r="F52" t="inlineStr">
        <is>
          <t>No</t>
        </is>
      </c>
      <c r="G52" t="inlineStr">
        <is>
          <t>1</t>
        </is>
      </c>
      <c r="H52" t="inlineStr">
        <is>
          <t>No</t>
        </is>
      </c>
      <c r="I52" t="inlineStr">
        <is>
          <t>No</t>
        </is>
      </c>
      <c r="J52" t="inlineStr">
        <is>
          <t>0</t>
        </is>
      </c>
      <c r="K52" t="inlineStr">
        <is>
          <t>Carey, Frances (Art historian)</t>
        </is>
      </c>
      <c r="L52" t="inlineStr">
        <is>
          <t>London : Published for the Trustees of the British Museum by British Museum Publications, c1990.</t>
        </is>
      </c>
      <c r="M52" t="inlineStr">
        <is>
          <t>1990</t>
        </is>
      </c>
      <c r="O52" t="inlineStr">
        <is>
          <t>eng</t>
        </is>
      </c>
      <c r="P52" t="inlineStr">
        <is>
          <t>enk</t>
        </is>
      </c>
      <c r="R52" t="inlineStr">
        <is>
          <t xml:space="preserve">NE </t>
        </is>
      </c>
      <c r="S52" t="n">
        <v>1</v>
      </c>
      <c r="T52" t="n">
        <v>1</v>
      </c>
      <c r="U52" t="inlineStr">
        <is>
          <t>1992-02-04</t>
        </is>
      </c>
      <c r="V52" t="inlineStr">
        <is>
          <t>1992-02-04</t>
        </is>
      </c>
      <c r="W52" t="inlineStr">
        <is>
          <t>1992-01-07</t>
        </is>
      </c>
      <c r="X52" t="inlineStr">
        <is>
          <t>1992-01-07</t>
        </is>
      </c>
      <c r="Y52" t="n">
        <v>338</v>
      </c>
      <c r="Z52" t="n">
        <v>202</v>
      </c>
      <c r="AA52" t="n">
        <v>206</v>
      </c>
      <c r="AB52" t="n">
        <v>2</v>
      </c>
      <c r="AC52" t="n">
        <v>2</v>
      </c>
      <c r="AD52" t="n">
        <v>7</v>
      </c>
      <c r="AE52" t="n">
        <v>7</v>
      </c>
      <c r="AF52" t="n">
        <v>1</v>
      </c>
      <c r="AG52" t="n">
        <v>1</v>
      </c>
      <c r="AH52" t="n">
        <v>3</v>
      </c>
      <c r="AI52" t="n">
        <v>3</v>
      </c>
      <c r="AJ52" t="n">
        <v>4</v>
      </c>
      <c r="AK52" t="n">
        <v>4</v>
      </c>
      <c r="AL52" t="n">
        <v>1</v>
      </c>
      <c r="AM52" t="n">
        <v>1</v>
      </c>
      <c r="AN52" t="n">
        <v>0</v>
      </c>
      <c r="AO52" t="n">
        <v>0</v>
      </c>
      <c r="AP52" t="inlineStr">
        <is>
          <t>No</t>
        </is>
      </c>
      <c r="AQ52" t="inlineStr">
        <is>
          <t>Yes</t>
        </is>
      </c>
      <c r="AR52">
        <f>HYPERLINK("http://catalog.hathitrust.org/Record/002955646","HathiTrust Record")</f>
        <v/>
      </c>
      <c r="AS52">
        <f>HYPERLINK("https://creighton-primo.hosted.exlibrisgroup.com/primo-explore/search?tab=default_tab&amp;search_scope=EVERYTHING&amp;vid=01CRU&amp;lang=en_US&amp;offset=0&amp;query=any,contains,991001758879702656","Catalog Record")</f>
        <v/>
      </c>
      <c r="AT52">
        <f>HYPERLINK("http://www.worldcat.org/oclc/22242056","WorldCat Record")</f>
        <v/>
      </c>
      <c r="AU52" t="inlineStr">
        <is>
          <t>24534775:eng</t>
        </is>
      </c>
      <c r="AV52" t="inlineStr">
        <is>
          <t>22242056</t>
        </is>
      </c>
      <c r="AW52" t="inlineStr">
        <is>
          <t>991001758879702656</t>
        </is>
      </c>
      <c r="AX52" t="inlineStr">
        <is>
          <t>991001758879702656</t>
        </is>
      </c>
      <c r="AY52" t="inlineStr">
        <is>
          <t>2272213080002656</t>
        </is>
      </c>
      <c r="AZ52" t="inlineStr">
        <is>
          <t>BOOK</t>
        </is>
      </c>
      <c r="BB52" t="inlineStr">
        <is>
          <t>9780714116464</t>
        </is>
      </c>
      <c r="BC52" t="inlineStr">
        <is>
          <t>32285000863356</t>
        </is>
      </c>
      <c r="BD52" t="inlineStr">
        <is>
          <t>893256490</t>
        </is>
      </c>
    </row>
    <row r="53">
      <c r="A53" t="inlineStr">
        <is>
          <t>No</t>
        </is>
      </c>
      <c r="B53" t="inlineStr">
        <is>
          <t>NE642.B5 B5 1967</t>
        </is>
      </c>
      <c r="C53" t="inlineStr">
        <is>
          <t>0                      NE 0642000B  5                  B  5           1967</t>
        </is>
      </c>
      <c r="D53" t="inlineStr">
        <is>
          <t>The engraved designs of William Blake.</t>
        </is>
      </c>
      <c r="F53" t="inlineStr">
        <is>
          <t>No</t>
        </is>
      </c>
      <c r="G53" t="inlineStr">
        <is>
          <t>1</t>
        </is>
      </c>
      <c r="H53" t="inlineStr">
        <is>
          <t>No</t>
        </is>
      </c>
      <c r="I53" t="inlineStr">
        <is>
          <t>No</t>
        </is>
      </c>
      <c r="J53" t="inlineStr">
        <is>
          <t>0</t>
        </is>
      </c>
      <c r="K53" t="inlineStr">
        <is>
          <t>Binyon, Laurence, 1869-1943.</t>
        </is>
      </c>
      <c r="L53" t="inlineStr">
        <is>
          <t>New York, Da Capo Press, 1967.</t>
        </is>
      </c>
      <c r="M53" t="inlineStr">
        <is>
          <t>1967</t>
        </is>
      </c>
      <c r="O53" t="inlineStr">
        <is>
          <t>eng</t>
        </is>
      </c>
      <c r="P53" t="inlineStr">
        <is>
          <t>nyu</t>
        </is>
      </c>
      <c r="R53" t="inlineStr">
        <is>
          <t xml:space="preserve">NE </t>
        </is>
      </c>
      <c r="S53" t="n">
        <v>1</v>
      </c>
      <c r="T53" t="n">
        <v>1</v>
      </c>
      <c r="U53" t="inlineStr">
        <is>
          <t>2001-02-20</t>
        </is>
      </c>
      <c r="V53" t="inlineStr">
        <is>
          <t>2001-02-20</t>
        </is>
      </c>
      <c r="W53" t="inlineStr">
        <is>
          <t>1997-08-06</t>
        </is>
      </c>
      <c r="X53" t="inlineStr">
        <is>
          <t>1997-08-06</t>
        </is>
      </c>
      <c r="Y53" t="n">
        <v>413</v>
      </c>
      <c r="Z53" t="n">
        <v>386</v>
      </c>
      <c r="AA53" t="n">
        <v>406</v>
      </c>
      <c r="AB53" t="n">
        <v>4</v>
      </c>
      <c r="AC53" t="n">
        <v>4</v>
      </c>
      <c r="AD53" t="n">
        <v>16</v>
      </c>
      <c r="AE53" t="n">
        <v>16</v>
      </c>
      <c r="AF53" t="n">
        <v>7</v>
      </c>
      <c r="AG53" t="n">
        <v>7</v>
      </c>
      <c r="AH53" t="n">
        <v>1</v>
      </c>
      <c r="AI53" t="n">
        <v>1</v>
      </c>
      <c r="AJ53" t="n">
        <v>7</v>
      </c>
      <c r="AK53" t="n">
        <v>7</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HYPERLINK("https://creighton-primo.hosted.exlibrisgroup.com/primo-explore/search?tab=default_tab&amp;search_scope=EVERYTHING&amp;vid=01CRU&amp;lang=en_US&amp;offset=0&amp;query=any,contains,991002891009702656","Catalog Record")</f>
        <v/>
      </c>
      <c r="AT53">
        <f>HYPERLINK("http://www.worldcat.org/oclc/511675","WorldCat Record")</f>
        <v/>
      </c>
      <c r="AU53" t="inlineStr">
        <is>
          <t>1477075:eng</t>
        </is>
      </c>
      <c r="AV53" t="inlineStr">
        <is>
          <t>511675</t>
        </is>
      </c>
      <c r="AW53" t="inlineStr">
        <is>
          <t>991002891009702656</t>
        </is>
      </c>
      <c r="AX53" t="inlineStr">
        <is>
          <t>991002891009702656</t>
        </is>
      </c>
      <c r="AY53" t="inlineStr">
        <is>
          <t>2263825930002656</t>
        </is>
      </c>
      <c r="AZ53" t="inlineStr">
        <is>
          <t>BOOK</t>
        </is>
      </c>
      <c r="BC53" t="inlineStr">
        <is>
          <t>32285003046264</t>
        </is>
      </c>
      <c r="BD53" t="inlineStr">
        <is>
          <t>893317403</t>
        </is>
      </c>
    </row>
    <row r="54">
      <c r="A54" t="inlineStr">
        <is>
          <t>No</t>
        </is>
      </c>
      <c r="B54" t="inlineStr">
        <is>
          <t>NE642.H6 P3</t>
        </is>
      </c>
      <c r="C54" t="inlineStr">
        <is>
          <t>0                      NE 0642000H  6                  P  3</t>
        </is>
      </c>
      <c r="D54" t="inlineStr">
        <is>
          <t>Hogarth's graphic works. Compiled and with a commentary by Ronald Paulson.</t>
        </is>
      </c>
      <c r="E54" t="inlineStr">
        <is>
          <t>V.2</t>
        </is>
      </c>
      <c r="F54" t="inlineStr">
        <is>
          <t>Yes</t>
        </is>
      </c>
      <c r="G54" t="inlineStr">
        <is>
          <t>1</t>
        </is>
      </c>
      <c r="H54" t="inlineStr">
        <is>
          <t>No</t>
        </is>
      </c>
      <c r="I54" t="inlineStr">
        <is>
          <t>No</t>
        </is>
      </c>
      <c r="J54" t="inlineStr">
        <is>
          <t>0</t>
        </is>
      </c>
      <c r="K54" t="inlineStr">
        <is>
          <t>Hogarth, William, 1697-1764.</t>
        </is>
      </c>
      <c r="L54" t="inlineStr">
        <is>
          <t>New Haven, Yale University Press, 1965.</t>
        </is>
      </c>
      <c r="M54" t="inlineStr">
        <is>
          <t>1965</t>
        </is>
      </c>
      <c r="N54" t="inlineStr">
        <is>
          <t>1st complete ed.</t>
        </is>
      </c>
      <c r="O54" t="inlineStr">
        <is>
          <t>eng</t>
        </is>
      </c>
      <c r="P54" t="inlineStr">
        <is>
          <t>ctu</t>
        </is>
      </c>
      <c r="R54" t="inlineStr">
        <is>
          <t xml:space="preserve">NE </t>
        </is>
      </c>
      <c r="S54" t="n">
        <v>2</v>
      </c>
      <c r="T54" t="n">
        <v>2</v>
      </c>
      <c r="U54" t="inlineStr">
        <is>
          <t>1997-09-26</t>
        </is>
      </c>
      <c r="V54" t="inlineStr">
        <is>
          <t>1997-09-26</t>
        </is>
      </c>
      <c r="W54" t="inlineStr">
        <is>
          <t>1997-08-06</t>
        </is>
      </c>
      <c r="X54" t="inlineStr">
        <is>
          <t>1997-08-06</t>
        </is>
      </c>
      <c r="Y54" t="n">
        <v>733</v>
      </c>
      <c r="Z54" t="n">
        <v>643</v>
      </c>
      <c r="AA54" t="n">
        <v>647</v>
      </c>
      <c r="AB54" t="n">
        <v>6</v>
      </c>
      <c r="AC54" t="n">
        <v>6</v>
      </c>
      <c r="AD54" t="n">
        <v>26</v>
      </c>
      <c r="AE54" t="n">
        <v>26</v>
      </c>
      <c r="AF54" t="n">
        <v>9</v>
      </c>
      <c r="AG54" t="n">
        <v>9</v>
      </c>
      <c r="AH54" t="n">
        <v>6</v>
      </c>
      <c r="AI54" t="n">
        <v>6</v>
      </c>
      <c r="AJ54" t="n">
        <v>12</v>
      </c>
      <c r="AK54" t="n">
        <v>12</v>
      </c>
      <c r="AL54" t="n">
        <v>4</v>
      </c>
      <c r="AM54" t="n">
        <v>4</v>
      </c>
      <c r="AN54" t="n">
        <v>0</v>
      </c>
      <c r="AO54" t="n">
        <v>0</v>
      </c>
      <c r="AP54" t="inlineStr">
        <is>
          <t>No</t>
        </is>
      </c>
      <c r="AQ54" t="inlineStr">
        <is>
          <t>Yes</t>
        </is>
      </c>
      <c r="AR54">
        <f>HYPERLINK("http://catalog.hathitrust.org/Record/001469733","HathiTrust Record")</f>
        <v/>
      </c>
      <c r="AS54">
        <f>HYPERLINK("https://creighton-primo.hosted.exlibrisgroup.com/primo-explore/search?tab=default_tab&amp;search_scope=EVERYTHING&amp;vid=01CRU&amp;lang=en_US&amp;offset=0&amp;query=any,contains,991003726109702656","Catalog Record")</f>
        <v/>
      </c>
      <c r="AT54">
        <f>HYPERLINK("http://www.worldcat.org/oclc/1373441","WorldCat Record")</f>
        <v/>
      </c>
      <c r="AU54" t="inlineStr">
        <is>
          <t>5578381647:eng</t>
        </is>
      </c>
      <c r="AV54" t="inlineStr">
        <is>
          <t>1373441</t>
        </is>
      </c>
      <c r="AW54" t="inlineStr">
        <is>
          <t>991003726109702656</t>
        </is>
      </c>
      <c r="AX54" t="inlineStr">
        <is>
          <t>991003726109702656</t>
        </is>
      </c>
      <c r="AY54" t="inlineStr">
        <is>
          <t>2258527910002656</t>
        </is>
      </c>
      <c r="AZ54" t="inlineStr">
        <is>
          <t>BOOK</t>
        </is>
      </c>
      <c r="BC54" t="inlineStr">
        <is>
          <t>32285003046314</t>
        </is>
      </c>
      <c r="BD54" t="inlineStr">
        <is>
          <t>893810135</t>
        </is>
      </c>
    </row>
    <row r="55">
      <c r="A55" t="inlineStr">
        <is>
          <t>No</t>
        </is>
      </c>
      <c r="B55" t="inlineStr">
        <is>
          <t>NE642.H6 P3</t>
        </is>
      </c>
      <c r="C55" t="inlineStr">
        <is>
          <t>0                      NE 0642000H  6                  P  3</t>
        </is>
      </c>
      <c r="D55" t="inlineStr">
        <is>
          <t>Hogarth's graphic works. Compiled and with a commentary by Ronald Paulson.</t>
        </is>
      </c>
      <c r="E55" t="inlineStr">
        <is>
          <t>V.1</t>
        </is>
      </c>
      <c r="F55" t="inlineStr">
        <is>
          <t>Yes</t>
        </is>
      </c>
      <c r="G55" t="inlineStr">
        <is>
          <t>1</t>
        </is>
      </c>
      <c r="H55" t="inlineStr">
        <is>
          <t>No</t>
        </is>
      </c>
      <c r="I55" t="inlineStr">
        <is>
          <t>No</t>
        </is>
      </c>
      <c r="J55" t="inlineStr">
        <is>
          <t>0</t>
        </is>
      </c>
      <c r="K55" t="inlineStr">
        <is>
          <t>Hogarth, William, 1697-1764.</t>
        </is>
      </c>
      <c r="L55" t="inlineStr">
        <is>
          <t>New Haven, Yale University Press, 1965.</t>
        </is>
      </c>
      <c r="M55" t="inlineStr">
        <is>
          <t>1965</t>
        </is>
      </c>
      <c r="N55" t="inlineStr">
        <is>
          <t>1st complete ed.</t>
        </is>
      </c>
      <c r="O55" t="inlineStr">
        <is>
          <t>eng</t>
        </is>
      </c>
      <c r="P55" t="inlineStr">
        <is>
          <t>ctu</t>
        </is>
      </c>
      <c r="R55" t="inlineStr">
        <is>
          <t xml:space="preserve">NE </t>
        </is>
      </c>
      <c r="S55" t="n">
        <v>0</v>
      </c>
      <c r="T55" t="n">
        <v>2</v>
      </c>
      <c r="V55" t="inlineStr">
        <is>
          <t>1997-09-26</t>
        </is>
      </c>
      <c r="W55" t="inlineStr">
        <is>
          <t>1997-08-06</t>
        </is>
      </c>
      <c r="X55" t="inlineStr">
        <is>
          <t>1997-08-06</t>
        </is>
      </c>
      <c r="Y55" t="n">
        <v>733</v>
      </c>
      <c r="Z55" t="n">
        <v>643</v>
      </c>
      <c r="AA55" t="n">
        <v>647</v>
      </c>
      <c r="AB55" t="n">
        <v>6</v>
      </c>
      <c r="AC55" t="n">
        <v>6</v>
      </c>
      <c r="AD55" t="n">
        <v>26</v>
      </c>
      <c r="AE55" t="n">
        <v>26</v>
      </c>
      <c r="AF55" t="n">
        <v>9</v>
      </c>
      <c r="AG55" t="n">
        <v>9</v>
      </c>
      <c r="AH55" t="n">
        <v>6</v>
      </c>
      <c r="AI55" t="n">
        <v>6</v>
      </c>
      <c r="AJ55" t="n">
        <v>12</v>
      </c>
      <c r="AK55" t="n">
        <v>12</v>
      </c>
      <c r="AL55" t="n">
        <v>4</v>
      </c>
      <c r="AM55" t="n">
        <v>4</v>
      </c>
      <c r="AN55" t="n">
        <v>0</v>
      </c>
      <c r="AO55" t="n">
        <v>0</v>
      </c>
      <c r="AP55" t="inlineStr">
        <is>
          <t>No</t>
        </is>
      </c>
      <c r="AQ55" t="inlineStr">
        <is>
          <t>Yes</t>
        </is>
      </c>
      <c r="AR55">
        <f>HYPERLINK("http://catalog.hathitrust.org/Record/001469733","HathiTrust Record")</f>
        <v/>
      </c>
      <c r="AS55">
        <f>HYPERLINK("https://creighton-primo.hosted.exlibrisgroup.com/primo-explore/search?tab=default_tab&amp;search_scope=EVERYTHING&amp;vid=01CRU&amp;lang=en_US&amp;offset=0&amp;query=any,contains,991003726109702656","Catalog Record")</f>
        <v/>
      </c>
      <c r="AT55">
        <f>HYPERLINK("http://www.worldcat.org/oclc/1373441","WorldCat Record")</f>
        <v/>
      </c>
      <c r="AU55" t="inlineStr">
        <is>
          <t>5578381647:eng</t>
        </is>
      </c>
      <c r="AV55" t="inlineStr">
        <is>
          <t>1373441</t>
        </is>
      </c>
      <c r="AW55" t="inlineStr">
        <is>
          <t>991003726109702656</t>
        </is>
      </c>
      <c r="AX55" t="inlineStr">
        <is>
          <t>991003726109702656</t>
        </is>
      </c>
      <c r="AY55" t="inlineStr">
        <is>
          <t>2258527910002656</t>
        </is>
      </c>
      <c r="AZ55" t="inlineStr">
        <is>
          <t>BOOK</t>
        </is>
      </c>
      <c r="BC55" t="inlineStr">
        <is>
          <t>32285003046306</t>
        </is>
      </c>
      <c r="BD55" t="inlineStr">
        <is>
          <t>893810136</t>
        </is>
      </c>
    </row>
    <row r="56">
      <c r="A56" t="inlineStr">
        <is>
          <t>No</t>
        </is>
      </c>
      <c r="B56" t="inlineStr">
        <is>
          <t>NE642.H6 S47 1973</t>
        </is>
      </c>
      <c r="C56" t="inlineStr">
        <is>
          <t>0                      NE 0642000H  6                  S  47          1973</t>
        </is>
      </c>
      <c r="D56" t="inlineStr">
        <is>
          <t>Engravings by Hogarth / Edited by Sean Shesgreen.</t>
        </is>
      </c>
      <c r="F56" t="inlineStr">
        <is>
          <t>No</t>
        </is>
      </c>
      <c r="G56" t="inlineStr">
        <is>
          <t>1</t>
        </is>
      </c>
      <c r="H56" t="inlineStr">
        <is>
          <t>No</t>
        </is>
      </c>
      <c r="I56" t="inlineStr">
        <is>
          <t>No</t>
        </is>
      </c>
      <c r="J56" t="inlineStr">
        <is>
          <t>0</t>
        </is>
      </c>
      <c r="K56" t="inlineStr">
        <is>
          <t>Hogarth, William, 1697-1764.</t>
        </is>
      </c>
      <c r="L56" t="inlineStr">
        <is>
          <t>New York : Dover, [1973]</t>
        </is>
      </c>
      <c r="M56" t="inlineStr">
        <is>
          <t>1973</t>
        </is>
      </c>
      <c r="O56" t="inlineStr">
        <is>
          <t>eng</t>
        </is>
      </c>
      <c r="P56" t="inlineStr">
        <is>
          <t>nyu</t>
        </is>
      </c>
      <c r="R56" t="inlineStr">
        <is>
          <t xml:space="preserve">NE </t>
        </is>
      </c>
      <c r="S56" t="n">
        <v>5</v>
      </c>
      <c r="T56" t="n">
        <v>5</v>
      </c>
      <c r="U56" t="inlineStr">
        <is>
          <t>1996-08-28</t>
        </is>
      </c>
      <c r="V56" t="inlineStr">
        <is>
          <t>1996-08-28</t>
        </is>
      </c>
      <c r="W56" t="inlineStr">
        <is>
          <t>1994-01-11</t>
        </is>
      </c>
      <c r="X56" t="inlineStr">
        <is>
          <t>1994-01-11</t>
        </is>
      </c>
      <c r="Y56" t="n">
        <v>1127</v>
      </c>
      <c r="Z56" t="n">
        <v>970</v>
      </c>
      <c r="AA56" t="n">
        <v>1074</v>
      </c>
      <c r="AB56" t="n">
        <v>3</v>
      </c>
      <c r="AC56" t="n">
        <v>4</v>
      </c>
      <c r="AD56" t="n">
        <v>38</v>
      </c>
      <c r="AE56" t="n">
        <v>40</v>
      </c>
      <c r="AF56" t="n">
        <v>17</v>
      </c>
      <c r="AG56" t="n">
        <v>18</v>
      </c>
      <c r="AH56" t="n">
        <v>9</v>
      </c>
      <c r="AI56" t="n">
        <v>9</v>
      </c>
      <c r="AJ56" t="n">
        <v>18</v>
      </c>
      <c r="AK56" t="n">
        <v>19</v>
      </c>
      <c r="AL56" t="n">
        <v>2</v>
      </c>
      <c r="AM56" t="n">
        <v>3</v>
      </c>
      <c r="AN56" t="n">
        <v>0</v>
      </c>
      <c r="AO56" t="n">
        <v>0</v>
      </c>
      <c r="AP56" t="inlineStr">
        <is>
          <t>No</t>
        </is>
      </c>
      <c r="AQ56" t="inlineStr">
        <is>
          <t>No</t>
        </is>
      </c>
      <c r="AS56">
        <f>HYPERLINK("https://creighton-primo.hosted.exlibrisgroup.com/primo-explore/search?tab=default_tab&amp;search_scope=EVERYTHING&amp;vid=01CRU&amp;lang=en_US&amp;offset=0&amp;query=any,contains,991003298229702656","Catalog Record")</f>
        <v/>
      </c>
      <c r="AT56">
        <f>HYPERLINK("http://www.worldcat.org/oclc/820893","WorldCat Record")</f>
        <v/>
      </c>
      <c r="AU56" t="inlineStr">
        <is>
          <t>1102691341:eng</t>
        </is>
      </c>
      <c r="AV56" t="inlineStr">
        <is>
          <t>820893</t>
        </is>
      </c>
      <c r="AW56" t="inlineStr">
        <is>
          <t>991003298229702656</t>
        </is>
      </c>
      <c r="AX56" t="inlineStr">
        <is>
          <t>991003298229702656</t>
        </is>
      </c>
      <c r="AY56" t="inlineStr">
        <is>
          <t>2259120670002656</t>
        </is>
      </c>
      <c r="AZ56" t="inlineStr">
        <is>
          <t>BOOK</t>
        </is>
      </c>
      <c r="BB56" t="inlineStr">
        <is>
          <t>9780486224794</t>
        </is>
      </c>
      <c r="BC56" t="inlineStr">
        <is>
          <t>32285001679116</t>
        </is>
      </c>
      <c r="BD56" t="inlineStr">
        <is>
          <t>893518348</t>
        </is>
      </c>
    </row>
    <row r="57">
      <c r="A57" t="inlineStr">
        <is>
          <t>No</t>
        </is>
      </c>
      <c r="B57" t="inlineStr">
        <is>
          <t>NE650.G5 L8</t>
        </is>
      </c>
      <c r="C57" t="inlineStr">
        <is>
          <t>0                      NE 0650000G  5                  L  8</t>
        </is>
      </c>
      <c r="D57" t="inlineStr">
        <is>
          <t>Giacometti: the complete graphics and 15 drawings, by Herbert C. Lust. Introd. by John Lloyd Taylor.</t>
        </is>
      </c>
      <c r="F57" t="inlineStr">
        <is>
          <t>No</t>
        </is>
      </c>
      <c r="G57" t="inlineStr">
        <is>
          <t>1</t>
        </is>
      </c>
      <c r="H57" t="inlineStr">
        <is>
          <t>No</t>
        </is>
      </c>
      <c r="I57" t="inlineStr">
        <is>
          <t>No</t>
        </is>
      </c>
      <c r="J57" t="inlineStr">
        <is>
          <t>0</t>
        </is>
      </c>
      <c r="K57" t="inlineStr">
        <is>
          <t>Giacometti, Alberto, 1901-1966.</t>
        </is>
      </c>
      <c r="L57" t="inlineStr">
        <is>
          <t>New York, Tudor Pub. Co. [1970]</t>
        </is>
      </c>
      <c r="M57" t="inlineStr">
        <is>
          <t>1970</t>
        </is>
      </c>
      <c r="O57" t="inlineStr">
        <is>
          <t>eng</t>
        </is>
      </c>
      <c r="P57" t="inlineStr">
        <is>
          <t>nyu</t>
        </is>
      </c>
      <c r="R57" t="inlineStr">
        <is>
          <t xml:space="preserve">NE </t>
        </is>
      </c>
      <c r="S57" t="n">
        <v>4</v>
      </c>
      <c r="T57" t="n">
        <v>4</v>
      </c>
      <c r="U57" t="inlineStr">
        <is>
          <t>2006-12-03</t>
        </is>
      </c>
      <c r="V57" t="inlineStr">
        <is>
          <t>2006-12-03</t>
        </is>
      </c>
      <c r="W57" t="inlineStr">
        <is>
          <t>1997-08-06</t>
        </is>
      </c>
      <c r="X57" t="inlineStr">
        <is>
          <t>1997-08-06</t>
        </is>
      </c>
      <c r="Y57" t="n">
        <v>696</v>
      </c>
      <c r="Z57" t="n">
        <v>637</v>
      </c>
      <c r="AA57" t="n">
        <v>638</v>
      </c>
      <c r="AB57" t="n">
        <v>6</v>
      </c>
      <c r="AC57" t="n">
        <v>6</v>
      </c>
      <c r="AD57" t="n">
        <v>25</v>
      </c>
      <c r="AE57" t="n">
        <v>25</v>
      </c>
      <c r="AF57" t="n">
        <v>10</v>
      </c>
      <c r="AG57" t="n">
        <v>10</v>
      </c>
      <c r="AH57" t="n">
        <v>5</v>
      </c>
      <c r="AI57" t="n">
        <v>5</v>
      </c>
      <c r="AJ57" t="n">
        <v>11</v>
      </c>
      <c r="AK57" t="n">
        <v>11</v>
      </c>
      <c r="AL57" t="n">
        <v>4</v>
      </c>
      <c r="AM57" t="n">
        <v>4</v>
      </c>
      <c r="AN57" t="n">
        <v>0</v>
      </c>
      <c r="AO57" t="n">
        <v>0</v>
      </c>
      <c r="AP57" t="inlineStr">
        <is>
          <t>No</t>
        </is>
      </c>
      <c r="AQ57" t="inlineStr">
        <is>
          <t>Yes</t>
        </is>
      </c>
      <c r="AR57">
        <f>HYPERLINK("http://catalog.hathitrust.org/Record/001469782","HathiTrust Record")</f>
        <v/>
      </c>
      <c r="AS57">
        <f>HYPERLINK("https://creighton-primo.hosted.exlibrisgroup.com/primo-explore/search?tab=default_tab&amp;search_scope=EVERYTHING&amp;vid=01CRU&amp;lang=en_US&amp;offset=0&amp;query=any,contains,991000719149702656","Catalog Record")</f>
        <v/>
      </c>
      <c r="AT57">
        <f>HYPERLINK("http://www.worldcat.org/oclc/126137","WorldCat Record")</f>
        <v/>
      </c>
      <c r="AU57" t="inlineStr">
        <is>
          <t>3883513174:eng</t>
        </is>
      </c>
      <c r="AV57" t="inlineStr">
        <is>
          <t>126137</t>
        </is>
      </c>
      <c r="AW57" t="inlineStr">
        <is>
          <t>991000719149702656</t>
        </is>
      </c>
      <c r="AX57" t="inlineStr">
        <is>
          <t>991000719149702656</t>
        </is>
      </c>
      <c r="AY57" t="inlineStr">
        <is>
          <t>2260420810002656</t>
        </is>
      </c>
      <c r="AZ57" t="inlineStr">
        <is>
          <t>BOOK</t>
        </is>
      </c>
      <c r="BB57" t="inlineStr">
        <is>
          <t>9780814804100</t>
        </is>
      </c>
      <c r="BC57" t="inlineStr">
        <is>
          <t>32285003046355</t>
        </is>
      </c>
      <c r="BD57" t="inlineStr">
        <is>
          <t>893339822</t>
        </is>
      </c>
    </row>
    <row r="58">
      <c r="A58" t="inlineStr">
        <is>
          <t>No</t>
        </is>
      </c>
      <c r="B58" t="inlineStr">
        <is>
          <t>NE650.R67 G4</t>
        </is>
      </c>
      <c r="C58" t="inlineStr">
        <is>
          <t>0                      NE 0650000R  67                 G  4</t>
        </is>
      </c>
      <c r="D58" t="inlineStr">
        <is>
          <t>Georges Rouault's Miserere [by] Frank and Dorothy Getlein.</t>
        </is>
      </c>
      <c r="F58" t="inlineStr">
        <is>
          <t>No</t>
        </is>
      </c>
      <c r="G58" t="inlineStr">
        <is>
          <t>1</t>
        </is>
      </c>
      <c r="H58" t="inlineStr">
        <is>
          <t>No</t>
        </is>
      </c>
      <c r="I58" t="inlineStr">
        <is>
          <t>No</t>
        </is>
      </c>
      <c r="J58" t="inlineStr">
        <is>
          <t>0</t>
        </is>
      </c>
      <c r="K58" t="inlineStr">
        <is>
          <t>Getlein, Frank.</t>
        </is>
      </c>
      <c r="L58" t="inlineStr">
        <is>
          <t>Milwaukee, Bruce Pub. Co. [1964]</t>
        </is>
      </c>
      <c r="M58" t="inlineStr">
        <is>
          <t>1964</t>
        </is>
      </c>
      <c r="O58" t="inlineStr">
        <is>
          <t>eng</t>
        </is>
      </c>
      <c r="P58" t="inlineStr">
        <is>
          <t>wiu</t>
        </is>
      </c>
      <c r="R58" t="inlineStr">
        <is>
          <t xml:space="preserve">NE </t>
        </is>
      </c>
      <c r="S58" t="n">
        <v>2</v>
      </c>
      <c r="T58" t="n">
        <v>2</v>
      </c>
      <c r="U58" t="inlineStr">
        <is>
          <t>1997-09-18</t>
        </is>
      </c>
      <c r="V58" t="inlineStr">
        <is>
          <t>1997-09-18</t>
        </is>
      </c>
      <c r="W58" t="inlineStr">
        <is>
          <t>1997-08-06</t>
        </is>
      </c>
      <c r="X58" t="inlineStr">
        <is>
          <t>1997-08-06</t>
        </is>
      </c>
      <c r="Y58" t="n">
        <v>449</v>
      </c>
      <c r="Z58" t="n">
        <v>410</v>
      </c>
      <c r="AA58" t="n">
        <v>414</v>
      </c>
      <c r="AB58" t="n">
        <v>8</v>
      </c>
      <c r="AC58" t="n">
        <v>8</v>
      </c>
      <c r="AD58" t="n">
        <v>32</v>
      </c>
      <c r="AE58" t="n">
        <v>32</v>
      </c>
      <c r="AF58" t="n">
        <v>9</v>
      </c>
      <c r="AG58" t="n">
        <v>9</v>
      </c>
      <c r="AH58" t="n">
        <v>8</v>
      </c>
      <c r="AI58" t="n">
        <v>8</v>
      </c>
      <c r="AJ58" t="n">
        <v>20</v>
      </c>
      <c r="AK58" t="n">
        <v>20</v>
      </c>
      <c r="AL58" t="n">
        <v>4</v>
      </c>
      <c r="AM58" t="n">
        <v>4</v>
      </c>
      <c r="AN58" t="n">
        <v>0</v>
      </c>
      <c r="AO58" t="n">
        <v>0</v>
      </c>
      <c r="AP58" t="inlineStr">
        <is>
          <t>No</t>
        </is>
      </c>
      <c r="AQ58" t="inlineStr">
        <is>
          <t>Yes</t>
        </is>
      </c>
      <c r="AR58">
        <f>HYPERLINK("http://catalog.hathitrust.org/Record/009501566","HathiTrust Record")</f>
        <v/>
      </c>
      <c r="AS58">
        <f>HYPERLINK("https://creighton-primo.hosted.exlibrisgroup.com/primo-explore/search?tab=default_tab&amp;search_scope=EVERYTHING&amp;vid=01CRU&amp;lang=en_US&amp;offset=0&amp;query=any,contains,991003475249702656","Catalog Record")</f>
        <v/>
      </c>
      <c r="AT58">
        <f>HYPERLINK("http://www.worldcat.org/oclc/1019614","WorldCat Record")</f>
        <v/>
      </c>
      <c r="AU58" t="inlineStr">
        <is>
          <t>1945908:eng</t>
        </is>
      </c>
      <c r="AV58" t="inlineStr">
        <is>
          <t>1019614</t>
        </is>
      </c>
      <c r="AW58" t="inlineStr">
        <is>
          <t>991003475249702656</t>
        </is>
      </c>
      <c r="AX58" t="inlineStr">
        <is>
          <t>991003475249702656</t>
        </is>
      </c>
      <c r="AY58" t="inlineStr">
        <is>
          <t>2258080710002656</t>
        </is>
      </c>
      <c r="AZ58" t="inlineStr">
        <is>
          <t>BOOK</t>
        </is>
      </c>
      <c r="BC58" t="inlineStr">
        <is>
          <t>32285003046371</t>
        </is>
      </c>
      <c r="BD58" t="inlineStr">
        <is>
          <t>893611078</t>
        </is>
      </c>
    </row>
    <row r="59">
      <c r="A59" t="inlineStr">
        <is>
          <t>No</t>
        </is>
      </c>
      <c r="B59" t="inlineStr">
        <is>
          <t>NE651 .R54 1983</t>
        </is>
      </c>
      <c r="C59" t="inlineStr">
        <is>
          <t>0                      NE 0651000R  54          1983</t>
        </is>
      </c>
      <c r="D59" t="inlineStr">
        <is>
          <t>An alle Künstler! : war-revolution-Weimar : German Expressionist prints, drawings, posters and periodicals from the Robert Gore Rifkind Foundation / exhibition and catalogue essays by Ida Katherine Rigby ; exhibition organized by the University Gallery, San Diego State University.</t>
        </is>
      </c>
      <c r="F59" t="inlineStr">
        <is>
          <t>No</t>
        </is>
      </c>
      <c r="G59" t="inlineStr">
        <is>
          <t>1</t>
        </is>
      </c>
      <c r="H59" t="inlineStr">
        <is>
          <t>No</t>
        </is>
      </c>
      <c r="I59" t="inlineStr">
        <is>
          <t>No</t>
        </is>
      </c>
      <c r="J59" t="inlineStr">
        <is>
          <t>0</t>
        </is>
      </c>
      <c r="K59" t="inlineStr">
        <is>
          <t>Rigby, Ida Katherine.</t>
        </is>
      </c>
      <c r="L59" t="inlineStr">
        <is>
          <t>San Diego : San Diego State University Press, 1983.</t>
        </is>
      </c>
      <c r="M59" t="inlineStr">
        <is>
          <t>1983</t>
        </is>
      </c>
      <c r="O59" t="inlineStr">
        <is>
          <t>eng</t>
        </is>
      </c>
      <c r="P59" t="inlineStr">
        <is>
          <t>cau</t>
        </is>
      </c>
      <c r="R59" t="inlineStr">
        <is>
          <t xml:space="preserve">NE </t>
        </is>
      </c>
      <c r="S59" t="n">
        <v>5</v>
      </c>
      <c r="T59" t="n">
        <v>5</v>
      </c>
      <c r="U59" t="inlineStr">
        <is>
          <t>1996-07-22</t>
        </is>
      </c>
      <c r="V59" t="inlineStr">
        <is>
          <t>1996-07-22</t>
        </is>
      </c>
      <c r="W59" t="inlineStr">
        <is>
          <t>1993-06-01</t>
        </is>
      </c>
      <c r="X59" t="inlineStr">
        <is>
          <t>1993-06-01</t>
        </is>
      </c>
      <c r="Y59" t="n">
        <v>341</v>
      </c>
      <c r="Z59" t="n">
        <v>313</v>
      </c>
      <c r="AA59" t="n">
        <v>318</v>
      </c>
      <c r="AB59" t="n">
        <v>2</v>
      </c>
      <c r="AC59" t="n">
        <v>2</v>
      </c>
      <c r="AD59" t="n">
        <v>14</v>
      </c>
      <c r="AE59" t="n">
        <v>14</v>
      </c>
      <c r="AF59" t="n">
        <v>8</v>
      </c>
      <c r="AG59" t="n">
        <v>8</v>
      </c>
      <c r="AH59" t="n">
        <v>2</v>
      </c>
      <c r="AI59" t="n">
        <v>2</v>
      </c>
      <c r="AJ59" t="n">
        <v>8</v>
      </c>
      <c r="AK59" t="n">
        <v>8</v>
      </c>
      <c r="AL59" t="n">
        <v>1</v>
      </c>
      <c r="AM59" t="n">
        <v>1</v>
      </c>
      <c r="AN59" t="n">
        <v>0</v>
      </c>
      <c r="AO59" t="n">
        <v>0</v>
      </c>
      <c r="AP59" t="inlineStr">
        <is>
          <t>No</t>
        </is>
      </c>
      <c r="AQ59" t="inlineStr">
        <is>
          <t>Yes</t>
        </is>
      </c>
      <c r="AR59">
        <f>HYPERLINK("http://catalog.hathitrust.org/Record/000167588","HathiTrust Record")</f>
        <v/>
      </c>
      <c r="AS59">
        <f>HYPERLINK("https://creighton-primo.hosted.exlibrisgroup.com/primo-explore/search?tab=default_tab&amp;search_scope=EVERYTHING&amp;vid=01CRU&amp;lang=en_US&amp;offset=0&amp;query=any,contains,991000273339702656","Catalog Record")</f>
        <v/>
      </c>
      <c r="AT59">
        <f>HYPERLINK("http://www.worldcat.org/oclc/9892112","WorldCat Record")</f>
        <v/>
      </c>
      <c r="AU59" t="inlineStr">
        <is>
          <t>24358435:eng</t>
        </is>
      </c>
      <c r="AV59" t="inlineStr">
        <is>
          <t>9892112</t>
        </is>
      </c>
      <c r="AW59" t="inlineStr">
        <is>
          <t>991000273339702656</t>
        </is>
      </c>
      <c r="AX59" t="inlineStr">
        <is>
          <t>991000273339702656</t>
        </is>
      </c>
      <c r="AY59" t="inlineStr">
        <is>
          <t>2268293440002656</t>
        </is>
      </c>
      <c r="AZ59" t="inlineStr">
        <is>
          <t>BOOK</t>
        </is>
      </c>
      <c r="BB59" t="inlineStr">
        <is>
          <t>9780916304645</t>
        </is>
      </c>
      <c r="BC59" t="inlineStr">
        <is>
          <t>32285001715456</t>
        </is>
      </c>
      <c r="BD59" t="inlineStr">
        <is>
          <t>893802649</t>
        </is>
      </c>
    </row>
    <row r="60">
      <c r="A60" t="inlineStr">
        <is>
          <t>No</t>
        </is>
      </c>
      <c r="B60" t="inlineStr">
        <is>
          <t>NE651.3 .B75 1984</t>
        </is>
      </c>
      <c r="C60" t="inlineStr">
        <is>
          <t>0                      NE 0651300B  75          1984</t>
        </is>
      </c>
      <c r="D60" t="inlineStr">
        <is>
          <t>The prints in Germany 1880-1933 : the age of expressionism : prints from the Department of Prints and drawings in the British Museum / Frances Carey and Antony Griffiths ; with a selection of illustrated books from the British Library, David Paisey.</t>
        </is>
      </c>
      <c r="F60" t="inlineStr">
        <is>
          <t>No</t>
        </is>
      </c>
      <c r="G60" t="inlineStr">
        <is>
          <t>1</t>
        </is>
      </c>
      <c r="H60" t="inlineStr">
        <is>
          <t>No</t>
        </is>
      </c>
      <c r="I60" t="inlineStr">
        <is>
          <t>No</t>
        </is>
      </c>
      <c r="J60" t="inlineStr">
        <is>
          <t>0</t>
        </is>
      </c>
      <c r="K60" t="inlineStr">
        <is>
          <t>British Museum. Department of Prints and Drawings.</t>
        </is>
      </c>
      <c r="L60" t="inlineStr">
        <is>
          <t>New York : Harper &amp; Row, c1984.</t>
        </is>
      </c>
      <c r="M60" t="inlineStr">
        <is>
          <t>1984</t>
        </is>
      </c>
      <c r="N60" t="inlineStr">
        <is>
          <t>1st U.S. ed.</t>
        </is>
      </c>
      <c r="O60" t="inlineStr">
        <is>
          <t>eng</t>
        </is>
      </c>
      <c r="P60" t="inlineStr">
        <is>
          <t>nyu</t>
        </is>
      </c>
      <c r="R60" t="inlineStr">
        <is>
          <t xml:space="preserve">NE </t>
        </is>
      </c>
      <c r="S60" t="n">
        <v>3</v>
      </c>
      <c r="T60" t="n">
        <v>3</v>
      </c>
      <c r="U60" t="inlineStr">
        <is>
          <t>1998-11-19</t>
        </is>
      </c>
      <c r="V60" t="inlineStr">
        <is>
          <t>1998-11-19</t>
        </is>
      </c>
      <c r="W60" t="inlineStr">
        <is>
          <t>1993-06-01</t>
        </is>
      </c>
      <c r="X60" t="inlineStr">
        <is>
          <t>1993-06-01</t>
        </is>
      </c>
      <c r="Y60" t="n">
        <v>404</v>
      </c>
      <c r="Z60" t="n">
        <v>361</v>
      </c>
      <c r="AA60" t="n">
        <v>445</v>
      </c>
      <c r="AB60" t="n">
        <v>1</v>
      </c>
      <c r="AC60" t="n">
        <v>2</v>
      </c>
      <c r="AD60" t="n">
        <v>12</v>
      </c>
      <c r="AE60" t="n">
        <v>14</v>
      </c>
      <c r="AF60" t="n">
        <v>5</v>
      </c>
      <c r="AG60" t="n">
        <v>5</v>
      </c>
      <c r="AH60" t="n">
        <v>3</v>
      </c>
      <c r="AI60" t="n">
        <v>3</v>
      </c>
      <c r="AJ60" t="n">
        <v>7</v>
      </c>
      <c r="AK60" t="n">
        <v>8</v>
      </c>
      <c r="AL60" t="n">
        <v>0</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HYPERLINK("https://creighton-primo.hosted.exlibrisgroup.com/primo-explore/search?tab=default_tab&amp;search_scope=EVERYTHING&amp;vid=01CRU&amp;lang=en_US&amp;offset=0&amp;query=any,contains,991000604469702656","Catalog Record")</f>
        <v/>
      </c>
      <c r="AT60">
        <f>HYPERLINK("http://www.worldcat.org/oclc/13444444","WorldCat Record")</f>
        <v/>
      </c>
      <c r="AU60" t="inlineStr">
        <is>
          <t>7822229:eng</t>
        </is>
      </c>
      <c r="AV60" t="inlineStr">
        <is>
          <t>13444444</t>
        </is>
      </c>
      <c r="AW60" t="inlineStr">
        <is>
          <t>991000604469702656</t>
        </is>
      </c>
      <c r="AX60" t="inlineStr">
        <is>
          <t>991000604469702656</t>
        </is>
      </c>
      <c r="AY60" t="inlineStr">
        <is>
          <t>2265183720002656</t>
        </is>
      </c>
      <c r="AZ60" t="inlineStr">
        <is>
          <t>BOOK</t>
        </is>
      </c>
      <c r="BB60" t="inlineStr">
        <is>
          <t>9780064301510</t>
        </is>
      </c>
      <c r="BC60" t="inlineStr">
        <is>
          <t>32285001715464</t>
        </is>
      </c>
      <c r="BD60" t="inlineStr">
        <is>
          <t>893601896</t>
        </is>
      </c>
    </row>
    <row r="61">
      <c r="A61" t="inlineStr">
        <is>
          <t>No</t>
        </is>
      </c>
      <c r="B61" t="inlineStr">
        <is>
          <t>NE651.6.E9 P75 1991</t>
        </is>
      </c>
      <c r="C61" t="inlineStr">
        <is>
          <t>0                      NE 0651600E  9                  P  75          1991</t>
        </is>
      </c>
      <c r="D61" t="inlineStr">
        <is>
          <t>Inner visions : German prints from the age of expressionism / introduction by Ida Katherine Rigby ; catalogue by Mary Priester with assistance by Lois Allan, Elizabeth Sarah Davis, and Virginia Wilson Hanson.</t>
        </is>
      </c>
      <c r="F61" t="inlineStr">
        <is>
          <t>No</t>
        </is>
      </c>
      <c r="G61" t="inlineStr">
        <is>
          <t>1</t>
        </is>
      </c>
      <c r="H61" t="inlineStr">
        <is>
          <t>No</t>
        </is>
      </c>
      <c r="I61" t="inlineStr">
        <is>
          <t>No</t>
        </is>
      </c>
      <c r="J61" t="inlineStr">
        <is>
          <t>0</t>
        </is>
      </c>
      <c r="K61" t="inlineStr">
        <is>
          <t>Priester, Mary.</t>
        </is>
      </c>
      <c r="L61" t="inlineStr">
        <is>
          <t>Portland, Or. : Portland Art Museum, [1991]</t>
        </is>
      </c>
      <c r="M61" t="inlineStr">
        <is>
          <t>1991</t>
        </is>
      </c>
      <c r="O61" t="inlineStr">
        <is>
          <t>eng</t>
        </is>
      </c>
      <c r="P61" t="inlineStr">
        <is>
          <t>oru</t>
        </is>
      </c>
      <c r="R61" t="inlineStr">
        <is>
          <t xml:space="preserve">NE </t>
        </is>
      </c>
      <c r="S61" t="n">
        <v>5</v>
      </c>
      <c r="T61" t="n">
        <v>5</v>
      </c>
      <c r="U61" t="inlineStr">
        <is>
          <t>2007-02-15</t>
        </is>
      </c>
      <c r="V61" t="inlineStr">
        <is>
          <t>2007-02-15</t>
        </is>
      </c>
      <c r="W61" t="inlineStr">
        <is>
          <t>1993-12-30</t>
        </is>
      </c>
      <c r="X61" t="inlineStr">
        <is>
          <t>1993-12-30</t>
        </is>
      </c>
      <c r="Y61" t="n">
        <v>330</v>
      </c>
      <c r="Z61" t="n">
        <v>285</v>
      </c>
      <c r="AA61" t="n">
        <v>286</v>
      </c>
      <c r="AB61" t="n">
        <v>3</v>
      </c>
      <c r="AC61" t="n">
        <v>3</v>
      </c>
      <c r="AD61" t="n">
        <v>8</v>
      </c>
      <c r="AE61" t="n">
        <v>8</v>
      </c>
      <c r="AF61" t="n">
        <v>4</v>
      </c>
      <c r="AG61" t="n">
        <v>4</v>
      </c>
      <c r="AH61" t="n">
        <v>2</v>
      </c>
      <c r="AI61" t="n">
        <v>2</v>
      </c>
      <c r="AJ61" t="n">
        <v>5</v>
      </c>
      <c r="AK61" t="n">
        <v>5</v>
      </c>
      <c r="AL61" t="n">
        <v>1</v>
      </c>
      <c r="AM61" t="n">
        <v>1</v>
      </c>
      <c r="AN61" t="n">
        <v>0</v>
      </c>
      <c r="AO61" t="n">
        <v>0</v>
      </c>
      <c r="AP61" t="inlineStr">
        <is>
          <t>No</t>
        </is>
      </c>
      <c r="AQ61" t="inlineStr">
        <is>
          <t>Yes</t>
        </is>
      </c>
      <c r="AR61">
        <f>HYPERLINK("http://catalog.hathitrust.org/Record/002606204","HathiTrust Record")</f>
        <v/>
      </c>
      <c r="AS61">
        <f>HYPERLINK("https://creighton-primo.hosted.exlibrisgroup.com/primo-explore/search?tab=default_tab&amp;search_scope=EVERYTHING&amp;vid=01CRU&amp;lang=en_US&amp;offset=0&amp;query=any,contains,991002184979702656","Catalog Record")</f>
        <v/>
      </c>
      <c r="AT61">
        <f>HYPERLINK("http://www.worldcat.org/oclc/28147423","WorldCat Record")</f>
        <v/>
      </c>
      <c r="AU61" t="inlineStr">
        <is>
          <t>889578610:eng</t>
        </is>
      </c>
      <c r="AV61" t="inlineStr">
        <is>
          <t>28147423</t>
        </is>
      </c>
      <c r="AW61" t="inlineStr">
        <is>
          <t>991002184979702656</t>
        </is>
      </c>
      <c r="AX61" t="inlineStr">
        <is>
          <t>991002184979702656</t>
        </is>
      </c>
      <c r="AY61" t="inlineStr">
        <is>
          <t>2255015260002656</t>
        </is>
      </c>
      <c r="AZ61" t="inlineStr">
        <is>
          <t>BOOK</t>
        </is>
      </c>
      <c r="BB61" t="inlineStr">
        <is>
          <t>9780295971902</t>
        </is>
      </c>
      <c r="BC61" t="inlineStr">
        <is>
          <t>32285001819274</t>
        </is>
      </c>
      <c r="BD61" t="inlineStr">
        <is>
          <t>893721323</t>
        </is>
      </c>
    </row>
    <row r="62">
      <c r="A62" t="inlineStr">
        <is>
          <t>No</t>
        </is>
      </c>
      <c r="B62" t="inlineStr">
        <is>
          <t>NE654.D9 A54 1967</t>
        </is>
      </c>
      <c r="C62" t="inlineStr">
        <is>
          <t>0                      NE 0654000D  9                  A  54          1967</t>
        </is>
      </c>
      <c r="D62" t="inlineStr">
        <is>
          <t>Albrecht Dürer : engravings and etchings / by Campbell Dodgson.</t>
        </is>
      </c>
      <c r="F62" t="inlineStr">
        <is>
          <t>No</t>
        </is>
      </c>
      <c r="G62" t="inlineStr">
        <is>
          <t>1</t>
        </is>
      </c>
      <c r="H62" t="inlineStr">
        <is>
          <t>No</t>
        </is>
      </c>
      <c r="I62" t="inlineStr">
        <is>
          <t>No</t>
        </is>
      </c>
      <c r="J62" t="inlineStr">
        <is>
          <t>0</t>
        </is>
      </c>
      <c r="K62" t="inlineStr">
        <is>
          <t>Dürer, Albrecht, 1471-1528.</t>
        </is>
      </c>
      <c r="L62" t="inlineStr">
        <is>
          <t>New York : Da Capo, 1967.</t>
        </is>
      </c>
      <c r="M62" t="inlineStr">
        <is>
          <t>1967</t>
        </is>
      </c>
      <c r="O62" t="inlineStr">
        <is>
          <t>eng</t>
        </is>
      </c>
      <c r="P62" t="inlineStr">
        <is>
          <t>nyu</t>
        </is>
      </c>
      <c r="Q62" t="inlineStr">
        <is>
          <t>Da Capo Press series in graphic art ; v. 1</t>
        </is>
      </c>
      <c r="R62" t="inlineStr">
        <is>
          <t xml:space="preserve">NE </t>
        </is>
      </c>
      <c r="S62" t="n">
        <v>4</v>
      </c>
      <c r="T62" t="n">
        <v>4</v>
      </c>
      <c r="U62" t="inlineStr">
        <is>
          <t>2010-10-01</t>
        </is>
      </c>
      <c r="V62" t="inlineStr">
        <is>
          <t>2010-10-01</t>
        </is>
      </c>
      <c r="W62" t="inlineStr">
        <is>
          <t>1990-04-18</t>
        </is>
      </c>
      <c r="X62" t="inlineStr">
        <is>
          <t>1990-04-18</t>
        </is>
      </c>
      <c r="Y62" t="n">
        <v>431</v>
      </c>
      <c r="Z62" t="n">
        <v>401</v>
      </c>
      <c r="AA62" t="n">
        <v>428</v>
      </c>
      <c r="AB62" t="n">
        <v>5</v>
      </c>
      <c r="AC62" t="n">
        <v>5</v>
      </c>
      <c r="AD62" t="n">
        <v>19</v>
      </c>
      <c r="AE62" t="n">
        <v>20</v>
      </c>
      <c r="AF62" t="n">
        <v>7</v>
      </c>
      <c r="AG62" t="n">
        <v>7</v>
      </c>
      <c r="AH62" t="n">
        <v>4</v>
      </c>
      <c r="AI62" t="n">
        <v>5</v>
      </c>
      <c r="AJ62" t="n">
        <v>7</v>
      </c>
      <c r="AK62" t="n">
        <v>8</v>
      </c>
      <c r="AL62" t="n">
        <v>3</v>
      </c>
      <c r="AM62" t="n">
        <v>3</v>
      </c>
      <c r="AN62" t="n">
        <v>0</v>
      </c>
      <c r="AO62" t="n">
        <v>0</v>
      </c>
      <c r="AP62" t="inlineStr">
        <is>
          <t>No</t>
        </is>
      </c>
      <c r="AQ62" t="inlineStr">
        <is>
          <t>Yes</t>
        </is>
      </c>
      <c r="AR62">
        <f>HYPERLINK("http://catalog.hathitrust.org/Record/001469829","HathiTrust Record")</f>
        <v/>
      </c>
      <c r="AS62">
        <f>HYPERLINK("https://creighton-primo.hosted.exlibrisgroup.com/primo-explore/search?tab=default_tab&amp;search_scope=EVERYTHING&amp;vid=01CRU&amp;lang=en_US&amp;offset=0&amp;query=any,contains,991003105609702656","Catalog Record")</f>
        <v/>
      </c>
      <c r="AT62">
        <f>HYPERLINK("http://www.worldcat.org/oclc/653803","WorldCat Record")</f>
        <v/>
      </c>
      <c r="AU62" t="inlineStr">
        <is>
          <t>155640280:eng</t>
        </is>
      </c>
      <c r="AV62" t="inlineStr">
        <is>
          <t>653803</t>
        </is>
      </c>
      <c r="AW62" t="inlineStr">
        <is>
          <t>991003105609702656</t>
        </is>
      </c>
      <c r="AX62" t="inlineStr">
        <is>
          <t>991003105609702656</t>
        </is>
      </c>
      <c r="AY62" t="inlineStr">
        <is>
          <t>2264011620002656</t>
        </is>
      </c>
      <c r="AZ62" t="inlineStr">
        <is>
          <t>BOOK</t>
        </is>
      </c>
      <c r="BC62" t="inlineStr">
        <is>
          <t>32285000118637</t>
        </is>
      </c>
      <c r="BD62" t="inlineStr">
        <is>
          <t>893604446</t>
        </is>
      </c>
    </row>
    <row r="63">
      <c r="A63" t="inlineStr">
        <is>
          <t>No</t>
        </is>
      </c>
      <c r="B63" t="inlineStr">
        <is>
          <t>NE659 .U54</t>
        </is>
      </c>
      <c r="C63" t="inlineStr">
        <is>
          <t>0                      NE 0659000U  54</t>
        </is>
      </c>
      <c r="D63" t="inlineStr">
        <is>
          <t>Early Italian engravings from the National Gallery of Art. [By] Jay A. Levenson, Konrad Oberhuber [and] Jacquelyn L. Sheehan. --</t>
        </is>
      </c>
      <c r="F63" t="inlineStr">
        <is>
          <t>No</t>
        </is>
      </c>
      <c r="G63" t="inlineStr">
        <is>
          <t>1</t>
        </is>
      </c>
      <c r="H63" t="inlineStr">
        <is>
          <t>No</t>
        </is>
      </c>
      <c r="I63" t="inlineStr">
        <is>
          <t>No</t>
        </is>
      </c>
      <c r="J63" t="inlineStr">
        <is>
          <t>0</t>
        </is>
      </c>
      <c r="K63" t="inlineStr">
        <is>
          <t>National Gallery of Art (U.S.)</t>
        </is>
      </c>
      <c r="M63" t="inlineStr">
        <is>
          <t>1973</t>
        </is>
      </c>
      <c r="O63" t="inlineStr">
        <is>
          <t>eng</t>
        </is>
      </c>
      <c r="P63" t="inlineStr">
        <is>
          <t>___</t>
        </is>
      </c>
      <c r="R63" t="inlineStr">
        <is>
          <t xml:space="preserve">NE </t>
        </is>
      </c>
      <c r="S63" t="n">
        <v>2</v>
      </c>
      <c r="T63" t="n">
        <v>2</v>
      </c>
      <c r="U63" t="inlineStr">
        <is>
          <t>1993-12-01</t>
        </is>
      </c>
      <c r="V63" t="inlineStr">
        <is>
          <t>1993-12-01</t>
        </is>
      </c>
      <c r="W63" t="inlineStr">
        <is>
          <t>1993-06-01</t>
        </is>
      </c>
      <c r="X63" t="inlineStr">
        <is>
          <t>1993-06-01</t>
        </is>
      </c>
      <c r="Y63" t="n">
        <v>413</v>
      </c>
      <c r="Z63" t="n">
        <v>338</v>
      </c>
      <c r="AA63" t="n">
        <v>350</v>
      </c>
      <c r="AB63" t="n">
        <v>3</v>
      </c>
      <c r="AC63" t="n">
        <v>3</v>
      </c>
      <c r="AD63" t="n">
        <v>12</v>
      </c>
      <c r="AE63" t="n">
        <v>12</v>
      </c>
      <c r="AF63" t="n">
        <v>3</v>
      </c>
      <c r="AG63" t="n">
        <v>3</v>
      </c>
      <c r="AH63" t="n">
        <v>3</v>
      </c>
      <c r="AI63" t="n">
        <v>3</v>
      </c>
      <c r="AJ63" t="n">
        <v>8</v>
      </c>
      <c r="AK63" t="n">
        <v>8</v>
      </c>
      <c r="AL63" t="n">
        <v>1</v>
      </c>
      <c r="AM63" t="n">
        <v>1</v>
      </c>
      <c r="AN63" t="n">
        <v>0</v>
      </c>
      <c r="AO63" t="n">
        <v>0</v>
      </c>
      <c r="AP63" t="inlineStr">
        <is>
          <t>No</t>
        </is>
      </c>
      <c r="AQ63" t="inlineStr">
        <is>
          <t>Yes</t>
        </is>
      </c>
      <c r="AR63">
        <f>HYPERLINK("http://catalog.hathitrust.org/Record/000009863","HathiTrust Record")</f>
        <v/>
      </c>
      <c r="AS63">
        <f>HYPERLINK("https://creighton-primo.hosted.exlibrisgroup.com/primo-explore/search?tab=default_tab&amp;search_scope=EVERYTHING&amp;vid=01CRU&amp;lang=en_US&amp;offset=0&amp;query=any,contains,991003157799702656","Catalog Record")</f>
        <v/>
      </c>
      <c r="AT63">
        <f>HYPERLINK("http://www.worldcat.org/oclc/697289","WorldCat Record")</f>
        <v/>
      </c>
      <c r="AU63" t="inlineStr">
        <is>
          <t>1823520:eng</t>
        </is>
      </c>
      <c r="AV63" t="inlineStr">
        <is>
          <t>697289</t>
        </is>
      </c>
      <c r="AW63" t="inlineStr">
        <is>
          <t>991003157799702656</t>
        </is>
      </c>
      <c r="AX63" t="inlineStr">
        <is>
          <t>991003157799702656</t>
        </is>
      </c>
      <c r="AY63" t="inlineStr">
        <is>
          <t>2264575930002656</t>
        </is>
      </c>
      <c r="AZ63" t="inlineStr">
        <is>
          <t>BOOK</t>
        </is>
      </c>
      <c r="BC63" t="inlineStr">
        <is>
          <t>32285001715498</t>
        </is>
      </c>
      <c r="BD63" t="inlineStr">
        <is>
          <t>893774455</t>
        </is>
      </c>
    </row>
    <row r="64">
      <c r="A64" t="inlineStr">
        <is>
          <t>No</t>
        </is>
      </c>
      <c r="B64" t="inlineStr">
        <is>
          <t>NE662.R3 A4 1981</t>
        </is>
      </c>
      <c r="C64" t="inlineStr">
        <is>
          <t>0                      NE 0662000R  3                  A  4           1981</t>
        </is>
      </c>
      <c r="D64" t="inlineStr">
        <is>
          <t>The engravings of Marcantonio Raimondi : essays / by Innis H. Shoemaker and Elizabeth Broun ; catalogue by Innis H. Shoemaker.</t>
        </is>
      </c>
      <c r="F64" t="inlineStr">
        <is>
          <t>No</t>
        </is>
      </c>
      <c r="G64" t="inlineStr">
        <is>
          <t>1</t>
        </is>
      </c>
      <c r="H64" t="inlineStr">
        <is>
          <t>No</t>
        </is>
      </c>
      <c r="I64" t="inlineStr">
        <is>
          <t>No</t>
        </is>
      </c>
      <c r="J64" t="inlineStr">
        <is>
          <t>0</t>
        </is>
      </c>
      <c r="K64" t="inlineStr">
        <is>
          <t>Shoemaker, Innis H.</t>
        </is>
      </c>
      <c r="L64" t="inlineStr">
        <is>
          <t>Lawrence : Spencer Museum of Art, University of Kansas, 1981.</t>
        </is>
      </c>
      <c r="M64" t="inlineStr">
        <is>
          <t>1981</t>
        </is>
      </c>
      <c r="O64" t="inlineStr">
        <is>
          <t>eng</t>
        </is>
      </c>
      <c r="P64" t="inlineStr">
        <is>
          <t>ksu</t>
        </is>
      </c>
      <c r="R64" t="inlineStr">
        <is>
          <t xml:space="preserve">NE </t>
        </is>
      </c>
      <c r="S64" t="n">
        <v>2</v>
      </c>
      <c r="T64" t="n">
        <v>2</v>
      </c>
      <c r="U64" t="inlineStr">
        <is>
          <t>1999-02-17</t>
        </is>
      </c>
      <c r="V64" t="inlineStr">
        <is>
          <t>1999-02-17</t>
        </is>
      </c>
      <c r="W64" t="inlineStr">
        <is>
          <t>1993-06-01</t>
        </is>
      </c>
      <c r="X64" t="inlineStr">
        <is>
          <t>1993-06-01</t>
        </is>
      </c>
      <c r="Y64" t="n">
        <v>360</v>
      </c>
      <c r="Z64" t="n">
        <v>282</v>
      </c>
      <c r="AA64" t="n">
        <v>283</v>
      </c>
      <c r="AB64" t="n">
        <v>3</v>
      </c>
      <c r="AC64" t="n">
        <v>3</v>
      </c>
      <c r="AD64" t="n">
        <v>11</v>
      </c>
      <c r="AE64" t="n">
        <v>11</v>
      </c>
      <c r="AF64" t="n">
        <v>2</v>
      </c>
      <c r="AG64" t="n">
        <v>2</v>
      </c>
      <c r="AH64" t="n">
        <v>3</v>
      </c>
      <c r="AI64" t="n">
        <v>3</v>
      </c>
      <c r="AJ64" t="n">
        <v>7</v>
      </c>
      <c r="AK64" t="n">
        <v>7</v>
      </c>
      <c r="AL64" t="n">
        <v>1</v>
      </c>
      <c r="AM64" t="n">
        <v>1</v>
      </c>
      <c r="AN64" t="n">
        <v>0</v>
      </c>
      <c r="AO64" t="n">
        <v>0</v>
      </c>
      <c r="AP64" t="inlineStr">
        <is>
          <t>No</t>
        </is>
      </c>
      <c r="AQ64" t="inlineStr">
        <is>
          <t>Yes</t>
        </is>
      </c>
      <c r="AR64">
        <f>HYPERLINK("http://catalog.hathitrust.org/Record/000231599","HathiTrust Record")</f>
        <v/>
      </c>
      <c r="AS64">
        <f>HYPERLINK("https://creighton-primo.hosted.exlibrisgroup.com/primo-explore/search?tab=default_tab&amp;search_scope=EVERYTHING&amp;vid=01CRU&amp;lang=en_US&amp;offset=0&amp;query=any,contains,991005217989702656","Catalog Record")</f>
        <v/>
      </c>
      <c r="AT64">
        <f>HYPERLINK("http://www.worldcat.org/oclc/8200401","WorldCat Record")</f>
        <v/>
      </c>
      <c r="AU64" t="inlineStr">
        <is>
          <t>30679977:eng</t>
        </is>
      </c>
      <c r="AV64" t="inlineStr">
        <is>
          <t>8200401</t>
        </is>
      </c>
      <c r="AW64" t="inlineStr">
        <is>
          <t>991005217989702656</t>
        </is>
      </c>
      <c r="AX64" t="inlineStr">
        <is>
          <t>991005217989702656</t>
        </is>
      </c>
      <c r="AY64" t="inlineStr">
        <is>
          <t>2270488000002656</t>
        </is>
      </c>
      <c r="AZ64" t="inlineStr">
        <is>
          <t>BOOK</t>
        </is>
      </c>
      <c r="BC64" t="inlineStr">
        <is>
          <t>32285001715514</t>
        </is>
      </c>
      <c r="BD64" t="inlineStr">
        <is>
          <t>893783221</t>
        </is>
      </c>
    </row>
    <row r="65">
      <c r="A65" t="inlineStr">
        <is>
          <t>No</t>
        </is>
      </c>
      <c r="B65" t="inlineStr">
        <is>
          <t>NE670.E75 A43 1967</t>
        </is>
      </c>
      <c r="C65" t="inlineStr">
        <is>
          <t>0                      NE 0670000E  75                 A  43          1967</t>
        </is>
      </c>
      <c r="D65" t="inlineStr">
        <is>
          <t>The graphic work of M. C. Escher.</t>
        </is>
      </c>
      <c r="F65" t="inlineStr">
        <is>
          <t>No</t>
        </is>
      </c>
      <c r="G65" t="inlineStr">
        <is>
          <t>1</t>
        </is>
      </c>
      <c r="H65" t="inlineStr">
        <is>
          <t>No</t>
        </is>
      </c>
      <c r="I65" t="inlineStr">
        <is>
          <t>No</t>
        </is>
      </c>
      <c r="J65" t="inlineStr">
        <is>
          <t>0</t>
        </is>
      </c>
      <c r="K65" t="inlineStr">
        <is>
          <t>Escher, M. C. (Maurits Cornelis), 1898-1972.</t>
        </is>
      </c>
      <c r="L65" t="inlineStr">
        <is>
          <t>New York : Meredith Press, [1967]</t>
        </is>
      </c>
      <c r="M65" t="inlineStr">
        <is>
          <t>1967</t>
        </is>
      </c>
      <c r="N65" t="inlineStr">
        <is>
          <t>[New ed.]</t>
        </is>
      </c>
      <c r="O65" t="inlineStr">
        <is>
          <t>eng</t>
        </is>
      </c>
      <c r="P65" t="inlineStr">
        <is>
          <t>nyu</t>
        </is>
      </c>
      <c r="R65" t="inlineStr">
        <is>
          <t xml:space="preserve">NE </t>
        </is>
      </c>
      <c r="S65" t="n">
        <v>12</v>
      </c>
      <c r="T65" t="n">
        <v>12</v>
      </c>
      <c r="U65" t="inlineStr">
        <is>
          <t>2006-02-28</t>
        </is>
      </c>
      <c r="V65" t="inlineStr">
        <is>
          <t>2006-02-28</t>
        </is>
      </c>
      <c r="W65" t="inlineStr">
        <is>
          <t>1990-02-27</t>
        </is>
      </c>
      <c r="X65" t="inlineStr">
        <is>
          <t>1990-02-27</t>
        </is>
      </c>
      <c r="Y65" t="n">
        <v>179</v>
      </c>
      <c r="Z65" t="n">
        <v>167</v>
      </c>
      <c r="AA65" t="n">
        <v>332</v>
      </c>
      <c r="AB65" t="n">
        <v>5</v>
      </c>
      <c r="AC65" t="n">
        <v>7</v>
      </c>
      <c r="AD65" t="n">
        <v>5</v>
      </c>
      <c r="AE65" t="n">
        <v>8</v>
      </c>
      <c r="AF65" t="n">
        <v>1</v>
      </c>
      <c r="AG65" t="n">
        <v>1</v>
      </c>
      <c r="AH65" t="n">
        <v>0</v>
      </c>
      <c r="AI65" t="n">
        <v>1</v>
      </c>
      <c r="AJ65" t="n">
        <v>2</v>
      </c>
      <c r="AK65" t="n">
        <v>3</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HYPERLINK("https://creighton-primo.hosted.exlibrisgroup.com/primo-explore/search?tab=default_tab&amp;search_scope=EVERYTHING&amp;vid=01CRU&amp;lang=en_US&amp;offset=0&amp;query=any,contains,991003985699702656","Catalog Record")</f>
        <v/>
      </c>
      <c r="AT65">
        <f>HYPERLINK("http://www.worldcat.org/oclc/2030234","WorldCat Record")</f>
        <v/>
      </c>
      <c r="AU65" t="inlineStr">
        <is>
          <t>2070136527:eng</t>
        </is>
      </c>
      <c r="AV65" t="inlineStr">
        <is>
          <t>2030234</t>
        </is>
      </c>
      <c r="AW65" t="inlineStr">
        <is>
          <t>991003985699702656</t>
        </is>
      </c>
      <c r="AX65" t="inlineStr">
        <is>
          <t>991003985699702656</t>
        </is>
      </c>
      <c r="AY65" t="inlineStr">
        <is>
          <t>2271922980002656</t>
        </is>
      </c>
      <c r="AZ65" t="inlineStr">
        <is>
          <t>BOOK</t>
        </is>
      </c>
      <c r="BC65" t="inlineStr">
        <is>
          <t>32285005174320</t>
        </is>
      </c>
      <c r="BD65" t="inlineStr">
        <is>
          <t>893318661</t>
        </is>
      </c>
    </row>
    <row r="66">
      <c r="A66" t="inlineStr">
        <is>
          <t>No</t>
        </is>
      </c>
      <c r="B66" t="inlineStr">
        <is>
          <t>NE670.E75 L6</t>
        </is>
      </c>
      <c r="C66" t="inlineStr">
        <is>
          <t>0                      NE 0670000E  75                 L  6</t>
        </is>
      </c>
      <c r="D66" t="inlineStr">
        <is>
          <t>The world of M. C. Escher / [edited by J. L. Locher]</t>
        </is>
      </c>
      <c r="F66" t="inlineStr">
        <is>
          <t>No</t>
        </is>
      </c>
      <c r="G66" t="inlineStr">
        <is>
          <t>1</t>
        </is>
      </c>
      <c r="H66" t="inlineStr">
        <is>
          <t>No</t>
        </is>
      </c>
      <c r="I66" t="inlineStr">
        <is>
          <t>No</t>
        </is>
      </c>
      <c r="J66" t="inlineStr">
        <is>
          <t>0</t>
        </is>
      </c>
      <c r="K66" t="inlineStr">
        <is>
          <t>Escher, M. C. (Maurits Cornelis), 1898-1972.</t>
        </is>
      </c>
      <c r="L66" t="inlineStr">
        <is>
          <t>New York : H. N. Abrams, [1971?]</t>
        </is>
      </c>
      <c r="M66" t="inlineStr">
        <is>
          <t>1971</t>
        </is>
      </c>
      <c r="O66" t="inlineStr">
        <is>
          <t>eng</t>
        </is>
      </c>
      <c r="P66" t="inlineStr">
        <is>
          <t>nyu</t>
        </is>
      </c>
      <c r="R66" t="inlineStr">
        <is>
          <t xml:space="preserve">NE </t>
        </is>
      </c>
      <c r="S66" t="n">
        <v>17</v>
      </c>
      <c r="T66" t="n">
        <v>17</v>
      </c>
      <c r="U66" t="inlineStr">
        <is>
          <t>2007-08-22</t>
        </is>
      </c>
      <c r="V66" t="inlineStr">
        <is>
          <t>2007-08-22</t>
        </is>
      </c>
      <c r="W66" t="inlineStr">
        <is>
          <t>1990-02-27</t>
        </is>
      </c>
      <c r="X66" t="inlineStr">
        <is>
          <t>1990-02-27</t>
        </is>
      </c>
      <c r="Y66" t="n">
        <v>876</v>
      </c>
      <c r="Z66" t="n">
        <v>765</v>
      </c>
      <c r="AA66" t="n">
        <v>807</v>
      </c>
      <c r="AB66" t="n">
        <v>9</v>
      </c>
      <c r="AC66" t="n">
        <v>9</v>
      </c>
      <c r="AD66" t="n">
        <v>25</v>
      </c>
      <c r="AE66" t="n">
        <v>26</v>
      </c>
      <c r="AF66" t="n">
        <v>11</v>
      </c>
      <c r="AG66" t="n">
        <v>11</v>
      </c>
      <c r="AH66" t="n">
        <v>3</v>
      </c>
      <c r="AI66" t="n">
        <v>4</v>
      </c>
      <c r="AJ66" t="n">
        <v>10</v>
      </c>
      <c r="AK66" t="n">
        <v>11</v>
      </c>
      <c r="AL66" t="n">
        <v>5</v>
      </c>
      <c r="AM66" t="n">
        <v>5</v>
      </c>
      <c r="AN66" t="n">
        <v>0</v>
      </c>
      <c r="AO66" t="n">
        <v>0</v>
      </c>
      <c r="AP66" t="inlineStr">
        <is>
          <t>No</t>
        </is>
      </c>
      <c r="AQ66" t="inlineStr">
        <is>
          <t>Yes</t>
        </is>
      </c>
      <c r="AR66">
        <f>HYPERLINK("http://catalog.hathitrust.org/Record/001469897","HathiTrust Record")</f>
        <v/>
      </c>
      <c r="AS66">
        <f>HYPERLINK("https://creighton-primo.hosted.exlibrisgroup.com/primo-explore/search?tab=default_tab&amp;search_scope=EVERYTHING&amp;vid=01CRU&amp;lang=en_US&amp;offset=0&amp;query=any,contains,991002692849702656","Catalog Record")</f>
        <v/>
      </c>
      <c r="AT66">
        <f>HYPERLINK("http://www.worldcat.org/oclc/402146","WorldCat Record")</f>
        <v/>
      </c>
      <c r="AU66" t="inlineStr">
        <is>
          <t>1419367:eng</t>
        </is>
      </c>
      <c r="AV66" t="inlineStr">
        <is>
          <t>402146</t>
        </is>
      </c>
      <c r="AW66" t="inlineStr">
        <is>
          <t>991002692849702656</t>
        </is>
      </c>
      <c r="AX66" t="inlineStr">
        <is>
          <t>991002692849702656</t>
        </is>
      </c>
      <c r="AY66" t="inlineStr">
        <is>
          <t>2267635270002656</t>
        </is>
      </c>
      <c r="AZ66" t="inlineStr">
        <is>
          <t>BOOK</t>
        </is>
      </c>
      <c r="BB66" t="inlineStr">
        <is>
          <t>9780810901070</t>
        </is>
      </c>
      <c r="BC66" t="inlineStr">
        <is>
          <t>32285000061845</t>
        </is>
      </c>
      <c r="BD66" t="inlineStr">
        <is>
          <t>893804899</t>
        </is>
      </c>
    </row>
    <row r="67">
      <c r="A67" t="inlineStr">
        <is>
          <t>No</t>
        </is>
      </c>
      <c r="B67" t="inlineStr">
        <is>
          <t>NE694.M8 T4813</t>
        </is>
      </c>
      <c r="C67" t="inlineStr">
        <is>
          <t>0                      NE 0694000M  8                  T  4813</t>
        </is>
      </c>
      <c r="D67" t="inlineStr">
        <is>
          <t>The graphic art of Edvard Munch / translated from the German by Ruth Michaelis-Jena with the collaboration of Patrick Murray.</t>
        </is>
      </c>
      <c r="F67" t="inlineStr">
        <is>
          <t>No</t>
        </is>
      </c>
      <c r="G67" t="inlineStr">
        <is>
          <t>1</t>
        </is>
      </c>
      <c r="H67" t="inlineStr">
        <is>
          <t>No</t>
        </is>
      </c>
      <c r="I67" t="inlineStr">
        <is>
          <t>No</t>
        </is>
      </c>
      <c r="J67" t="inlineStr">
        <is>
          <t>0</t>
        </is>
      </c>
      <c r="K67" t="inlineStr">
        <is>
          <t>Timm, Werner.</t>
        </is>
      </c>
      <c r="L67" t="inlineStr">
        <is>
          <t>[Greenwich, Conn.] : New York Graphic Society, [1969]</t>
        </is>
      </c>
      <c r="M67" t="inlineStr">
        <is>
          <t>1969</t>
        </is>
      </c>
      <c r="O67" t="inlineStr">
        <is>
          <t>eng</t>
        </is>
      </c>
      <c r="P67" t="inlineStr">
        <is>
          <t>ctu</t>
        </is>
      </c>
      <c r="R67" t="inlineStr">
        <is>
          <t xml:space="preserve">NE </t>
        </is>
      </c>
      <c r="S67" t="n">
        <v>8</v>
      </c>
      <c r="T67" t="n">
        <v>8</v>
      </c>
      <c r="U67" t="inlineStr">
        <is>
          <t>2005-03-14</t>
        </is>
      </c>
      <c r="V67" t="inlineStr">
        <is>
          <t>2005-03-14</t>
        </is>
      </c>
      <c r="W67" t="inlineStr">
        <is>
          <t>1994-08-30</t>
        </is>
      </c>
      <c r="X67" t="inlineStr">
        <is>
          <t>1994-08-30</t>
        </is>
      </c>
      <c r="Y67" t="n">
        <v>867</v>
      </c>
      <c r="Z67" t="n">
        <v>828</v>
      </c>
      <c r="AA67" t="n">
        <v>828</v>
      </c>
      <c r="AB67" t="n">
        <v>8</v>
      </c>
      <c r="AC67" t="n">
        <v>8</v>
      </c>
      <c r="AD67" t="n">
        <v>26</v>
      </c>
      <c r="AE67" t="n">
        <v>26</v>
      </c>
      <c r="AF67" t="n">
        <v>11</v>
      </c>
      <c r="AG67" t="n">
        <v>11</v>
      </c>
      <c r="AH67" t="n">
        <v>3</v>
      </c>
      <c r="AI67" t="n">
        <v>3</v>
      </c>
      <c r="AJ67" t="n">
        <v>10</v>
      </c>
      <c r="AK67" t="n">
        <v>10</v>
      </c>
      <c r="AL67" t="n">
        <v>6</v>
      </c>
      <c r="AM67" t="n">
        <v>6</v>
      </c>
      <c r="AN67" t="n">
        <v>0</v>
      </c>
      <c r="AO67" t="n">
        <v>0</v>
      </c>
      <c r="AP67" t="inlineStr">
        <is>
          <t>No</t>
        </is>
      </c>
      <c r="AQ67" t="inlineStr">
        <is>
          <t>No</t>
        </is>
      </c>
      <c r="AS67">
        <f>HYPERLINK("https://creighton-primo.hosted.exlibrisgroup.com/primo-explore/search?tab=default_tab&amp;search_scope=EVERYTHING&amp;vid=01CRU&amp;lang=en_US&amp;offset=0&amp;query=any,contains,991000105159702656","Catalog Record")</f>
        <v/>
      </c>
      <c r="AT67">
        <f>HYPERLINK("http://www.worldcat.org/oclc/46068","WorldCat Record")</f>
        <v/>
      </c>
      <c r="AU67" t="inlineStr">
        <is>
          <t>10792711494:eng</t>
        </is>
      </c>
      <c r="AV67" t="inlineStr">
        <is>
          <t>46068</t>
        </is>
      </c>
      <c r="AW67" t="inlineStr">
        <is>
          <t>991000105159702656</t>
        </is>
      </c>
      <c r="AX67" t="inlineStr">
        <is>
          <t>991000105159702656</t>
        </is>
      </c>
      <c r="AY67" t="inlineStr">
        <is>
          <t>2264212110002656</t>
        </is>
      </c>
      <c r="AZ67" t="inlineStr">
        <is>
          <t>BOOK</t>
        </is>
      </c>
      <c r="BB67" t="inlineStr">
        <is>
          <t>9780821203330</t>
        </is>
      </c>
      <c r="BC67" t="inlineStr">
        <is>
          <t>32285001777969</t>
        </is>
      </c>
      <c r="BD67" t="inlineStr">
        <is>
          <t>893613895</t>
        </is>
      </c>
    </row>
    <row r="68">
      <c r="A68" t="inlineStr">
        <is>
          <t>No</t>
        </is>
      </c>
      <c r="B68" t="inlineStr">
        <is>
          <t>NE731 .K7</t>
        </is>
      </c>
      <c r="C68" t="inlineStr">
        <is>
          <t>0                      NE 0731000K  7</t>
        </is>
      </c>
      <c r="D68" t="inlineStr">
        <is>
          <t>Contemporary Yugoslav graphic art. Text by Zoran Krz̈iǎnik. [Editors: Oto Bihalji-Merin and Jara Ribnikar]</t>
        </is>
      </c>
      <c r="F68" t="inlineStr">
        <is>
          <t>No</t>
        </is>
      </c>
      <c r="G68" t="inlineStr">
        <is>
          <t>1</t>
        </is>
      </c>
      <c r="H68" t="inlineStr">
        <is>
          <t>No</t>
        </is>
      </c>
      <c r="I68" t="inlineStr">
        <is>
          <t>No</t>
        </is>
      </c>
      <c r="J68" t="inlineStr">
        <is>
          <t>0</t>
        </is>
      </c>
      <c r="K68" t="inlineStr">
        <is>
          <t>Krz̈iǎnik, Zoran.</t>
        </is>
      </c>
      <c r="L68" t="inlineStr">
        <is>
          <t>New York, Shorewood Publishers, 1964.</t>
        </is>
      </c>
      <c r="M68" t="inlineStr">
        <is>
          <t>1964</t>
        </is>
      </c>
      <c r="O68" t="inlineStr">
        <is>
          <t>eng</t>
        </is>
      </c>
      <c r="P68" t="inlineStr">
        <is>
          <t>nyu</t>
        </is>
      </c>
      <c r="R68" t="inlineStr">
        <is>
          <t xml:space="preserve">NE </t>
        </is>
      </c>
      <c r="S68" t="n">
        <v>3</v>
      </c>
      <c r="T68" t="n">
        <v>3</v>
      </c>
      <c r="U68" t="inlineStr">
        <is>
          <t>1999-02-17</t>
        </is>
      </c>
      <c r="V68" t="inlineStr">
        <is>
          <t>1999-02-17</t>
        </is>
      </c>
      <c r="W68" t="inlineStr">
        <is>
          <t>1997-08-06</t>
        </is>
      </c>
      <c r="X68" t="inlineStr">
        <is>
          <t>1997-08-06</t>
        </is>
      </c>
      <c r="Y68" t="n">
        <v>206</v>
      </c>
      <c r="Z68" t="n">
        <v>198</v>
      </c>
      <c r="AA68" t="n">
        <v>205</v>
      </c>
      <c r="AB68" t="n">
        <v>3</v>
      </c>
      <c r="AC68" t="n">
        <v>3</v>
      </c>
      <c r="AD68" t="n">
        <v>6</v>
      </c>
      <c r="AE68" t="n">
        <v>6</v>
      </c>
      <c r="AF68" t="n">
        <v>2</v>
      </c>
      <c r="AG68" t="n">
        <v>2</v>
      </c>
      <c r="AH68" t="n">
        <v>1</v>
      </c>
      <c r="AI68" t="n">
        <v>1</v>
      </c>
      <c r="AJ68" t="n">
        <v>2</v>
      </c>
      <c r="AK68" t="n">
        <v>2</v>
      </c>
      <c r="AL68" t="n">
        <v>2</v>
      </c>
      <c r="AM68" t="n">
        <v>2</v>
      </c>
      <c r="AN68" t="n">
        <v>0</v>
      </c>
      <c r="AO68" t="n">
        <v>0</v>
      </c>
      <c r="AP68" t="inlineStr">
        <is>
          <t>No</t>
        </is>
      </c>
      <c r="AQ68" t="inlineStr">
        <is>
          <t>No</t>
        </is>
      </c>
      <c r="AS68">
        <f>HYPERLINK("https://creighton-primo.hosted.exlibrisgroup.com/primo-explore/search?tab=default_tab&amp;search_scope=EVERYTHING&amp;vid=01CRU&amp;lang=en_US&amp;offset=0&amp;query=any,contains,991003868339702656","Catalog Record")</f>
        <v/>
      </c>
      <c r="AT68">
        <f>HYPERLINK("http://www.worldcat.org/oclc/1684614","WorldCat Record")</f>
        <v/>
      </c>
      <c r="AU68" t="inlineStr">
        <is>
          <t>28465630:eng</t>
        </is>
      </c>
      <c r="AV68" t="inlineStr">
        <is>
          <t>1684614</t>
        </is>
      </c>
      <c r="AW68" t="inlineStr">
        <is>
          <t>991003868339702656</t>
        </is>
      </c>
      <c r="AX68" t="inlineStr">
        <is>
          <t>991003868339702656</t>
        </is>
      </c>
      <c r="AY68" t="inlineStr">
        <is>
          <t>2272730740002656</t>
        </is>
      </c>
      <c r="AZ68" t="inlineStr">
        <is>
          <t>BOOK</t>
        </is>
      </c>
      <c r="BC68" t="inlineStr">
        <is>
          <t>32285003046405</t>
        </is>
      </c>
      <c r="BD68" t="inlineStr">
        <is>
          <t>893349298</t>
        </is>
      </c>
    </row>
    <row r="69">
      <c r="A69" t="inlineStr">
        <is>
          <t>No</t>
        </is>
      </c>
      <c r="B69" t="inlineStr">
        <is>
          <t>NE850 .B52 1976</t>
        </is>
      </c>
      <c r="C69" t="inlineStr">
        <is>
          <t>0                      NE 0850000B  52          1976</t>
        </is>
      </c>
      <c r="D69" t="inlineStr">
        <is>
          <t>New media in printmaking / by John Bickford.</t>
        </is>
      </c>
      <c r="F69" t="inlineStr">
        <is>
          <t>No</t>
        </is>
      </c>
      <c r="G69" t="inlineStr">
        <is>
          <t>1</t>
        </is>
      </c>
      <c r="H69" t="inlineStr">
        <is>
          <t>No</t>
        </is>
      </c>
      <c r="I69" t="inlineStr">
        <is>
          <t>No</t>
        </is>
      </c>
      <c r="J69" t="inlineStr">
        <is>
          <t>0</t>
        </is>
      </c>
      <c r="K69" t="inlineStr">
        <is>
          <t>Bickford, John H., 1926-</t>
        </is>
      </c>
      <c r="L69" t="inlineStr">
        <is>
          <t>New York : Watson-Guptill Publications, 1976.</t>
        </is>
      </c>
      <c r="M69" t="inlineStr">
        <is>
          <t>1976</t>
        </is>
      </c>
      <c r="O69" t="inlineStr">
        <is>
          <t>eng</t>
        </is>
      </c>
      <c r="P69" t="inlineStr">
        <is>
          <t>nyu</t>
        </is>
      </c>
      <c r="R69" t="inlineStr">
        <is>
          <t xml:space="preserve">NE </t>
        </is>
      </c>
      <c r="S69" t="n">
        <v>4</v>
      </c>
      <c r="T69" t="n">
        <v>4</v>
      </c>
      <c r="U69" t="inlineStr">
        <is>
          <t>2009-04-08</t>
        </is>
      </c>
      <c r="V69" t="inlineStr">
        <is>
          <t>2009-04-08</t>
        </is>
      </c>
      <c r="W69" t="inlineStr">
        <is>
          <t>1992-02-27</t>
        </is>
      </c>
      <c r="X69" t="inlineStr">
        <is>
          <t>1992-02-27</t>
        </is>
      </c>
      <c r="Y69" t="n">
        <v>416</v>
      </c>
      <c r="Z69" t="n">
        <v>380</v>
      </c>
      <c r="AA69" t="n">
        <v>387</v>
      </c>
      <c r="AB69" t="n">
        <v>6</v>
      </c>
      <c r="AC69" t="n">
        <v>6</v>
      </c>
      <c r="AD69" t="n">
        <v>7</v>
      </c>
      <c r="AE69" t="n">
        <v>7</v>
      </c>
      <c r="AF69" t="n">
        <v>1</v>
      </c>
      <c r="AG69" t="n">
        <v>1</v>
      </c>
      <c r="AH69" t="n">
        <v>1</v>
      </c>
      <c r="AI69" t="n">
        <v>1</v>
      </c>
      <c r="AJ69" t="n">
        <v>1</v>
      </c>
      <c r="AK69" t="n">
        <v>1</v>
      </c>
      <c r="AL69" t="n">
        <v>4</v>
      </c>
      <c r="AM69" t="n">
        <v>4</v>
      </c>
      <c r="AN69" t="n">
        <v>0</v>
      </c>
      <c r="AO69" t="n">
        <v>0</v>
      </c>
      <c r="AP69" t="inlineStr">
        <is>
          <t>No</t>
        </is>
      </c>
      <c r="AQ69" t="inlineStr">
        <is>
          <t>Yes</t>
        </is>
      </c>
      <c r="AR69">
        <f>HYPERLINK("http://catalog.hathitrust.org/Record/000741836","HathiTrust Record")</f>
        <v/>
      </c>
      <c r="AS69">
        <f>HYPERLINK("https://creighton-primo.hosted.exlibrisgroup.com/primo-explore/search?tab=default_tab&amp;search_scope=EVERYTHING&amp;vid=01CRU&amp;lang=en_US&amp;offset=0&amp;query=any,contains,991004086919702656","Catalog Record")</f>
        <v/>
      </c>
      <c r="AT69">
        <f>HYPERLINK("http://www.worldcat.org/oclc/2332287","WorldCat Record")</f>
        <v/>
      </c>
      <c r="AU69" t="inlineStr">
        <is>
          <t>4839672:eng</t>
        </is>
      </c>
      <c r="AV69" t="inlineStr">
        <is>
          <t>2332287</t>
        </is>
      </c>
      <c r="AW69" t="inlineStr">
        <is>
          <t>991004086919702656</t>
        </is>
      </c>
      <c r="AX69" t="inlineStr">
        <is>
          <t>991004086919702656</t>
        </is>
      </c>
      <c r="AY69" t="inlineStr">
        <is>
          <t>2264028830002656</t>
        </is>
      </c>
      <c r="AZ69" t="inlineStr">
        <is>
          <t>BOOK</t>
        </is>
      </c>
      <c r="BB69" t="inlineStr">
        <is>
          <t>9780823031658</t>
        </is>
      </c>
      <c r="BC69" t="inlineStr">
        <is>
          <t>32285000977651</t>
        </is>
      </c>
      <c r="BD69" t="inlineStr">
        <is>
          <t>893794453</t>
        </is>
      </c>
    </row>
    <row r="70">
      <c r="A70" t="inlineStr">
        <is>
          <t>No</t>
        </is>
      </c>
      <c r="B70" t="inlineStr">
        <is>
          <t>NE850 .D3 1971</t>
        </is>
      </c>
      <c r="C70" t="inlineStr">
        <is>
          <t>0                      NE 0850000D  3           1971</t>
        </is>
      </c>
      <c r="D70" t="inlineStr">
        <is>
          <t>Printmaking.</t>
        </is>
      </c>
      <c r="F70" t="inlineStr">
        <is>
          <t>No</t>
        </is>
      </c>
      <c r="G70" t="inlineStr">
        <is>
          <t>1</t>
        </is>
      </c>
      <c r="H70" t="inlineStr">
        <is>
          <t>No</t>
        </is>
      </c>
      <c r="I70" t="inlineStr">
        <is>
          <t>No</t>
        </is>
      </c>
      <c r="J70" t="inlineStr">
        <is>
          <t>0</t>
        </is>
      </c>
      <c r="K70" t="inlineStr">
        <is>
          <t>Daniels, Harvey, 1936-2013.</t>
        </is>
      </c>
      <c r="L70" t="inlineStr">
        <is>
          <t>New York, Viking Press [1971]</t>
        </is>
      </c>
      <c r="M70" t="inlineStr">
        <is>
          <t>1971</t>
        </is>
      </c>
      <c r="O70" t="inlineStr">
        <is>
          <t>eng</t>
        </is>
      </c>
      <c r="P70" t="inlineStr">
        <is>
          <t>nyu</t>
        </is>
      </c>
      <c r="Q70" t="inlineStr">
        <is>
          <t>A Studio book</t>
        </is>
      </c>
      <c r="R70" t="inlineStr">
        <is>
          <t xml:space="preserve">NE </t>
        </is>
      </c>
      <c r="S70" t="n">
        <v>2</v>
      </c>
      <c r="T70" t="n">
        <v>2</v>
      </c>
      <c r="U70" t="inlineStr">
        <is>
          <t>2007-03-22</t>
        </is>
      </c>
      <c r="V70" t="inlineStr">
        <is>
          <t>2007-03-22</t>
        </is>
      </c>
      <c r="W70" t="inlineStr">
        <is>
          <t>1997-08-06</t>
        </is>
      </c>
      <c r="X70" t="inlineStr">
        <is>
          <t>1997-08-06</t>
        </is>
      </c>
      <c r="Y70" t="n">
        <v>629</v>
      </c>
      <c r="Z70" t="n">
        <v>576</v>
      </c>
      <c r="AA70" t="n">
        <v>620</v>
      </c>
      <c r="AB70" t="n">
        <v>7</v>
      </c>
      <c r="AC70" t="n">
        <v>7</v>
      </c>
      <c r="AD70" t="n">
        <v>16</v>
      </c>
      <c r="AE70" t="n">
        <v>16</v>
      </c>
      <c r="AF70" t="n">
        <v>7</v>
      </c>
      <c r="AG70" t="n">
        <v>7</v>
      </c>
      <c r="AH70" t="n">
        <v>2</v>
      </c>
      <c r="AI70" t="n">
        <v>2</v>
      </c>
      <c r="AJ70" t="n">
        <v>9</v>
      </c>
      <c r="AK70" t="n">
        <v>9</v>
      </c>
      <c r="AL70" t="n">
        <v>4</v>
      </c>
      <c r="AM70" t="n">
        <v>4</v>
      </c>
      <c r="AN70" t="n">
        <v>0</v>
      </c>
      <c r="AO70" t="n">
        <v>0</v>
      </c>
      <c r="AP70" t="inlineStr">
        <is>
          <t>No</t>
        </is>
      </c>
      <c r="AQ70" t="inlineStr">
        <is>
          <t>Yes</t>
        </is>
      </c>
      <c r="AR70">
        <f>HYPERLINK("http://catalog.hathitrust.org/Record/001469962","HathiTrust Record")</f>
        <v/>
      </c>
      <c r="AS70">
        <f>HYPERLINK("https://creighton-primo.hosted.exlibrisgroup.com/primo-explore/search?tab=default_tab&amp;search_scope=EVERYTHING&amp;vid=01CRU&amp;lang=en_US&amp;offset=0&amp;query=any,contains,991001892119702656","Catalog Record")</f>
        <v/>
      </c>
      <c r="AT70">
        <f>HYPERLINK("http://www.worldcat.org/oclc/238796","WorldCat Record")</f>
        <v/>
      </c>
      <c r="AU70" t="inlineStr">
        <is>
          <t>1339796:eng</t>
        </is>
      </c>
      <c r="AV70" t="inlineStr">
        <is>
          <t>238796</t>
        </is>
      </c>
      <c r="AW70" t="inlineStr">
        <is>
          <t>991001892119702656</t>
        </is>
      </c>
      <c r="AX70" t="inlineStr">
        <is>
          <t>991001892119702656</t>
        </is>
      </c>
      <c r="AY70" t="inlineStr">
        <is>
          <t>2255448490002656</t>
        </is>
      </c>
      <c r="AZ70" t="inlineStr">
        <is>
          <t>BOOK</t>
        </is>
      </c>
      <c r="BB70" t="inlineStr">
        <is>
          <t>9780670577576</t>
        </is>
      </c>
      <c r="BC70" t="inlineStr">
        <is>
          <t>32285003046413</t>
        </is>
      </c>
      <c r="BD70" t="inlineStr">
        <is>
          <t>893516643</t>
        </is>
      </c>
    </row>
    <row r="71">
      <c r="A71" t="inlineStr">
        <is>
          <t>No</t>
        </is>
      </c>
      <c r="B71" t="inlineStr">
        <is>
          <t>NE850 .D54 2000</t>
        </is>
      </c>
      <c r="C71" t="inlineStr">
        <is>
          <t>0                      NE 0850000D  54          2000</t>
        </is>
      </c>
      <c r="D71" t="inlineStr">
        <is>
          <t>Simple printmaking : a beginner's guide to making relief prints with linoleum blocks, wood blocks, rubber stamps, found objects &amp; more / Gwen Diehn.</t>
        </is>
      </c>
      <c r="F71" t="inlineStr">
        <is>
          <t>No</t>
        </is>
      </c>
      <c r="G71" t="inlineStr">
        <is>
          <t>1</t>
        </is>
      </c>
      <c r="H71" t="inlineStr">
        <is>
          <t>No</t>
        </is>
      </c>
      <c r="I71" t="inlineStr">
        <is>
          <t>No</t>
        </is>
      </c>
      <c r="J71" t="inlineStr">
        <is>
          <t>0</t>
        </is>
      </c>
      <c r="K71" t="inlineStr">
        <is>
          <t>Diehn, Gwen, 1943-</t>
        </is>
      </c>
      <c r="L71" t="inlineStr">
        <is>
          <t>New York : Lark Books, c2000.</t>
        </is>
      </c>
      <c r="M71" t="inlineStr">
        <is>
          <t>2000</t>
        </is>
      </c>
      <c r="O71" t="inlineStr">
        <is>
          <t>eng</t>
        </is>
      </c>
      <c r="P71" t="inlineStr">
        <is>
          <t>nyu</t>
        </is>
      </c>
      <c r="R71" t="inlineStr">
        <is>
          <t xml:space="preserve">NE </t>
        </is>
      </c>
      <c r="S71" t="n">
        <v>8</v>
      </c>
      <c r="T71" t="n">
        <v>8</v>
      </c>
      <c r="U71" t="inlineStr">
        <is>
          <t>2009-04-08</t>
        </is>
      </c>
      <c r="V71" t="inlineStr">
        <is>
          <t>2009-04-08</t>
        </is>
      </c>
      <c r="W71" t="inlineStr">
        <is>
          <t>2002-05-08</t>
        </is>
      </c>
      <c r="X71" t="inlineStr">
        <is>
          <t>2002-05-08</t>
        </is>
      </c>
      <c r="Y71" t="n">
        <v>641</v>
      </c>
      <c r="Z71" t="n">
        <v>538</v>
      </c>
      <c r="AA71" t="n">
        <v>553</v>
      </c>
      <c r="AB71" t="n">
        <v>5</v>
      </c>
      <c r="AC71" t="n">
        <v>5</v>
      </c>
      <c r="AD71" t="n">
        <v>3</v>
      </c>
      <c r="AE71" t="n">
        <v>3</v>
      </c>
      <c r="AF71" t="n">
        <v>1</v>
      </c>
      <c r="AG71" t="n">
        <v>1</v>
      </c>
      <c r="AH71" t="n">
        <v>0</v>
      </c>
      <c r="AI71" t="n">
        <v>0</v>
      </c>
      <c r="AJ71" t="n">
        <v>1</v>
      </c>
      <c r="AK71" t="n">
        <v>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HYPERLINK("https://creighton-primo.hosted.exlibrisgroup.com/primo-explore/search?tab=default_tab&amp;search_scope=EVERYTHING&amp;vid=01CRU&amp;lang=en_US&amp;offset=0&amp;query=any,contains,991003797379702656","Catalog Record")</f>
        <v/>
      </c>
      <c r="AT71">
        <f>HYPERLINK("http://www.worldcat.org/oclc/44267776","WorldCat Record")</f>
        <v/>
      </c>
      <c r="AU71" t="inlineStr">
        <is>
          <t>508764173:eng</t>
        </is>
      </c>
      <c r="AV71" t="inlineStr">
        <is>
          <t>44267776</t>
        </is>
      </c>
      <c r="AW71" t="inlineStr">
        <is>
          <t>991003797379702656</t>
        </is>
      </c>
      <c r="AX71" t="inlineStr">
        <is>
          <t>991003797379702656</t>
        </is>
      </c>
      <c r="AY71" t="inlineStr">
        <is>
          <t>2264917350002656</t>
        </is>
      </c>
      <c r="AZ71" t="inlineStr">
        <is>
          <t>BOOK</t>
        </is>
      </c>
      <c r="BB71" t="inlineStr">
        <is>
          <t>9781579901585</t>
        </is>
      </c>
      <c r="BC71" t="inlineStr">
        <is>
          <t>32285004486691</t>
        </is>
      </c>
      <c r="BD71" t="inlineStr">
        <is>
          <t>893781422</t>
        </is>
      </c>
    </row>
    <row r="72">
      <c r="A72" t="inlineStr">
        <is>
          <t>No</t>
        </is>
      </c>
      <c r="B72" t="inlineStr">
        <is>
          <t>NE850 .D6</t>
        </is>
      </c>
      <c r="C72" t="inlineStr">
        <is>
          <t>0                      NE 0850000D  6</t>
        </is>
      </c>
      <c r="D72" t="inlineStr">
        <is>
          <t>Block-cutting and print-making by hand: from wood, linoleum and other media: by Margaret Dobson, A.R.E.</t>
        </is>
      </c>
      <c r="F72" t="inlineStr">
        <is>
          <t>No</t>
        </is>
      </c>
      <c r="G72" t="inlineStr">
        <is>
          <t>1</t>
        </is>
      </c>
      <c r="H72" t="inlineStr">
        <is>
          <t>No</t>
        </is>
      </c>
      <c r="I72" t="inlineStr">
        <is>
          <t>No</t>
        </is>
      </c>
      <c r="J72" t="inlineStr">
        <is>
          <t>0</t>
        </is>
      </c>
      <c r="K72" t="inlineStr">
        <is>
          <t>Dobson, Margaret Stirling, 1882-</t>
        </is>
      </c>
      <c r="L72" t="inlineStr">
        <is>
          <t>London, New York [etc.] Sir I. Pitman &amp; Sons, ltd. [1928]</t>
        </is>
      </c>
      <c r="M72" t="inlineStr">
        <is>
          <t>1928</t>
        </is>
      </c>
      <c r="O72" t="inlineStr">
        <is>
          <t>eng</t>
        </is>
      </c>
      <c r="P72" t="inlineStr">
        <is>
          <t>enk</t>
        </is>
      </c>
      <c r="R72" t="inlineStr">
        <is>
          <t xml:space="preserve">NE </t>
        </is>
      </c>
      <c r="S72" t="n">
        <v>2</v>
      </c>
      <c r="T72" t="n">
        <v>2</v>
      </c>
      <c r="U72" t="inlineStr">
        <is>
          <t>2007-03-13</t>
        </is>
      </c>
      <c r="V72" t="inlineStr">
        <is>
          <t>2007-03-13</t>
        </is>
      </c>
      <c r="W72" t="inlineStr">
        <is>
          <t>1997-08-06</t>
        </is>
      </c>
      <c r="X72" t="inlineStr">
        <is>
          <t>1997-08-06</t>
        </is>
      </c>
      <c r="Y72" t="n">
        <v>109</v>
      </c>
      <c r="Z72" t="n">
        <v>88</v>
      </c>
      <c r="AA72" t="n">
        <v>156</v>
      </c>
      <c r="AB72" t="n">
        <v>1</v>
      </c>
      <c r="AC72" t="n">
        <v>2</v>
      </c>
      <c r="AD72" t="n">
        <v>2</v>
      </c>
      <c r="AE72" t="n">
        <v>4</v>
      </c>
      <c r="AF72" t="n">
        <v>1</v>
      </c>
      <c r="AG72" t="n">
        <v>2</v>
      </c>
      <c r="AH72" t="n">
        <v>0</v>
      </c>
      <c r="AI72" t="n">
        <v>0</v>
      </c>
      <c r="AJ72" t="n">
        <v>1</v>
      </c>
      <c r="AK72" t="n">
        <v>1</v>
      </c>
      <c r="AL72" t="n">
        <v>0</v>
      </c>
      <c r="AM72" t="n">
        <v>1</v>
      </c>
      <c r="AN72" t="n">
        <v>0</v>
      </c>
      <c r="AO72" t="n">
        <v>0</v>
      </c>
      <c r="AP72" t="inlineStr">
        <is>
          <t>No</t>
        </is>
      </c>
      <c r="AQ72" t="inlineStr">
        <is>
          <t>Yes</t>
        </is>
      </c>
      <c r="AR72">
        <f>HYPERLINK("http://catalog.hathitrust.org/Record/005834528","HathiTrust Record")</f>
        <v/>
      </c>
      <c r="AS72">
        <f>HYPERLINK("https://creighton-primo.hosted.exlibrisgroup.com/primo-explore/search?tab=default_tab&amp;search_scope=EVERYTHING&amp;vid=01CRU&amp;lang=en_US&amp;offset=0&amp;query=any,contains,991004450029702656","Catalog Record")</f>
        <v/>
      </c>
      <c r="AT72">
        <f>HYPERLINK("http://www.worldcat.org/oclc/3505599","WorldCat Record")</f>
        <v/>
      </c>
      <c r="AU72" t="inlineStr">
        <is>
          <t>10417025:eng</t>
        </is>
      </c>
      <c r="AV72" t="inlineStr">
        <is>
          <t>3505599</t>
        </is>
      </c>
      <c r="AW72" t="inlineStr">
        <is>
          <t>991004450029702656</t>
        </is>
      </c>
      <c r="AX72" t="inlineStr">
        <is>
          <t>991004450029702656</t>
        </is>
      </c>
      <c r="AY72" t="inlineStr">
        <is>
          <t>2254910530002656</t>
        </is>
      </c>
      <c r="AZ72" t="inlineStr">
        <is>
          <t>BOOK</t>
        </is>
      </c>
      <c r="BC72" t="inlineStr">
        <is>
          <t>32285003046421</t>
        </is>
      </c>
      <c r="BD72" t="inlineStr">
        <is>
          <t>893700262</t>
        </is>
      </c>
    </row>
    <row r="73">
      <c r="A73" t="inlineStr">
        <is>
          <t>No</t>
        </is>
      </c>
      <c r="B73" t="inlineStr">
        <is>
          <t>NE850 .R59 1990</t>
        </is>
      </c>
      <c r="C73" t="inlineStr">
        <is>
          <t>0                      NE 0850000R  59          1990</t>
        </is>
      </c>
      <c r="D73" t="inlineStr">
        <is>
          <t>The complete printmaker : techniques, traditions, innovations / John Ross, Clare Romano, Tim Ross ; edited and produced by Roundtable Press.</t>
        </is>
      </c>
      <c r="F73" t="inlineStr">
        <is>
          <t>No</t>
        </is>
      </c>
      <c r="G73" t="inlineStr">
        <is>
          <t>1</t>
        </is>
      </c>
      <c r="H73" t="inlineStr">
        <is>
          <t>No</t>
        </is>
      </c>
      <c r="I73" t="inlineStr">
        <is>
          <t>No</t>
        </is>
      </c>
      <c r="J73" t="inlineStr">
        <is>
          <t>0</t>
        </is>
      </c>
      <c r="K73" t="inlineStr">
        <is>
          <t>Ross, John, 1921-2017.</t>
        </is>
      </c>
      <c r="L73" t="inlineStr">
        <is>
          <t>New York : Free Press ; London : Collier Macmillan Publishers, c1990.</t>
        </is>
      </c>
      <c r="M73" t="inlineStr">
        <is>
          <t>1990</t>
        </is>
      </c>
      <c r="N73" t="inlineStr">
        <is>
          <t>Rev. and expanded ed.</t>
        </is>
      </c>
      <c r="O73" t="inlineStr">
        <is>
          <t>eng</t>
        </is>
      </c>
      <c r="P73" t="inlineStr">
        <is>
          <t>nyu</t>
        </is>
      </c>
      <c r="R73" t="inlineStr">
        <is>
          <t xml:space="preserve">NE </t>
        </is>
      </c>
      <c r="S73" t="n">
        <v>13</v>
      </c>
      <c r="T73" t="n">
        <v>13</v>
      </c>
      <c r="U73" t="inlineStr">
        <is>
          <t>1996-02-20</t>
        </is>
      </c>
      <c r="V73" t="inlineStr">
        <is>
          <t>1996-02-20</t>
        </is>
      </c>
      <c r="W73" t="inlineStr">
        <is>
          <t>1991-05-17</t>
        </is>
      </c>
      <c r="X73" t="inlineStr">
        <is>
          <t>1991-05-17</t>
        </is>
      </c>
      <c r="Y73" t="n">
        <v>1248</v>
      </c>
      <c r="Z73" t="n">
        <v>1095</v>
      </c>
      <c r="AA73" t="n">
        <v>1149</v>
      </c>
      <c r="AB73" t="n">
        <v>7</v>
      </c>
      <c r="AC73" t="n">
        <v>7</v>
      </c>
      <c r="AD73" t="n">
        <v>26</v>
      </c>
      <c r="AE73" t="n">
        <v>26</v>
      </c>
      <c r="AF73" t="n">
        <v>10</v>
      </c>
      <c r="AG73" t="n">
        <v>10</v>
      </c>
      <c r="AH73" t="n">
        <v>3</v>
      </c>
      <c r="AI73" t="n">
        <v>3</v>
      </c>
      <c r="AJ73" t="n">
        <v>12</v>
      </c>
      <c r="AK73" t="n">
        <v>12</v>
      </c>
      <c r="AL73" t="n">
        <v>6</v>
      </c>
      <c r="AM73" t="n">
        <v>6</v>
      </c>
      <c r="AN73" t="n">
        <v>0</v>
      </c>
      <c r="AO73" t="n">
        <v>0</v>
      </c>
      <c r="AP73" t="inlineStr">
        <is>
          <t>No</t>
        </is>
      </c>
      <c r="AQ73" t="inlineStr">
        <is>
          <t>Yes</t>
        </is>
      </c>
      <c r="AR73">
        <f>HYPERLINK("http://catalog.hathitrust.org/Record/008544521","HathiTrust Record")</f>
        <v/>
      </c>
      <c r="AS73">
        <f>HYPERLINK("https://creighton-primo.hosted.exlibrisgroup.com/primo-explore/search?tab=default_tab&amp;search_scope=EVERYTHING&amp;vid=01CRU&amp;lang=en_US&amp;offset=0&amp;query=any,contains,991001512519702656","Catalog Record")</f>
        <v/>
      </c>
      <c r="AT73">
        <f>HYPERLINK("http://www.worldcat.org/oclc/19920115","WorldCat Record")</f>
        <v/>
      </c>
      <c r="AU73" t="inlineStr">
        <is>
          <t>4575169682:eng</t>
        </is>
      </c>
      <c r="AV73" t="inlineStr">
        <is>
          <t>19920115</t>
        </is>
      </c>
      <c r="AW73" t="inlineStr">
        <is>
          <t>991001512519702656</t>
        </is>
      </c>
      <c r="AX73" t="inlineStr">
        <is>
          <t>991001512519702656</t>
        </is>
      </c>
      <c r="AY73" t="inlineStr">
        <is>
          <t>2268954940002656</t>
        </is>
      </c>
      <c r="AZ73" t="inlineStr">
        <is>
          <t>BOOK</t>
        </is>
      </c>
      <c r="BB73" t="inlineStr">
        <is>
          <t>9780029273722</t>
        </is>
      </c>
      <c r="BC73" t="inlineStr">
        <is>
          <t>32285000574177</t>
        </is>
      </c>
      <c r="BD73" t="inlineStr">
        <is>
          <t>893420377</t>
        </is>
      </c>
    </row>
    <row r="74">
      <c r="A74" t="inlineStr">
        <is>
          <t>No</t>
        </is>
      </c>
      <c r="B74" t="inlineStr">
        <is>
          <t>NE850 .S23</t>
        </is>
      </c>
      <c r="C74" t="inlineStr">
        <is>
          <t>0                      NE 0850000S  23</t>
        </is>
      </c>
      <c r="D74" t="inlineStr">
        <is>
          <t>Printmaking : history and process / Donald Saff, Deli Sacilotto.</t>
        </is>
      </c>
      <c r="F74" t="inlineStr">
        <is>
          <t>No</t>
        </is>
      </c>
      <c r="G74" t="inlineStr">
        <is>
          <t>1</t>
        </is>
      </c>
      <c r="H74" t="inlineStr">
        <is>
          <t>No</t>
        </is>
      </c>
      <c r="I74" t="inlineStr">
        <is>
          <t>No</t>
        </is>
      </c>
      <c r="J74" t="inlineStr">
        <is>
          <t>0</t>
        </is>
      </c>
      <c r="K74" t="inlineStr">
        <is>
          <t>Saff, Donald, 1937-</t>
        </is>
      </c>
      <c r="L74" t="inlineStr">
        <is>
          <t>New York : Holt, Rinehart and Winston, c1978.</t>
        </is>
      </c>
      <c r="M74" t="inlineStr">
        <is>
          <t>1978</t>
        </is>
      </c>
      <c r="O74" t="inlineStr">
        <is>
          <t>eng</t>
        </is>
      </c>
      <c r="P74" t="inlineStr">
        <is>
          <t>nyu</t>
        </is>
      </c>
      <c r="R74" t="inlineStr">
        <is>
          <t xml:space="preserve">NE </t>
        </is>
      </c>
      <c r="S74" t="n">
        <v>8</v>
      </c>
      <c r="T74" t="n">
        <v>8</v>
      </c>
      <c r="U74" t="inlineStr">
        <is>
          <t>2007-02-19</t>
        </is>
      </c>
      <c r="V74" t="inlineStr">
        <is>
          <t>2007-02-19</t>
        </is>
      </c>
      <c r="W74" t="inlineStr">
        <is>
          <t>1992-05-14</t>
        </is>
      </c>
      <c r="X74" t="inlineStr">
        <is>
          <t>1992-05-14</t>
        </is>
      </c>
      <c r="Y74" t="n">
        <v>1290</v>
      </c>
      <c r="Z74" t="n">
        <v>1092</v>
      </c>
      <c r="AA74" t="n">
        <v>1128</v>
      </c>
      <c r="AB74" t="n">
        <v>7</v>
      </c>
      <c r="AC74" t="n">
        <v>7</v>
      </c>
      <c r="AD74" t="n">
        <v>35</v>
      </c>
      <c r="AE74" t="n">
        <v>35</v>
      </c>
      <c r="AF74" t="n">
        <v>15</v>
      </c>
      <c r="AG74" t="n">
        <v>15</v>
      </c>
      <c r="AH74" t="n">
        <v>7</v>
      </c>
      <c r="AI74" t="n">
        <v>7</v>
      </c>
      <c r="AJ74" t="n">
        <v>17</v>
      </c>
      <c r="AK74" t="n">
        <v>17</v>
      </c>
      <c r="AL74" t="n">
        <v>5</v>
      </c>
      <c r="AM74" t="n">
        <v>5</v>
      </c>
      <c r="AN74" t="n">
        <v>0</v>
      </c>
      <c r="AO74" t="n">
        <v>0</v>
      </c>
      <c r="AP74" t="inlineStr">
        <is>
          <t>No</t>
        </is>
      </c>
      <c r="AQ74" t="inlineStr">
        <is>
          <t>Yes</t>
        </is>
      </c>
      <c r="AR74">
        <f>HYPERLINK("http://catalog.hathitrust.org/Record/000736995","HathiTrust Record")</f>
        <v/>
      </c>
      <c r="AS74">
        <f>HYPERLINK("https://creighton-primo.hosted.exlibrisgroup.com/primo-explore/search?tab=default_tab&amp;search_scope=EVERYTHING&amp;vid=01CRU&amp;lang=en_US&amp;offset=0&amp;query=any,contains,991004190959702656","Catalog Record")</f>
        <v/>
      </c>
      <c r="AT74">
        <f>HYPERLINK("http://www.worldcat.org/oclc/2632818","WorldCat Record")</f>
        <v/>
      </c>
      <c r="AU74" t="inlineStr">
        <is>
          <t>569914:eng</t>
        </is>
      </c>
      <c r="AV74" t="inlineStr">
        <is>
          <t>2632818</t>
        </is>
      </c>
      <c r="AW74" t="inlineStr">
        <is>
          <t>991004190959702656</t>
        </is>
      </c>
      <c r="AX74" t="inlineStr">
        <is>
          <t>991004190959702656</t>
        </is>
      </c>
      <c r="AY74" t="inlineStr">
        <is>
          <t>2269904910002656</t>
        </is>
      </c>
      <c r="AZ74" t="inlineStr">
        <is>
          <t>BOOK</t>
        </is>
      </c>
      <c r="BB74" t="inlineStr">
        <is>
          <t>9780030421068</t>
        </is>
      </c>
      <c r="BC74" t="inlineStr">
        <is>
          <t>32285001109502</t>
        </is>
      </c>
      <c r="BD74" t="inlineStr">
        <is>
          <t>893325048</t>
        </is>
      </c>
    </row>
    <row r="75">
      <c r="A75" t="inlineStr">
        <is>
          <t>No</t>
        </is>
      </c>
      <c r="B75" t="inlineStr">
        <is>
          <t>NE850 .W53 2003</t>
        </is>
      </c>
      <c r="C75" t="inlineStr">
        <is>
          <t>0                      NE 0850000W  53          2003</t>
        </is>
      </c>
      <c r="D75" t="inlineStr">
        <is>
          <t>Digital printmaking / George Whale &amp; Naren Barfield.</t>
        </is>
      </c>
      <c r="F75" t="inlineStr">
        <is>
          <t>No</t>
        </is>
      </c>
      <c r="G75" t="inlineStr">
        <is>
          <t>1</t>
        </is>
      </c>
      <c r="H75" t="inlineStr">
        <is>
          <t>No</t>
        </is>
      </c>
      <c r="I75" t="inlineStr">
        <is>
          <t>No</t>
        </is>
      </c>
      <c r="J75" t="inlineStr">
        <is>
          <t>0</t>
        </is>
      </c>
      <c r="K75" t="inlineStr">
        <is>
          <t>Whale, George.</t>
        </is>
      </c>
      <c r="L75" t="inlineStr">
        <is>
          <t>New York : Watson-Guptill, 2003.</t>
        </is>
      </c>
      <c r="M75" t="inlineStr">
        <is>
          <t>2003</t>
        </is>
      </c>
      <c r="O75" t="inlineStr">
        <is>
          <t>eng</t>
        </is>
      </c>
      <c r="P75" t="inlineStr">
        <is>
          <t>nyu</t>
        </is>
      </c>
      <c r="Q75" t="inlineStr">
        <is>
          <t>Printmaking handbooks</t>
        </is>
      </c>
      <c r="R75" t="inlineStr">
        <is>
          <t xml:space="preserve">NE </t>
        </is>
      </c>
      <c r="S75" t="n">
        <v>3</v>
      </c>
      <c r="T75" t="n">
        <v>3</v>
      </c>
      <c r="U75" t="inlineStr">
        <is>
          <t>2006-01-04</t>
        </is>
      </c>
      <c r="V75" t="inlineStr">
        <is>
          <t>2006-01-04</t>
        </is>
      </c>
      <c r="W75" t="inlineStr">
        <is>
          <t>2003-09-30</t>
        </is>
      </c>
      <c r="X75" t="inlineStr">
        <is>
          <t>2003-09-30</t>
        </is>
      </c>
      <c r="Y75" t="n">
        <v>380</v>
      </c>
      <c r="Z75" t="n">
        <v>342</v>
      </c>
      <c r="AA75" t="n">
        <v>364</v>
      </c>
      <c r="AB75" t="n">
        <v>3</v>
      </c>
      <c r="AC75" t="n">
        <v>3</v>
      </c>
      <c r="AD75" t="n">
        <v>6</v>
      </c>
      <c r="AE75" t="n">
        <v>7</v>
      </c>
      <c r="AF75" t="n">
        <v>3</v>
      </c>
      <c r="AG75" t="n">
        <v>4</v>
      </c>
      <c r="AH75" t="n">
        <v>1</v>
      </c>
      <c r="AI75" t="n">
        <v>1</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HYPERLINK("https://creighton-primo.hosted.exlibrisgroup.com/primo-explore/search?tab=default_tab&amp;search_scope=EVERYTHING&amp;vid=01CRU&amp;lang=en_US&amp;offset=0&amp;query=any,contains,991004141599702656","Catalog Record")</f>
        <v/>
      </c>
      <c r="AT75">
        <f>HYPERLINK("http://www.worldcat.org/oclc/52426409","WorldCat Record")</f>
        <v/>
      </c>
      <c r="AU75" t="inlineStr">
        <is>
          <t>965405:eng</t>
        </is>
      </c>
      <c r="AV75" t="inlineStr">
        <is>
          <t>52426409</t>
        </is>
      </c>
      <c r="AW75" t="inlineStr">
        <is>
          <t>991004141599702656</t>
        </is>
      </c>
      <c r="AX75" t="inlineStr">
        <is>
          <t>991004141599702656</t>
        </is>
      </c>
      <c r="AY75" t="inlineStr">
        <is>
          <t>2268298620002656</t>
        </is>
      </c>
      <c r="AZ75" t="inlineStr">
        <is>
          <t>BOOK</t>
        </is>
      </c>
      <c r="BB75" t="inlineStr">
        <is>
          <t>9780823013982</t>
        </is>
      </c>
      <c r="BC75" t="inlineStr">
        <is>
          <t>32285004792353</t>
        </is>
      </c>
      <c r="BD75" t="inlineStr">
        <is>
          <t>893235100</t>
        </is>
      </c>
    </row>
    <row r="76">
      <c r="A76" t="inlineStr">
        <is>
          <t>No</t>
        </is>
      </c>
      <c r="B76" t="inlineStr">
        <is>
          <t>NE962.G7 Q3713 1975</t>
        </is>
      </c>
      <c r="C76" t="inlineStr">
        <is>
          <t>0                      NE 0962000G  7                  Q  3713        1975</t>
        </is>
      </c>
      <c r="D76" t="inlineStr">
        <is>
          <t>The Waking dream : fantasy and the surreal in graphic art, 1450-1900 / introd. and commentaries by Edward Lucie-Smith ; notes on the plates by Aline Jacquiot ; [translated from the French by Nicholas Fry].</t>
        </is>
      </c>
      <c r="F76" t="inlineStr">
        <is>
          <t>No</t>
        </is>
      </c>
      <c r="G76" t="inlineStr">
        <is>
          <t>1</t>
        </is>
      </c>
      <c r="H76" t="inlineStr">
        <is>
          <t>No</t>
        </is>
      </c>
      <c r="I76" t="inlineStr">
        <is>
          <t>No</t>
        </is>
      </c>
      <c r="J76" t="inlineStr">
        <is>
          <t>0</t>
        </is>
      </c>
      <c r="K76" t="inlineStr">
        <is>
          <t>Quatre siècles de surréalisme. English.</t>
        </is>
      </c>
      <c r="L76" t="inlineStr">
        <is>
          <t>New York : Knopf, 1975.</t>
        </is>
      </c>
      <c r="M76" t="inlineStr">
        <is>
          <t>1975</t>
        </is>
      </c>
      <c r="N76" t="inlineStr">
        <is>
          <t>1st American ed.</t>
        </is>
      </c>
      <c r="O76" t="inlineStr">
        <is>
          <t>eng</t>
        </is>
      </c>
      <c r="P76" t="inlineStr">
        <is>
          <t>nyu</t>
        </is>
      </c>
      <c r="R76" t="inlineStr">
        <is>
          <t xml:space="preserve">NE </t>
        </is>
      </c>
      <c r="S76" t="n">
        <v>3</v>
      </c>
      <c r="T76" t="n">
        <v>3</v>
      </c>
      <c r="U76" t="inlineStr">
        <is>
          <t>1993-12-01</t>
        </is>
      </c>
      <c r="V76" t="inlineStr">
        <is>
          <t>1993-12-01</t>
        </is>
      </c>
      <c r="W76" t="inlineStr">
        <is>
          <t>1993-10-28</t>
        </is>
      </c>
      <c r="X76" t="inlineStr">
        <is>
          <t>1993-10-28</t>
        </is>
      </c>
      <c r="Y76" t="n">
        <v>521</v>
      </c>
      <c r="Z76" t="n">
        <v>464</v>
      </c>
      <c r="AA76" t="n">
        <v>482</v>
      </c>
      <c r="AB76" t="n">
        <v>4</v>
      </c>
      <c r="AC76" t="n">
        <v>5</v>
      </c>
      <c r="AD76" t="n">
        <v>15</v>
      </c>
      <c r="AE76" t="n">
        <v>16</v>
      </c>
      <c r="AF76" t="n">
        <v>5</v>
      </c>
      <c r="AG76" t="n">
        <v>5</v>
      </c>
      <c r="AH76" t="n">
        <v>4</v>
      </c>
      <c r="AI76" t="n">
        <v>4</v>
      </c>
      <c r="AJ76" t="n">
        <v>7</v>
      </c>
      <c r="AK76" t="n">
        <v>7</v>
      </c>
      <c r="AL76" t="n">
        <v>2</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HYPERLINK("https://creighton-primo.hosted.exlibrisgroup.com/primo-explore/search?tab=default_tab&amp;search_scope=EVERYTHING&amp;vid=01CRU&amp;lang=en_US&amp;offset=0&amp;query=any,contains,991003715389702656","Catalog Record")</f>
        <v/>
      </c>
      <c r="AT76">
        <f>HYPERLINK("http://www.worldcat.org/oclc/1359633","WorldCat Record")</f>
        <v/>
      </c>
      <c r="AU76" t="inlineStr">
        <is>
          <t>8868002636:eng</t>
        </is>
      </c>
      <c r="AV76" t="inlineStr">
        <is>
          <t>1359633</t>
        </is>
      </c>
      <c r="AW76" t="inlineStr">
        <is>
          <t>991003715389702656</t>
        </is>
      </c>
      <c r="AX76" t="inlineStr">
        <is>
          <t>991003715389702656</t>
        </is>
      </c>
      <c r="AY76" t="inlineStr">
        <is>
          <t>2268830990002656</t>
        </is>
      </c>
      <c r="AZ76" t="inlineStr">
        <is>
          <t>BOOK</t>
        </is>
      </c>
      <c r="BB76" t="inlineStr">
        <is>
          <t>9780394497587</t>
        </is>
      </c>
      <c r="BC76" t="inlineStr">
        <is>
          <t>32285001795383</t>
        </is>
      </c>
      <c r="BD76" t="inlineStr">
        <is>
          <t>893246664</t>
        </is>
      </c>
    </row>
    <row r="77">
      <c r="A77" t="inlineStr">
        <is>
          <t>No</t>
        </is>
      </c>
      <c r="B77" t="inlineStr">
        <is>
          <t>NK1068 .J593 2008</t>
        </is>
      </c>
      <c r="C77" t="inlineStr">
        <is>
          <t>0                      NK 1068000J  593         2008</t>
        </is>
      </c>
      <c r="D77" t="inlineStr">
        <is>
          <t>Elegance of the Qing court : reflections of a dynasty through its art / Fang Jing Pei, Wang Peihuan, and Judith Rutherford.</t>
        </is>
      </c>
      <c r="F77" t="inlineStr">
        <is>
          <t>No</t>
        </is>
      </c>
      <c r="G77" t="inlineStr">
        <is>
          <t>1</t>
        </is>
      </c>
      <c r="H77" t="inlineStr">
        <is>
          <t>No</t>
        </is>
      </c>
      <c r="I77" t="inlineStr">
        <is>
          <t>No</t>
        </is>
      </c>
      <c r="J77" t="inlineStr">
        <is>
          <t>0</t>
        </is>
      </c>
      <c r="K77" t="inlineStr">
        <is>
          <t>Joslyn Art Museum.</t>
        </is>
      </c>
      <c r="L77" t="inlineStr">
        <is>
          <t>Omaha, Neb. : Joslyn Art Museum, 2008.</t>
        </is>
      </c>
      <c r="M77" t="inlineStr">
        <is>
          <t>2008</t>
        </is>
      </c>
      <c r="O77" t="inlineStr">
        <is>
          <t>eng</t>
        </is>
      </c>
      <c r="P77" t="inlineStr">
        <is>
          <t>nbu</t>
        </is>
      </c>
      <c r="R77" t="inlineStr">
        <is>
          <t xml:space="preserve">NK </t>
        </is>
      </c>
      <c r="S77" t="n">
        <v>2</v>
      </c>
      <c r="T77" t="n">
        <v>2</v>
      </c>
      <c r="U77" t="inlineStr">
        <is>
          <t>2008-06-16</t>
        </is>
      </c>
      <c r="V77" t="inlineStr">
        <is>
          <t>2008-06-16</t>
        </is>
      </c>
      <c r="W77" t="inlineStr">
        <is>
          <t>2008-06-16</t>
        </is>
      </c>
      <c r="X77" t="inlineStr">
        <is>
          <t>2008-06-16</t>
        </is>
      </c>
      <c r="Y77" t="n">
        <v>34</v>
      </c>
      <c r="Z77" t="n">
        <v>29</v>
      </c>
      <c r="AA77" t="n">
        <v>30</v>
      </c>
      <c r="AB77" t="n">
        <v>2</v>
      </c>
      <c r="AC77" t="n">
        <v>2</v>
      </c>
      <c r="AD77" t="n">
        <v>1</v>
      </c>
      <c r="AE77" t="n">
        <v>1</v>
      </c>
      <c r="AF77" t="n">
        <v>0</v>
      </c>
      <c r="AG77" t="n">
        <v>0</v>
      </c>
      <c r="AH77" t="n">
        <v>1</v>
      </c>
      <c r="AI77" t="n">
        <v>1</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HYPERLINK("https://creighton-primo.hosted.exlibrisgroup.com/primo-explore/search?tab=default_tab&amp;search_scope=EVERYTHING&amp;vid=01CRU&amp;lang=en_US&amp;offset=0&amp;query=any,contains,991005232489702656","Catalog Record")</f>
        <v/>
      </c>
      <c r="AT77">
        <f>HYPERLINK("http://www.worldcat.org/oclc/191847038","WorldCat Record")</f>
        <v/>
      </c>
      <c r="AU77" t="inlineStr">
        <is>
          <t>941232610:eng</t>
        </is>
      </c>
      <c r="AV77" t="inlineStr">
        <is>
          <t>191847038</t>
        </is>
      </c>
      <c r="AW77" t="inlineStr">
        <is>
          <t>991005232489702656</t>
        </is>
      </c>
      <c r="AX77" t="inlineStr">
        <is>
          <t>991005232489702656</t>
        </is>
      </c>
      <c r="AY77" t="inlineStr">
        <is>
          <t>2271040590002656</t>
        </is>
      </c>
      <c r="AZ77" t="inlineStr">
        <is>
          <t>BOOK</t>
        </is>
      </c>
      <c r="BB77" t="inlineStr">
        <is>
          <t>9780936364353</t>
        </is>
      </c>
      <c r="BC77" t="inlineStr">
        <is>
          <t>32285005445944</t>
        </is>
      </c>
      <c r="BD77" t="inlineStr">
        <is>
          <t>893254690</t>
        </is>
      </c>
    </row>
    <row r="78">
      <c r="A78" t="inlineStr">
        <is>
          <t>No</t>
        </is>
      </c>
      <c r="B78" t="inlineStr">
        <is>
          <t>NK1071 .J375 2001</t>
        </is>
      </c>
      <c r="C78" t="inlineStr">
        <is>
          <t>0                      NK 1071000J  375         2001</t>
        </is>
      </c>
      <c r="D78" t="inlineStr">
        <is>
          <t>Japanese crafts : a complete guide to today's traditional handmade objects / the Japan Craft Forum ; introduction by Diane Durston.</t>
        </is>
      </c>
      <c r="F78" t="inlineStr">
        <is>
          <t>No</t>
        </is>
      </c>
      <c r="G78" t="inlineStr">
        <is>
          <t>1</t>
        </is>
      </c>
      <c r="H78" t="inlineStr">
        <is>
          <t>No</t>
        </is>
      </c>
      <c r="I78" t="inlineStr">
        <is>
          <t>No</t>
        </is>
      </c>
      <c r="J78" t="inlineStr">
        <is>
          <t>0</t>
        </is>
      </c>
      <c r="L78" t="inlineStr">
        <is>
          <t>Tōkyō : Kōdansha Intānashonaru, 2001.</t>
        </is>
      </c>
      <c r="M78" t="inlineStr">
        <is>
          <t>2001</t>
        </is>
      </c>
      <c r="N78" t="inlineStr">
        <is>
          <t>1st pbk. ed.</t>
        </is>
      </c>
      <c r="O78" t="inlineStr">
        <is>
          <t>eng</t>
        </is>
      </c>
      <c r="P78" t="inlineStr">
        <is>
          <t xml:space="preserve">ja </t>
        </is>
      </c>
      <c r="R78" t="inlineStr">
        <is>
          <t xml:space="preserve">NK </t>
        </is>
      </c>
      <c r="S78" t="n">
        <v>1</v>
      </c>
      <c r="T78" t="n">
        <v>1</v>
      </c>
      <c r="U78" t="inlineStr">
        <is>
          <t>2002-11-19</t>
        </is>
      </c>
      <c r="V78" t="inlineStr">
        <is>
          <t>2002-11-19</t>
        </is>
      </c>
      <c r="W78" t="inlineStr">
        <is>
          <t>2002-11-19</t>
        </is>
      </c>
      <c r="X78" t="inlineStr">
        <is>
          <t>2002-11-19</t>
        </is>
      </c>
      <c r="Y78" t="n">
        <v>130</v>
      </c>
      <c r="Z78" t="n">
        <v>88</v>
      </c>
      <c r="AA78" t="n">
        <v>89</v>
      </c>
      <c r="AB78" t="n">
        <v>2</v>
      </c>
      <c r="AC78" t="n">
        <v>2</v>
      </c>
      <c r="AD78" t="n">
        <v>4</v>
      </c>
      <c r="AE78" t="n">
        <v>4</v>
      </c>
      <c r="AF78" t="n">
        <v>0</v>
      </c>
      <c r="AG78" t="n">
        <v>0</v>
      </c>
      <c r="AH78" t="n">
        <v>1</v>
      </c>
      <c r="AI78" t="n">
        <v>1</v>
      </c>
      <c r="AJ78" t="n">
        <v>2</v>
      </c>
      <c r="AK78" t="n">
        <v>2</v>
      </c>
      <c r="AL78" t="n">
        <v>1</v>
      </c>
      <c r="AM78" t="n">
        <v>1</v>
      </c>
      <c r="AN78" t="n">
        <v>0</v>
      </c>
      <c r="AO78" t="n">
        <v>0</v>
      </c>
      <c r="AP78" t="inlineStr">
        <is>
          <t>No</t>
        </is>
      </c>
      <c r="AQ78" t="inlineStr">
        <is>
          <t>Yes</t>
        </is>
      </c>
      <c r="AR78">
        <f>HYPERLINK("http://catalog.hathitrust.org/Record/004207908","HathiTrust Record")</f>
        <v/>
      </c>
      <c r="AS78">
        <f>HYPERLINK("https://creighton-primo.hosted.exlibrisgroup.com/primo-explore/search?tab=default_tab&amp;search_scope=EVERYTHING&amp;vid=01CRU&amp;lang=en_US&amp;offset=0&amp;query=any,contains,991003947129702656","Catalog Record")</f>
        <v/>
      </c>
      <c r="AT78">
        <f>HYPERLINK("http://www.worldcat.org/oclc/47982908","WorldCat Record")</f>
        <v/>
      </c>
      <c r="AU78" t="inlineStr">
        <is>
          <t>3858898034:eng</t>
        </is>
      </c>
      <c r="AV78" t="inlineStr">
        <is>
          <t>47982908</t>
        </is>
      </c>
      <c r="AW78" t="inlineStr">
        <is>
          <t>991003947129702656</t>
        </is>
      </c>
      <c r="AX78" t="inlineStr">
        <is>
          <t>991003947129702656</t>
        </is>
      </c>
      <c r="AY78" t="inlineStr">
        <is>
          <t>2270791060002656</t>
        </is>
      </c>
      <c r="AZ78" t="inlineStr">
        <is>
          <t>BOOK</t>
        </is>
      </c>
      <c r="BB78" t="inlineStr">
        <is>
          <t>9784770027344</t>
        </is>
      </c>
      <c r="BC78" t="inlineStr">
        <is>
          <t>32285004664677</t>
        </is>
      </c>
      <c r="BD78" t="inlineStr">
        <is>
          <t>893435697</t>
        </is>
      </c>
    </row>
    <row r="79">
      <c r="A79" t="inlineStr">
        <is>
          <t>No</t>
        </is>
      </c>
      <c r="B79" t="inlineStr">
        <is>
          <t>NK1071 .M66 1985</t>
        </is>
      </c>
      <c r="C79" t="inlineStr">
        <is>
          <t>0                      NK 1071000M  66          1985</t>
        </is>
      </c>
      <c r="D79" t="inlineStr">
        <is>
          <t>Mingei : Japanese folk art from the Brooklyn Museum collection / Robert Moes ; Ainu section by Anne Pike Tay.</t>
        </is>
      </c>
      <c r="F79" t="inlineStr">
        <is>
          <t>No</t>
        </is>
      </c>
      <c r="G79" t="inlineStr">
        <is>
          <t>1</t>
        </is>
      </c>
      <c r="H79" t="inlineStr">
        <is>
          <t>No</t>
        </is>
      </c>
      <c r="I79" t="inlineStr">
        <is>
          <t>No</t>
        </is>
      </c>
      <c r="J79" t="inlineStr">
        <is>
          <t>0</t>
        </is>
      </c>
      <c r="K79" t="inlineStr">
        <is>
          <t>Moes, Robert.</t>
        </is>
      </c>
      <c r="L79" t="inlineStr">
        <is>
          <t>New York : Universe Books, 1985.</t>
        </is>
      </c>
      <c r="M79" t="inlineStr">
        <is>
          <t>1985</t>
        </is>
      </c>
      <c r="O79" t="inlineStr">
        <is>
          <t>eng</t>
        </is>
      </c>
      <c r="P79" t="inlineStr">
        <is>
          <t>nyu</t>
        </is>
      </c>
      <c r="R79" t="inlineStr">
        <is>
          <t xml:space="preserve">NK </t>
        </is>
      </c>
      <c r="S79" t="n">
        <v>1</v>
      </c>
      <c r="T79" t="n">
        <v>1</v>
      </c>
      <c r="U79" t="inlineStr">
        <is>
          <t>2007-02-01</t>
        </is>
      </c>
      <c r="V79" t="inlineStr">
        <is>
          <t>2007-02-01</t>
        </is>
      </c>
      <c r="W79" t="inlineStr">
        <is>
          <t>2007-02-01</t>
        </is>
      </c>
      <c r="X79" t="inlineStr">
        <is>
          <t>2007-02-01</t>
        </is>
      </c>
      <c r="Y79" t="n">
        <v>421</v>
      </c>
      <c r="Z79" t="n">
        <v>350</v>
      </c>
      <c r="AA79" t="n">
        <v>352</v>
      </c>
      <c r="AB79" t="n">
        <v>3</v>
      </c>
      <c r="AC79" t="n">
        <v>3</v>
      </c>
      <c r="AD79" t="n">
        <v>11</v>
      </c>
      <c r="AE79" t="n">
        <v>11</v>
      </c>
      <c r="AF79" t="n">
        <v>5</v>
      </c>
      <c r="AG79" t="n">
        <v>5</v>
      </c>
      <c r="AH79" t="n">
        <v>3</v>
      </c>
      <c r="AI79" t="n">
        <v>3</v>
      </c>
      <c r="AJ79" t="n">
        <v>6</v>
      </c>
      <c r="AK79" t="n">
        <v>6</v>
      </c>
      <c r="AL79" t="n">
        <v>1</v>
      </c>
      <c r="AM79" t="n">
        <v>1</v>
      </c>
      <c r="AN79" t="n">
        <v>0</v>
      </c>
      <c r="AO79" t="n">
        <v>0</v>
      </c>
      <c r="AP79" t="inlineStr">
        <is>
          <t>No</t>
        </is>
      </c>
      <c r="AQ79" t="inlineStr">
        <is>
          <t>Yes</t>
        </is>
      </c>
      <c r="AR79">
        <f>HYPERLINK("http://catalog.hathitrust.org/Record/000394830","HathiTrust Record")</f>
        <v/>
      </c>
      <c r="AS79">
        <f>HYPERLINK("https://creighton-primo.hosted.exlibrisgroup.com/primo-explore/search?tab=default_tab&amp;search_scope=EVERYTHING&amp;vid=01CRU&amp;lang=en_US&amp;offset=0&amp;query=any,contains,991005008459702656","Catalog Record")</f>
        <v/>
      </c>
      <c r="AT79">
        <f>HYPERLINK("http://www.worldcat.org/oclc/11972403","WorldCat Record")</f>
        <v/>
      </c>
      <c r="AU79" t="inlineStr">
        <is>
          <t>500483165:eng</t>
        </is>
      </c>
      <c r="AV79" t="inlineStr">
        <is>
          <t>11972403</t>
        </is>
      </c>
      <c r="AW79" t="inlineStr">
        <is>
          <t>991005008459702656</t>
        </is>
      </c>
      <c r="AX79" t="inlineStr">
        <is>
          <t>991005008459702656</t>
        </is>
      </c>
      <c r="AY79" t="inlineStr">
        <is>
          <t>2255756260002656</t>
        </is>
      </c>
      <c r="AZ79" t="inlineStr">
        <is>
          <t>BOOK</t>
        </is>
      </c>
      <c r="BB79" t="inlineStr">
        <is>
          <t>9780876634813</t>
        </is>
      </c>
      <c r="BC79" t="inlineStr">
        <is>
          <t>32285005274484</t>
        </is>
      </c>
      <c r="BD79" t="inlineStr">
        <is>
          <t>893536306</t>
        </is>
      </c>
    </row>
    <row r="80">
      <c r="A80" t="inlineStr">
        <is>
          <t>No</t>
        </is>
      </c>
      <c r="B80" t="inlineStr">
        <is>
          <t>NK1071 .Y34 1972</t>
        </is>
      </c>
      <c r="C80" t="inlineStr">
        <is>
          <t>0                      NK 1071000Y  34          1972</t>
        </is>
      </c>
      <c r="D80" t="inlineStr">
        <is>
          <t>The unknown craftsman : a Japanese insight into beauty / [by] Sōetsu Yanagi. Adapted by Bernard Leach. Foreword by Shōji Hamada.</t>
        </is>
      </c>
      <c r="F80" t="inlineStr">
        <is>
          <t>No</t>
        </is>
      </c>
      <c r="G80" t="inlineStr">
        <is>
          <t>1</t>
        </is>
      </c>
      <c r="H80" t="inlineStr">
        <is>
          <t>No</t>
        </is>
      </c>
      <c r="I80" t="inlineStr">
        <is>
          <t>No</t>
        </is>
      </c>
      <c r="J80" t="inlineStr">
        <is>
          <t>0</t>
        </is>
      </c>
      <c r="K80" t="inlineStr">
        <is>
          <t>Yanagi, Muneyoshi, 1889-1961.</t>
        </is>
      </c>
      <c r="L80" t="inlineStr">
        <is>
          <t>Tokyo ; Palo Alto, Calif.] : Kodansha International, [1972]</t>
        </is>
      </c>
      <c r="M80" t="inlineStr">
        <is>
          <t>1972</t>
        </is>
      </c>
      <c r="N80" t="inlineStr">
        <is>
          <t>[1st ed.</t>
        </is>
      </c>
      <c r="O80" t="inlineStr">
        <is>
          <t>eng</t>
        </is>
      </c>
      <c r="P80" t="inlineStr">
        <is>
          <t xml:space="preserve">ja </t>
        </is>
      </c>
      <c r="R80" t="inlineStr">
        <is>
          <t xml:space="preserve">NK </t>
        </is>
      </c>
      <c r="S80" t="n">
        <v>2</v>
      </c>
      <c r="T80" t="n">
        <v>2</v>
      </c>
      <c r="U80" t="inlineStr">
        <is>
          <t>2007-04-27</t>
        </is>
      </c>
      <c r="V80" t="inlineStr">
        <is>
          <t>2007-04-27</t>
        </is>
      </c>
      <c r="W80" t="inlineStr">
        <is>
          <t>1993-07-01</t>
        </is>
      </c>
      <c r="X80" t="inlineStr">
        <is>
          <t>1993-07-01</t>
        </is>
      </c>
      <c r="Y80" t="n">
        <v>594</v>
      </c>
      <c r="Z80" t="n">
        <v>472</v>
      </c>
      <c r="AA80" t="n">
        <v>919</v>
      </c>
      <c r="AB80" t="n">
        <v>3</v>
      </c>
      <c r="AC80" t="n">
        <v>6</v>
      </c>
      <c r="AD80" t="n">
        <v>10</v>
      </c>
      <c r="AE80" t="n">
        <v>25</v>
      </c>
      <c r="AF80" t="n">
        <v>3</v>
      </c>
      <c r="AG80" t="n">
        <v>9</v>
      </c>
      <c r="AH80" t="n">
        <v>3</v>
      </c>
      <c r="AI80" t="n">
        <v>6</v>
      </c>
      <c r="AJ80" t="n">
        <v>4</v>
      </c>
      <c r="AK80" t="n">
        <v>11</v>
      </c>
      <c r="AL80" t="n">
        <v>2</v>
      </c>
      <c r="AM80" t="n">
        <v>4</v>
      </c>
      <c r="AN80" t="n">
        <v>0</v>
      </c>
      <c r="AO80" t="n">
        <v>0</v>
      </c>
      <c r="AP80" t="inlineStr">
        <is>
          <t>No</t>
        </is>
      </c>
      <c r="AQ80" t="inlineStr">
        <is>
          <t>Yes</t>
        </is>
      </c>
      <c r="AR80">
        <f>HYPERLINK("http://catalog.hathitrust.org/Record/001470711","HathiTrust Record")</f>
        <v/>
      </c>
      <c r="AS80">
        <f>HYPERLINK("https://creighton-primo.hosted.exlibrisgroup.com/primo-explore/search?tab=default_tab&amp;search_scope=EVERYTHING&amp;vid=01CRU&amp;lang=en_US&amp;offset=0&amp;query=any,contains,991002909379702656","Catalog Record")</f>
        <v/>
      </c>
      <c r="AT80">
        <f>HYPERLINK("http://www.worldcat.org/oclc/520946","WorldCat Record")</f>
        <v/>
      </c>
      <c r="AU80" t="inlineStr">
        <is>
          <t>4915169147:eng</t>
        </is>
      </c>
      <c r="AV80" t="inlineStr">
        <is>
          <t>520946</t>
        </is>
      </c>
      <c r="AW80" t="inlineStr">
        <is>
          <t>991002909379702656</t>
        </is>
      </c>
      <c r="AX80" t="inlineStr">
        <is>
          <t>991002909379702656</t>
        </is>
      </c>
      <c r="AY80" t="inlineStr">
        <is>
          <t>2268140140002656</t>
        </is>
      </c>
      <c r="AZ80" t="inlineStr">
        <is>
          <t>BOOK</t>
        </is>
      </c>
      <c r="BB80" t="inlineStr">
        <is>
          <t>9780870111846</t>
        </is>
      </c>
      <c r="BC80" t="inlineStr">
        <is>
          <t>32285001699478</t>
        </is>
      </c>
      <c r="BD80" t="inlineStr">
        <is>
          <t>893233589</t>
        </is>
      </c>
    </row>
    <row r="81">
      <c r="A81" t="inlineStr">
        <is>
          <t>No</t>
        </is>
      </c>
      <c r="B81" t="inlineStr">
        <is>
          <t>NK1081.7.A1 I73 2005</t>
        </is>
      </c>
      <c r="C81" t="inlineStr">
        <is>
          <t>0                      NK 1081700A  1                  I  73          2005</t>
        </is>
      </c>
      <c r="D81" t="inlineStr">
        <is>
          <t>Art in the service of colonialism : French art education in Morocco, 1912-1956 / Hamid Irbouh.</t>
        </is>
      </c>
      <c r="F81" t="inlineStr">
        <is>
          <t>No</t>
        </is>
      </c>
      <c r="G81" t="inlineStr">
        <is>
          <t>1</t>
        </is>
      </c>
      <c r="H81" t="inlineStr">
        <is>
          <t>No</t>
        </is>
      </c>
      <c r="I81" t="inlineStr">
        <is>
          <t>No</t>
        </is>
      </c>
      <c r="J81" t="inlineStr">
        <is>
          <t>0</t>
        </is>
      </c>
      <c r="K81" t="inlineStr">
        <is>
          <t>Irbouh, Hamid.</t>
        </is>
      </c>
      <c r="L81" t="inlineStr">
        <is>
          <t>London ; New York : Tauris Academic Studies ; New York : Distributed in the U.S. by St. Martin's Press, 2005.</t>
        </is>
      </c>
      <c r="M81" t="inlineStr">
        <is>
          <t>2005</t>
        </is>
      </c>
      <c r="O81" t="inlineStr">
        <is>
          <t>eng</t>
        </is>
      </c>
      <c r="P81" t="inlineStr">
        <is>
          <t>enk</t>
        </is>
      </c>
      <c r="Q81" t="inlineStr">
        <is>
          <t>International library of colonial history ; 2</t>
        </is>
      </c>
      <c r="R81" t="inlineStr">
        <is>
          <t xml:space="preserve">NK </t>
        </is>
      </c>
      <c r="S81" t="n">
        <v>1</v>
      </c>
      <c r="T81" t="n">
        <v>1</v>
      </c>
      <c r="U81" t="inlineStr">
        <is>
          <t>2006-04-20</t>
        </is>
      </c>
      <c r="V81" t="inlineStr">
        <is>
          <t>2006-04-20</t>
        </is>
      </c>
      <c r="W81" t="inlineStr">
        <is>
          <t>2006-04-20</t>
        </is>
      </c>
      <c r="X81" t="inlineStr">
        <is>
          <t>2006-04-20</t>
        </is>
      </c>
      <c r="Y81" t="n">
        <v>158</v>
      </c>
      <c r="Z81" t="n">
        <v>119</v>
      </c>
      <c r="AA81" t="n">
        <v>257</v>
      </c>
      <c r="AB81" t="n">
        <v>2</v>
      </c>
      <c r="AC81" t="n">
        <v>3</v>
      </c>
      <c r="AD81" t="n">
        <v>6</v>
      </c>
      <c r="AE81" t="n">
        <v>11</v>
      </c>
      <c r="AF81" t="n">
        <v>1</v>
      </c>
      <c r="AG81" t="n">
        <v>2</v>
      </c>
      <c r="AH81" t="n">
        <v>2</v>
      </c>
      <c r="AI81" t="n">
        <v>5</v>
      </c>
      <c r="AJ81" t="n">
        <v>5</v>
      </c>
      <c r="AK81" t="n">
        <v>6</v>
      </c>
      <c r="AL81" t="n">
        <v>1</v>
      </c>
      <c r="AM81" t="n">
        <v>2</v>
      </c>
      <c r="AN81" t="n">
        <v>0</v>
      </c>
      <c r="AO81" t="n">
        <v>0</v>
      </c>
      <c r="AP81" t="inlineStr">
        <is>
          <t>No</t>
        </is>
      </c>
      <c r="AQ81" t="inlineStr">
        <is>
          <t>No</t>
        </is>
      </c>
      <c r="AS81">
        <f>HYPERLINK("https://creighton-primo.hosted.exlibrisgroup.com/primo-explore/search?tab=default_tab&amp;search_scope=EVERYTHING&amp;vid=01CRU&amp;lang=en_US&amp;offset=0&amp;query=any,contains,991004792699702656","Catalog Record")</f>
        <v/>
      </c>
      <c r="AT81">
        <f>HYPERLINK("http://www.worldcat.org/oclc/57167650","WorldCat Record")</f>
        <v/>
      </c>
      <c r="AU81" t="inlineStr">
        <is>
          <t>14538647:eng</t>
        </is>
      </c>
      <c r="AV81" t="inlineStr">
        <is>
          <t>57167650</t>
        </is>
      </c>
      <c r="AW81" t="inlineStr">
        <is>
          <t>991004792699702656</t>
        </is>
      </c>
      <c r="AX81" t="inlineStr">
        <is>
          <t>991004792699702656</t>
        </is>
      </c>
      <c r="AY81" t="inlineStr">
        <is>
          <t>2272403920002656</t>
        </is>
      </c>
      <c r="AZ81" t="inlineStr">
        <is>
          <t>BOOK</t>
        </is>
      </c>
      <c r="BB81" t="inlineStr">
        <is>
          <t>9781850438519</t>
        </is>
      </c>
      <c r="BC81" t="inlineStr">
        <is>
          <t>32285005064307</t>
        </is>
      </c>
      <c r="BD81" t="inlineStr">
        <is>
          <t>893776455</t>
        </is>
      </c>
    </row>
    <row r="82">
      <c r="A82" t="inlineStr">
        <is>
          <t>No</t>
        </is>
      </c>
      <c r="B82" t="inlineStr">
        <is>
          <t>NK1125 .D43</t>
        </is>
      </c>
      <c r="C82" t="inlineStr">
        <is>
          <t>0                      NK 1125000D  43</t>
        </is>
      </c>
      <c r="D82" t="inlineStr">
        <is>
          <t>Soda pop; the history, advertising, art, and memorabilia of soft drinks in America.</t>
        </is>
      </c>
      <c r="F82" t="inlineStr">
        <is>
          <t>No</t>
        </is>
      </c>
      <c r="G82" t="inlineStr">
        <is>
          <t>1</t>
        </is>
      </c>
      <c r="H82" t="inlineStr">
        <is>
          <t>No</t>
        </is>
      </c>
      <c r="I82" t="inlineStr">
        <is>
          <t>No</t>
        </is>
      </c>
      <c r="J82" t="inlineStr">
        <is>
          <t>0</t>
        </is>
      </c>
      <c r="K82" t="inlineStr">
        <is>
          <t>Dietz, Lawrence.</t>
        </is>
      </c>
      <c r="L82" t="inlineStr">
        <is>
          <t>[New York] Simon and Schuster [1973]</t>
        </is>
      </c>
      <c r="M82" t="inlineStr">
        <is>
          <t>1973</t>
        </is>
      </c>
      <c r="O82" t="inlineStr">
        <is>
          <t>eng</t>
        </is>
      </c>
      <c r="P82" t="inlineStr">
        <is>
          <t>nyu</t>
        </is>
      </c>
      <c r="R82" t="inlineStr">
        <is>
          <t xml:space="preserve">NK </t>
        </is>
      </c>
      <c r="S82" t="n">
        <v>8</v>
      </c>
      <c r="T82" t="n">
        <v>8</v>
      </c>
      <c r="U82" t="inlineStr">
        <is>
          <t>2009-03-30</t>
        </is>
      </c>
      <c r="V82" t="inlineStr">
        <is>
          <t>2009-03-30</t>
        </is>
      </c>
      <c r="W82" t="inlineStr">
        <is>
          <t>1997-08-07</t>
        </is>
      </c>
      <c r="X82" t="inlineStr">
        <is>
          <t>1997-08-07</t>
        </is>
      </c>
      <c r="Y82" t="n">
        <v>508</v>
      </c>
      <c r="Z82" t="n">
        <v>476</v>
      </c>
      <c r="AA82" t="n">
        <v>483</v>
      </c>
      <c r="AB82" t="n">
        <v>5</v>
      </c>
      <c r="AC82" t="n">
        <v>5</v>
      </c>
      <c r="AD82" t="n">
        <v>5</v>
      </c>
      <c r="AE82" t="n">
        <v>5</v>
      </c>
      <c r="AF82" t="n">
        <v>0</v>
      </c>
      <c r="AG82" t="n">
        <v>0</v>
      </c>
      <c r="AH82" t="n">
        <v>1</v>
      </c>
      <c r="AI82" t="n">
        <v>1</v>
      </c>
      <c r="AJ82" t="n">
        <v>3</v>
      </c>
      <c r="AK82" t="n">
        <v>3</v>
      </c>
      <c r="AL82" t="n">
        <v>2</v>
      </c>
      <c r="AM82" t="n">
        <v>2</v>
      </c>
      <c r="AN82" t="n">
        <v>0</v>
      </c>
      <c r="AO82" t="n">
        <v>0</v>
      </c>
      <c r="AP82" t="inlineStr">
        <is>
          <t>No</t>
        </is>
      </c>
      <c r="AQ82" t="inlineStr">
        <is>
          <t>Yes</t>
        </is>
      </c>
      <c r="AR82">
        <f>HYPERLINK("http://catalog.hathitrust.org/Record/007806780","HathiTrust Record")</f>
        <v/>
      </c>
      <c r="AS82">
        <f>HYPERLINK("https://creighton-primo.hosted.exlibrisgroup.com/primo-explore/search?tab=default_tab&amp;search_scope=EVERYTHING&amp;vid=01CRU&amp;lang=en_US&amp;offset=0&amp;query=any,contains,991005357469702656","Catalog Record")</f>
        <v/>
      </c>
      <c r="AT82">
        <f>HYPERLINK("http://www.worldcat.org/oclc/985115","WorldCat Record")</f>
        <v/>
      </c>
      <c r="AU82" t="inlineStr">
        <is>
          <t>1955606:eng</t>
        </is>
      </c>
      <c r="AV82" t="inlineStr">
        <is>
          <t>985115</t>
        </is>
      </c>
      <c r="AW82" t="inlineStr">
        <is>
          <t>991005357469702656</t>
        </is>
      </c>
      <c r="AX82" t="inlineStr">
        <is>
          <t>991005357469702656</t>
        </is>
      </c>
      <c r="AY82" t="inlineStr">
        <is>
          <t>2271697130002656</t>
        </is>
      </c>
      <c r="AZ82" t="inlineStr">
        <is>
          <t>BOOK</t>
        </is>
      </c>
      <c r="BB82" t="inlineStr">
        <is>
          <t>9780671214425</t>
        </is>
      </c>
      <c r="BC82" t="inlineStr">
        <is>
          <t>32285003047072</t>
        </is>
      </c>
      <c r="BD82" t="inlineStr">
        <is>
          <t>893425016</t>
        </is>
      </c>
    </row>
    <row r="83">
      <c r="A83" t="inlineStr">
        <is>
          <t>No</t>
        </is>
      </c>
      <c r="B83" t="inlineStr">
        <is>
          <t>NK1142 .S7 1985</t>
        </is>
      </c>
      <c r="C83" t="inlineStr">
        <is>
          <t>0                      NK 1142000S  7           1985</t>
        </is>
      </c>
      <c r="D83" t="inlineStr">
        <is>
          <t>Redesigning the world : William Morris, the 1880s, and the Arts and Crafts / Peter Stansky.</t>
        </is>
      </c>
      <c r="F83" t="inlineStr">
        <is>
          <t>No</t>
        </is>
      </c>
      <c r="G83" t="inlineStr">
        <is>
          <t>1</t>
        </is>
      </c>
      <c r="H83" t="inlineStr">
        <is>
          <t>No</t>
        </is>
      </c>
      <c r="I83" t="inlineStr">
        <is>
          <t>No</t>
        </is>
      </c>
      <c r="J83" t="inlineStr">
        <is>
          <t>0</t>
        </is>
      </c>
      <c r="K83" t="inlineStr">
        <is>
          <t>Štanský, Peter.</t>
        </is>
      </c>
      <c r="L83" t="inlineStr">
        <is>
          <t>Princeton, N.J. : Princeton University Press, c1985.</t>
        </is>
      </c>
      <c r="M83" t="inlineStr">
        <is>
          <t>1985</t>
        </is>
      </c>
      <c r="O83" t="inlineStr">
        <is>
          <t>eng</t>
        </is>
      </c>
      <c r="P83" t="inlineStr">
        <is>
          <t>nju</t>
        </is>
      </c>
      <c r="R83" t="inlineStr">
        <is>
          <t xml:space="preserve">NK </t>
        </is>
      </c>
      <c r="S83" t="n">
        <v>11</v>
      </c>
      <c r="T83" t="n">
        <v>11</v>
      </c>
      <c r="U83" t="inlineStr">
        <is>
          <t>2003-03-17</t>
        </is>
      </c>
      <c r="V83" t="inlineStr">
        <is>
          <t>2003-03-17</t>
        </is>
      </c>
      <c r="W83" t="inlineStr">
        <is>
          <t>1993-10-25</t>
        </is>
      </c>
      <c r="X83" t="inlineStr">
        <is>
          <t>1993-10-25</t>
        </is>
      </c>
      <c r="Y83" t="n">
        <v>818</v>
      </c>
      <c r="Z83" t="n">
        <v>647</v>
      </c>
      <c r="AA83" t="n">
        <v>716</v>
      </c>
      <c r="AB83" t="n">
        <v>3</v>
      </c>
      <c r="AC83" t="n">
        <v>3</v>
      </c>
      <c r="AD83" t="n">
        <v>24</v>
      </c>
      <c r="AE83" t="n">
        <v>30</v>
      </c>
      <c r="AF83" t="n">
        <v>7</v>
      </c>
      <c r="AG83" t="n">
        <v>12</v>
      </c>
      <c r="AH83" t="n">
        <v>7</v>
      </c>
      <c r="AI83" t="n">
        <v>7</v>
      </c>
      <c r="AJ83" t="n">
        <v>14</v>
      </c>
      <c r="AK83" t="n">
        <v>17</v>
      </c>
      <c r="AL83" t="n">
        <v>2</v>
      </c>
      <c r="AM83" t="n">
        <v>2</v>
      </c>
      <c r="AN83" t="n">
        <v>0</v>
      </c>
      <c r="AO83" t="n">
        <v>0</v>
      </c>
      <c r="AP83" t="inlineStr">
        <is>
          <t>No</t>
        </is>
      </c>
      <c r="AQ83" t="inlineStr">
        <is>
          <t>No</t>
        </is>
      </c>
      <c r="AS83">
        <f>HYPERLINK("https://creighton-primo.hosted.exlibrisgroup.com/primo-explore/search?tab=default_tab&amp;search_scope=EVERYTHING&amp;vid=01CRU&amp;lang=en_US&amp;offset=0&amp;query=any,contains,991005404309702656","Catalog Record")</f>
        <v/>
      </c>
      <c r="AT83">
        <f>HYPERLINK("http://www.worldcat.org/oclc/11029288","WorldCat Record")</f>
        <v/>
      </c>
      <c r="AU83" t="inlineStr">
        <is>
          <t>863907850:eng</t>
        </is>
      </c>
      <c r="AV83" t="inlineStr">
        <is>
          <t>11029288</t>
        </is>
      </c>
      <c r="AW83" t="inlineStr">
        <is>
          <t>991005404309702656</t>
        </is>
      </c>
      <c r="AX83" t="inlineStr">
        <is>
          <t>991005404309702656</t>
        </is>
      </c>
      <c r="AY83" t="inlineStr">
        <is>
          <t>2266042780002656</t>
        </is>
      </c>
      <c r="AZ83" t="inlineStr">
        <is>
          <t>BOOK</t>
        </is>
      </c>
      <c r="BB83" t="inlineStr">
        <is>
          <t>9780691066165</t>
        </is>
      </c>
      <c r="BC83" t="inlineStr">
        <is>
          <t>32285001794402</t>
        </is>
      </c>
      <c r="BD83" t="inlineStr">
        <is>
          <t>893802249</t>
        </is>
      </c>
    </row>
    <row r="84">
      <c r="A84" t="inlineStr">
        <is>
          <t>No</t>
        </is>
      </c>
      <c r="B84" t="inlineStr">
        <is>
          <t>NK1175 .A8</t>
        </is>
      </c>
      <c r="C84" t="inlineStr">
        <is>
          <t>0                      NK 1175000A  8</t>
        </is>
      </c>
      <c r="D84" t="inlineStr">
        <is>
          <t>The aesthetic movement : prelude to Art nouveau.</t>
        </is>
      </c>
      <c r="F84" t="inlineStr">
        <is>
          <t>No</t>
        </is>
      </c>
      <c r="G84" t="inlineStr">
        <is>
          <t>1</t>
        </is>
      </c>
      <c r="H84" t="inlineStr">
        <is>
          <t>No</t>
        </is>
      </c>
      <c r="I84" t="inlineStr">
        <is>
          <t>No</t>
        </is>
      </c>
      <c r="J84" t="inlineStr">
        <is>
          <t>0</t>
        </is>
      </c>
      <c r="K84" t="inlineStr">
        <is>
          <t>Aslin, Elizabeth.</t>
        </is>
      </c>
      <c r="L84" t="inlineStr">
        <is>
          <t>New York : Praeger, [1969]</t>
        </is>
      </c>
      <c r="M84" t="inlineStr">
        <is>
          <t>1969</t>
        </is>
      </c>
      <c r="O84" t="inlineStr">
        <is>
          <t>eng</t>
        </is>
      </c>
      <c r="P84" t="inlineStr">
        <is>
          <t>nyu</t>
        </is>
      </c>
      <c r="R84" t="inlineStr">
        <is>
          <t xml:space="preserve">NK </t>
        </is>
      </c>
      <c r="S84" t="n">
        <v>3</v>
      </c>
      <c r="T84" t="n">
        <v>3</v>
      </c>
      <c r="U84" t="inlineStr">
        <is>
          <t>1996-08-13</t>
        </is>
      </c>
      <c r="V84" t="inlineStr">
        <is>
          <t>1996-08-13</t>
        </is>
      </c>
      <c r="W84" t="inlineStr">
        <is>
          <t>1992-03-03</t>
        </is>
      </c>
      <c r="X84" t="inlineStr">
        <is>
          <t>1992-03-03</t>
        </is>
      </c>
      <c r="Y84" t="n">
        <v>702</v>
      </c>
      <c r="Z84" t="n">
        <v>666</v>
      </c>
      <c r="AA84" t="n">
        <v>840</v>
      </c>
      <c r="AB84" t="n">
        <v>3</v>
      </c>
      <c r="AC84" t="n">
        <v>3</v>
      </c>
      <c r="AD84" t="n">
        <v>24</v>
      </c>
      <c r="AE84" t="n">
        <v>29</v>
      </c>
      <c r="AF84" t="n">
        <v>11</v>
      </c>
      <c r="AG84" t="n">
        <v>13</v>
      </c>
      <c r="AH84" t="n">
        <v>6</v>
      </c>
      <c r="AI84" t="n">
        <v>7</v>
      </c>
      <c r="AJ84" t="n">
        <v>9</v>
      </c>
      <c r="AK84" t="n">
        <v>12</v>
      </c>
      <c r="AL84" t="n">
        <v>2</v>
      </c>
      <c r="AM84" t="n">
        <v>2</v>
      </c>
      <c r="AN84" t="n">
        <v>0</v>
      </c>
      <c r="AO84" t="n">
        <v>0</v>
      </c>
      <c r="AP84" t="inlineStr">
        <is>
          <t>No</t>
        </is>
      </c>
      <c r="AQ84" t="inlineStr">
        <is>
          <t>Yes</t>
        </is>
      </c>
      <c r="AR84">
        <f>HYPERLINK("http://catalog.hathitrust.org/Record/001483100","HathiTrust Record")</f>
        <v/>
      </c>
      <c r="AS84">
        <f>HYPERLINK("https://creighton-primo.hosted.exlibrisgroup.com/primo-explore/search?tab=default_tab&amp;search_scope=EVERYTHING&amp;vid=01CRU&amp;lang=en_US&amp;offset=0&amp;query=any,contains,991000080759702656","Catalog Record")</f>
        <v/>
      </c>
      <c r="AT84">
        <f>HYPERLINK("http://www.worldcat.org/oclc/31455","WorldCat Record")</f>
        <v/>
      </c>
      <c r="AU84" t="inlineStr">
        <is>
          <t>1182698:eng</t>
        </is>
      </c>
      <c r="AV84" t="inlineStr">
        <is>
          <t>31455</t>
        </is>
      </c>
      <c r="AW84" t="inlineStr">
        <is>
          <t>991000080759702656</t>
        </is>
      </c>
      <c r="AX84" t="inlineStr">
        <is>
          <t>991000080759702656</t>
        </is>
      </c>
      <c r="AY84" t="inlineStr">
        <is>
          <t>2261002350002656</t>
        </is>
      </c>
      <c r="AZ84" t="inlineStr">
        <is>
          <t>BOOK</t>
        </is>
      </c>
      <c r="BC84" t="inlineStr">
        <is>
          <t>32285000979228</t>
        </is>
      </c>
      <c r="BD84" t="inlineStr">
        <is>
          <t>893613870</t>
        </is>
      </c>
    </row>
    <row r="85">
      <c r="A85" t="inlineStr">
        <is>
          <t>No</t>
        </is>
      </c>
      <c r="B85" t="inlineStr">
        <is>
          <t>NK1370 .F47</t>
        </is>
      </c>
      <c r="C85" t="inlineStr">
        <is>
          <t>0                      NK 1370000F  47</t>
        </is>
      </c>
      <c r="D85" t="inlineStr">
        <is>
          <t>A history of design from the Victorian era to the present; a survey of the modern style in architecture, interior design, industrial design, graphic design, and photography.</t>
        </is>
      </c>
      <c r="F85" t="inlineStr">
        <is>
          <t>No</t>
        </is>
      </c>
      <c r="G85" t="inlineStr">
        <is>
          <t>1</t>
        </is>
      </c>
      <c r="H85" t="inlineStr">
        <is>
          <t>No</t>
        </is>
      </c>
      <c r="I85" t="inlineStr">
        <is>
          <t>No</t>
        </is>
      </c>
      <c r="J85" t="inlineStr">
        <is>
          <t>0</t>
        </is>
      </c>
      <c r="K85" t="inlineStr">
        <is>
          <t>Ferebee, Ann.</t>
        </is>
      </c>
      <c r="L85" t="inlineStr">
        <is>
          <t>New York, Van Nostrand Reinhold [c1970]</t>
        </is>
      </c>
      <c r="M85" t="inlineStr">
        <is>
          <t>1970</t>
        </is>
      </c>
      <c r="O85" t="inlineStr">
        <is>
          <t>eng</t>
        </is>
      </c>
      <c r="P85" t="inlineStr">
        <is>
          <t>nyu</t>
        </is>
      </c>
      <c r="R85" t="inlineStr">
        <is>
          <t xml:space="preserve">NK </t>
        </is>
      </c>
      <c r="S85" t="n">
        <v>4</v>
      </c>
      <c r="T85" t="n">
        <v>4</v>
      </c>
      <c r="U85" t="inlineStr">
        <is>
          <t>2004-10-25</t>
        </is>
      </c>
      <c r="V85" t="inlineStr">
        <is>
          <t>2004-10-25</t>
        </is>
      </c>
      <c r="W85" t="inlineStr">
        <is>
          <t>1997-08-07</t>
        </is>
      </c>
      <c r="X85" t="inlineStr">
        <is>
          <t>1997-08-07</t>
        </is>
      </c>
      <c r="Y85" t="n">
        <v>751</v>
      </c>
      <c r="Z85" t="n">
        <v>595</v>
      </c>
      <c r="AA85" t="n">
        <v>850</v>
      </c>
      <c r="AB85" t="n">
        <v>7</v>
      </c>
      <c r="AC85" t="n">
        <v>8</v>
      </c>
      <c r="AD85" t="n">
        <v>21</v>
      </c>
      <c r="AE85" t="n">
        <v>27</v>
      </c>
      <c r="AF85" t="n">
        <v>9</v>
      </c>
      <c r="AG85" t="n">
        <v>11</v>
      </c>
      <c r="AH85" t="n">
        <v>3</v>
      </c>
      <c r="AI85" t="n">
        <v>5</v>
      </c>
      <c r="AJ85" t="n">
        <v>8</v>
      </c>
      <c r="AK85" t="n">
        <v>11</v>
      </c>
      <c r="AL85" t="n">
        <v>5</v>
      </c>
      <c r="AM85" t="n">
        <v>5</v>
      </c>
      <c r="AN85" t="n">
        <v>0</v>
      </c>
      <c r="AO85" t="n">
        <v>0</v>
      </c>
      <c r="AP85" t="inlineStr">
        <is>
          <t>No</t>
        </is>
      </c>
      <c r="AQ85" t="inlineStr">
        <is>
          <t>Yes</t>
        </is>
      </c>
      <c r="AR85">
        <f>HYPERLINK("http://catalog.hathitrust.org/Record/001989789","HathiTrust Record")</f>
        <v/>
      </c>
      <c r="AS85">
        <f>HYPERLINK("https://creighton-primo.hosted.exlibrisgroup.com/primo-explore/search?tab=default_tab&amp;search_scope=EVERYTHING&amp;vid=01CRU&amp;lang=en_US&amp;offset=0&amp;query=any,contains,991000663659702656","Catalog Record")</f>
        <v/>
      </c>
      <c r="AT85">
        <f>HYPERLINK("http://www.worldcat.org/oclc/118016","WorldCat Record")</f>
        <v/>
      </c>
      <c r="AU85" t="inlineStr">
        <is>
          <t>1236953:eng</t>
        </is>
      </c>
      <c r="AV85" t="inlineStr">
        <is>
          <t>118016</t>
        </is>
      </c>
      <c r="AW85" t="inlineStr">
        <is>
          <t>991000663659702656</t>
        </is>
      </c>
      <c r="AX85" t="inlineStr">
        <is>
          <t>991000663659702656</t>
        </is>
      </c>
      <c r="AY85" t="inlineStr">
        <is>
          <t>2261703460002656</t>
        </is>
      </c>
      <c r="AZ85" t="inlineStr">
        <is>
          <t>BOOK</t>
        </is>
      </c>
      <c r="BC85" t="inlineStr">
        <is>
          <t>32285003047122</t>
        </is>
      </c>
      <c r="BD85" t="inlineStr">
        <is>
          <t>893865566</t>
        </is>
      </c>
    </row>
    <row r="86">
      <c r="A86" t="inlineStr">
        <is>
          <t>No</t>
        </is>
      </c>
      <c r="B86" t="inlineStr">
        <is>
          <t>NK1380 .L5 1950a</t>
        </is>
      </c>
      <c r="C86" t="inlineStr">
        <is>
          <t>0                      NK 1380000L  5           1950a</t>
        </is>
      </c>
      <c r="D86" t="inlineStr">
        <is>
          <t>Decorative art of Victoria's era.</t>
        </is>
      </c>
      <c r="F86" t="inlineStr">
        <is>
          <t>No</t>
        </is>
      </c>
      <c r="G86" t="inlineStr">
        <is>
          <t>1</t>
        </is>
      </c>
      <c r="H86" t="inlineStr">
        <is>
          <t>No</t>
        </is>
      </c>
      <c r="I86" t="inlineStr">
        <is>
          <t>No</t>
        </is>
      </c>
      <c r="J86" t="inlineStr">
        <is>
          <t>0</t>
        </is>
      </c>
      <c r="K86" t="inlineStr">
        <is>
          <t>Lichten, Frances.</t>
        </is>
      </c>
      <c r="L86" t="inlineStr">
        <is>
          <t>New York, Bonanza Books [1950]</t>
        </is>
      </c>
      <c r="M86" t="inlineStr">
        <is>
          <t>1950</t>
        </is>
      </c>
      <c r="O86" t="inlineStr">
        <is>
          <t>eng</t>
        </is>
      </c>
      <c r="P86" t="inlineStr">
        <is>
          <t xml:space="preserve">xx </t>
        </is>
      </c>
      <c r="R86" t="inlineStr">
        <is>
          <t xml:space="preserve">NK </t>
        </is>
      </c>
      <c r="S86" t="n">
        <v>3</v>
      </c>
      <c r="T86" t="n">
        <v>3</v>
      </c>
      <c r="U86" t="inlineStr">
        <is>
          <t>2003-04-01</t>
        </is>
      </c>
      <c r="V86" t="inlineStr">
        <is>
          <t>2003-04-01</t>
        </is>
      </c>
      <c r="W86" t="inlineStr">
        <is>
          <t>1997-08-07</t>
        </is>
      </c>
      <c r="X86" t="inlineStr">
        <is>
          <t>1997-08-07</t>
        </is>
      </c>
      <c r="Y86" t="n">
        <v>126</v>
      </c>
      <c r="Z86" t="n">
        <v>106</v>
      </c>
      <c r="AA86" t="n">
        <v>747</v>
      </c>
      <c r="AB86" t="n">
        <v>2</v>
      </c>
      <c r="AC86" t="n">
        <v>6</v>
      </c>
      <c r="AD86" t="n">
        <v>5</v>
      </c>
      <c r="AE86" t="n">
        <v>24</v>
      </c>
      <c r="AF86" t="n">
        <v>2</v>
      </c>
      <c r="AG86" t="n">
        <v>10</v>
      </c>
      <c r="AH86" t="n">
        <v>0</v>
      </c>
      <c r="AI86" t="n">
        <v>4</v>
      </c>
      <c r="AJ86" t="n">
        <v>2</v>
      </c>
      <c r="AK86" t="n">
        <v>9</v>
      </c>
      <c r="AL86" t="n">
        <v>1</v>
      </c>
      <c r="AM86" t="n">
        <v>4</v>
      </c>
      <c r="AN86" t="n">
        <v>0</v>
      </c>
      <c r="AO86" t="n">
        <v>0</v>
      </c>
      <c r="AP86" t="inlineStr">
        <is>
          <t>No</t>
        </is>
      </c>
      <c r="AQ86" t="inlineStr">
        <is>
          <t>Yes</t>
        </is>
      </c>
      <c r="AR86">
        <f>HYPERLINK("http://catalog.hathitrust.org/Record/003907937","HathiTrust Record")</f>
        <v/>
      </c>
      <c r="AS86">
        <f>HYPERLINK("https://creighton-primo.hosted.exlibrisgroup.com/primo-explore/search?tab=default_tab&amp;search_scope=EVERYTHING&amp;vid=01CRU&amp;lang=en_US&amp;offset=0&amp;query=any,contains,991003331469702656","Catalog Record")</f>
        <v/>
      </c>
      <c r="AT86">
        <f>HYPERLINK("http://www.worldcat.org/oclc/862675","WorldCat Record")</f>
        <v/>
      </c>
      <c r="AU86" t="inlineStr">
        <is>
          <t>1828939:eng</t>
        </is>
      </c>
      <c r="AV86" t="inlineStr">
        <is>
          <t>862675</t>
        </is>
      </c>
      <c r="AW86" t="inlineStr">
        <is>
          <t>991003331469702656</t>
        </is>
      </c>
      <c r="AX86" t="inlineStr">
        <is>
          <t>991003331469702656</t>
        </is>
      </c>
      <c r="AY86" t="inlineStr">
        <is>
          <t>2264025550002656</t>
        </is>
      </c>
      <c r="AZ86" t="inlineStr">
        <is>
          <t>BOOK</t>
        </is>
      </c>
      <c r="BC86" t="inlineStr">
        <is>
          <t>32285003047130</t>
        </is>
      </c>
      <c r="BD86" t="inlineStr">
        <is>
          <t>893252271</t>
        </is>
      </c>
    </row>
    <row r="87">
      <c r="A87" t="inlineStr">
        <is>
          <t>No</t>
        </is>
      </c>
      <c r="B87" t="inlineStr">
        <is>
          <t>NK1404 .J65 2000</t>
        </is>
      </c>
      <c r="C87" t="inlineStr">
        <is>
          <t>0                      NK 1404000J  65          2000</t>
        </is>
      </c>
      <c r="D87" t="inlineStr">
        <is>
          <t>American modern, 1925-1940 : design for a new age / by J. Stewart Johnson.</t>
        </is>
      </c>
      <c r="F87" t="inlineStr">
        <is>
          <t>No</t>
        </is>
      </c>
      <c r="G87" t="inlineStr">
        <is>
          <t>1</t>
        </is>
      </c>
      <c r="H87" t="inlineStr">
        <is>
          <t>No</t>
        </is>
      </c>
      <c r="I87" t="inlineStr">
        <is>
          <t>No</t>
        </is>
      </c>
      <c r="J87" t="inlineStr">
        <is>
          <t>0</t>
        </is>
      </c>
      <c r="K87" t="inlineStr">
        <is>
          <t>Johnson, J. Stewart.</t>
        </is>
      </c>
      <c r="L87" t="inlineStr">
        <is>
          <t>New York : Harry N. Abrams, Inc. in association with the American Federation of Arts, 2000.</t>
        </is>
      </c>
      <c r="M87" t="inlineStr">
        <is>
          <t>2000</t>
        </is>
      </c>
      <c r="O87" t="inlineStr">
        <is>
          <t>eng</t>
        </is>
      </c>
      <c r="P87" t="inlineStr">
        <is>
          <t>nyu</t>
        </is>
      </c>
      <c r="R87" t="inlineStr">
        <is>
          <t xml:space="preserve">NK </t>
        </is>
      </c>
      <c r="S87" t="n">
        <v>1</v>
      </c>
      <c r="T87" t="n">
        <v>1</v>
      </c>
      <c r="U87" t="inlineStr">
        <is>
          <t>2005-04-21</t>
        </is>
      </c>
      <c r="V87" t="inlineStr">
        <is>
          <t>2005-04-21</t>
        </is>
      </c>
      <c r="W87" t="inlineStr">
        <is>
          <t>2005-04-21</t>
        </is>
      </c>
      <c r="X87" t="inlineStr">
        <is>
          <t>2005-04-21</t>
        </is>
      </c>
      <c r="Y87" t="n">
        <v>647</v>
      </c>
      <c r="Z87" t="n">
        <v>535</v>
      </c>
      <c r="AA87" t="n">
        <v>537</v>
      </c>
      <c r="AB87" t="n">
        <v>6</v>
      </c>
      <c r="AC87" t="n">
        <v>6</v>
      </c>
      <c r="AD87" t="n">
        <v>16</v>
      </c>
      <c r="AE87" t="n">
        <v>16</v>
      </c>
      <c r="AF87" t="n">
        <v>7</v>
      </c>
      <c r="AG87" t="n">
        <v>7</v>
      </c>
      <c r="AH87" t="n">
        <v>3</v>
      </c>
      <c r="AI87" t="n">
        <v>3</v>
      </c>
      <c r="AJ87" t="n">
        <v>6</v>
      </c>
      <c r="AK87" t="n">
        <v>6</v>
      </c>
      <c r="AL87" t="n">
        <v>4</v>
      </c>
      <c r="AM87" t="n">
        <v>4</v>
      </c>
      <c r="AN87" t="n">
        <v>0</v>
      </c>
      <c r="AO87" t="n">
        <v>0</v>
      </c>
      <c r="AP87" t="inlineStr">
        <is>
          <t>No</t>
        </is>
      </c>
      <c r="AQ87" t="inlineStr">
        <is>
          <t>Yes</t>
        </is>
      </c>
      <c r="AR87">
        <f>HYPERLINK("http://catalog.hathitrust.org/Record/003495870","HathiTrust Record")</f>
        <v/>
      </c>
      <c r="AS87">
        <f>HYPERLINK("https://creighton-primo.hosted.exlibrisgroup.com/primo-explore/search?tab=default_tab&amp;search_scope=EVERYTHING&amp;vid=01CRU&amp;lang=en_US&amp;offset=0&amp;query=any,contains,991004525229702656","Catalog Record")</f>
        <v/>
      </c>
      <c r="AT87">
        <f>HYPERLINK("http://www.worldcat.org/oclc/42690134","WorldCat Record")</f>
        <v/>
      </c>
      <c r="AU87" t="inlineStr">
        <is>
          <t>962456358:eng</t>
        </is>
      </c>
      <c r="AV87" t="inlineStr">
        <is>
          <t>42690134</t>
        </is>
      </c>
      <c r="AW87" t="inlineStr">
        <is>
          <t>991004525229702656</t>
        </is>
      </c>
      <c r="AX87" t="inlineStr">
        <is>
          <t>991004525229702656</t>
        </is>
      </c>
      <c r="AY87" t="inlineStr">
        <is>
          <t>2259033950002656</t>
        </is>
      </c>
      <c r="AZ87" t="inlineStr">
        <is>
          <t>BOOK</t>
        </is>
      </c>
      <c r="BB87" t="inlineStr">
        <is>
          <t>9780810942080</t>
        </is>
      </c>
      <c r="BC87" t="inlineStr">
        <is>
          <t>32285005031850</t>
        </is>
      </c>
      <c r="BD87" t="inlineStr">
        <is>
          <t>893612456</t>
        </is>
      </c>
    </row>
    <row r="88">
      <c r="A88" t="inlineStr">
        <is>
          <t>No</t>
        </is>
      </c>
      <c r="B88" t="inlineStr">
        <is>
          <t>NK1412.K34 B55 2004</t>
        </is>
      </c>
      <c r="C88" t="inlineStr">
        <is>
          <t>0                      NK 1412000K  34                 B  55          2004</t>
        </is>
      </c>
      <c r="D88" t="inlineStr">
        <is>
          <t>Objects of the spirit : ritual and the art of Tobi Kahn / Emily D. Bilski ; meditations by Nessa Rapoport ; with essays by Leora Auslander ... [et al.].</t>
        </is>
      </c>
      <c r="F88" t="inlineStr">
        <is>
          <t>No</t>
        </is>
      </c>
      <c r="G88" t="inlineStr">
        <is>
          <t>1</t>
        </is>
      </c>
      <c r="H88" t="inlineStr">
        <is>
          <t>No</t>
        </is>
      </c>
      <c r="I88" t="inlineStr">
        <is>
          <t>No</t>
        </is>
      </c>
      <c r="J88" t="inlineStr">
        <is>
          <t>0</t>
        </is>
      </c>
      <c r="K88" t="inlineStr">
        <is>
          <t>Bilski, Emily D., 1956-</t>
        </is>
      </c>
      <c r="L88" t="inlineStr">
        <is>
          <t>New York : Avoda Arts : Hudson Hills Press ; [Lanham, Md.?] : Distributed in the U.S. through National Book Network, c2004.</t>
        </is>
      </c>
      <c r="M88" t="inlineStr">
        <is>
          <t>2004</t>
        </is>
      </c>
      <c r="O88" t="inlineStr">
        <is>
          <t>eng</t>
        </is>
      </c>
      <c r="P88" t="inlineStr">
        <is>
          <t>nyu</t>
        </is>
      </c>
      <c r="R88" t="inlineStr">
        <is>
          <t xml:space="preserve">NK </t>
        </is>
      </c>
      <c r="S88" t="n">
        <v>1</v>
      </c>
      <c r="T88" t="n">
        <v>1</v>
      </c>
      <c r="U88" t="inlineStr">
        <is>
          <t>2005-06-02</t>
        </is>
      </c>
      <c r="V88" t="inlineStr">
        <is>
          <t>2005-06-02</t>
        </is>
      </c>
      <c r="W88" t="inlineStr">
        <is>
          <t>2005-06-02</t>
        </is>
      </c>
      <c r="X88" t="inlineStr">
        <is>
          <t>2005-06-02</t>
        </is>
      </c>
      <c r="Y88" t="n">
        <v>313</v>
      </c>
      <c r="Z88" t="n">
        <v>294</v>
      </c>
      <c r="AA88" t="n">
        <v>301</v>
      </c>
      <c r="AB88" t="n">
        <v>3</v>
      </c>
      <c r="AC88" t="n">
        <v>3</v>
      </c>
      <c r="AD88" t="n">
        <v>11</v>
      </c>
      <c r="AE88" t="n">
        <v>11</v>
      </c>
      <c r="AF88" t="n">
        <v>5</v>
      </c>
      <c r="AG88" t="n">
        <v>5</v>
      </c>
      <c r="AH88" t="n">
        <v>1</v>
      </c>
      <c r="AI88" t="n">
        <v>1</v>
      </c>
      <c r="AJ88" t="n">
        <v>4</v>
      </c>
      <c r="AK88" t="n">
        <v>4</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HYPERLINK("https://creighton-primo.hosted.exlibrisgroup.com/primo-explore/search?tab=default_tab&amp;search_scope=EVERYTHING&amp;vid=01CRU&amp;lang=en_US&amp;offset=0&amp;query=any,contains,991004539169702656","Catalog Record")</f>
        <v/>
      </c>
      <c r="AT88">
        <f>HYPERLINK("http://www.worldcat.org/oclc/54046180","WorldCat Record")</f>
        <v/>
      </c>
      <c r="AU88" t="inlineStr">
        <is>
          <t>138927214:eng</t>
        </is>
      </c>
      <c r="AV88" t="inlineStr">
        <is>
          <t>54046180</t>
        </is>
      </c>
      <c r="AW88" t="inlineStr">
        <is>
          <t>991004539169702656</t>
        </is>
      </c>
      <c r="AX88" t="inlineStr">
        <is>
          <t>991004539169702656</t>
        </is>
      </c>
      <c r="AY88" t="inlineStr">
        <is>
          <t>2259529190002656</t>
        </is>
      </c>
      <c r="AZ88" t="inlineStr">
        <is>
          <t>BOOK</t>
        </is>
      </c>
      <c r="BB88" t="inlineStr">
        <is>
          <t>9781555952471</t>
        </is>
      </c>
      <c r="BC88" t="inlineStr">
        <is>
          <t>32285005092290</t>
        </is>
      </c>
      <c r="BD88" t="inlineStr">
        <is>
          <t>893343960</t>
        </is>
      </c>
    </row>
    <row r="89">
      <c r="A89" t="inlineStr">
        <is>
          <t>No</t>
        </is>
      </c>
      <c r="B89" t="inlineStr">
        <is>
          <t>NK1443 .J33 2002</t>
        </is>
      </c>
      <c r="C89" t="inlineStr">
        <is>
          <t>0                      NK 1443000J  33          2002</t>
        </is>
      </c>
      <c r="D89" t="inlineStr">
        <is>
          <t>The V &amp; A guide to period styles : 400 years of British art and design / Anna Jackson with Morna Hinton.</t>
        </is>
      </c>
      <c r="F89" t="inlineStr">
        <is>
          <t>No</t>
        </is>
      </c>
      <c r="G89" t="inlineStr">
        <is>
          <t>1</t>
        </is>
      </c>
      <c r="H89" t="inlineStr">
        <is>
          <t>No</t>
        </is>
      </c>
      <c r="I89" t="inlineStr">
        <is>
          <t>No</t>
        </is>
      </c>
      <c r="J89" t="inlineStr">
        <is>
          <t>0</t>
        </is>
      </c>
      <c r="K89" t="inlineStr">
        <is>
          <t>Jackson, Anna (Anna M. F.)</t>
        </is>
      </c>
      <c r="L89" t="inlineStr">
        <is>
          <t>London : V &amp; A Publications ; New York : Distributed by Harry N. Abrams, 2002.</t>
        </is>
      </c>
      <c r="M89" t="inlineStr">
        <is>
          <t>2002</t>
        </is>
      </c>
      <c r="O89" t="inlineStr">
        <is>
          <t>eng</t>
        </is>
      </c>
      <c r="P89" t="inlineStr">
        <is>
          <t>enk</t>
        </is>
      </c>
      <c r="R89" t="inlineStr">
        <is>
          <t xml:space="preserve">NK </t>
        </is>
      </c>
      <c r="S89" t="n">
        <v>2</v>
      </c>
      <c r="T89" t="n">
        <v>2</v>
      </c>
      <c r="U89" t="inlineStr">
        <is>
          <t>2006-01-23</t>
        </is>
      </c>
      <c r="V89" t="inlineStr">
        <is>
          <t>2006-01-23</t>
        </is>
      </c>
      <c r="W89" t="inlineStr">
        <is>
          <t>2004-02-11</t>
        </is>
      </c>
      <c r="X89" t="inlineStr">
        <is>
          <t>2004-02-11</t>
        </is>
      </c>
      <c r="Y89" t="n">
        <v>378</v>
      </c>
      <c r="Z89" t="n">
        <v>201</v>
      </c>
      <c r="AA89" t="n">
        <v>232</v>
      </c>
      <c r="AB89" t="n">
        <v>3</v>
      </c>
      <c r="AC89" t="n">
        <v>3</v>
      </c>
      <c r="AD89" t="n">
        <v>5</v>
      </c>
      <c r="AE89" t="n">
        <v>7</v>
      </c>
      <c r="AF89" t="n">
        <v>0</v>
      </c>
      <c r="AG89" t="n">
        <v>1</v>
      </c>
      <c r="AH89" t="n">
        <v>2</v>
      </c>
      <c r="AI89" t="n">
        <v>3</v>
      </c>
      <c r="AJ89" t="n">
        <v>1</v>
      </c>
      <c r="AK89" t="n">
        <v>2</v>
      </c>
      <c r="AL89" t="n">
        <v>2</v>
      </c>
      <c r="AM89" t="n">
        <v>2</v>
      </c>
      <c r="AN89" t="n">
        <v>0</v>
      </c>
      <c r="AO89" t="n">
        <v>0</v>
      </c>
      <c r="AP89" t="inlineStr">
        <is>
          <t>No</t>
        </is>
      </c>
      <c r="AQ89" t="inlineStr">
        <is>
          <t>Yes</t>
        </is>
      </c>
      <c r="AR89">
        <f>HYPERLINK("http://catalog.hathitrust.org/Record/004245480","HathiTrust Record")</f>
        <v/>
      </c>
      <c r="AS89">
        <f>HYPERLINK("https://creighton-primo.hosted.exlibrisgroup.com/primo-explore/search?tab=default_tab&amp;search_scope=EVERYTHING&amp;vid=01CRU&amp;lang=en_US&amp;offset=0&amp;query=any,contains,991004223149702656","Catalog Record")</f>
        <v/>
      </c>
      <c r="AT89">
        <f>HYPERLINK("http://www.worldcat.org/oclc/48415910","WorldCat Record")</f>
        <v/>
      </c>
      <c r="AU89" t="inlineStr">
        <is>
          <t>20560236:eng</t>
        </is>
      </c>
      <c r="AV89" t="inlineStr">
        <is>
          <t>48415910</t>
        </is>
      </c>
      <c r="AW89" t="inlineStr">
        <is>
          <t>991004223149702656</t>
        </is>
      </c>
      <c r="AX89" t="inlineStr">
        <is>
          <t>991004223149702656</t>
        </is>
      </c>
      <c r="AY89" t="inlineStr">
        <is>
          <t>2271982920002656</t>
        </is>
      </c>
      <c r="AZ89" t="inlineStr">
        <is>
          <t>BOOK</t>
        </is>
      </c>
      <c r="BB89" t="inlineStr">
        <is>
          <t>9780810965904</t>
        </is>
      </c>
      <c r="BC89" t="inlineStr">
        <is>
          <t>32285004637772</t>
        </is>
      </c>
      <c r="BD89" t="inlineStr">
        <is>
          <t>893500285</t>
        </is>
      </c>
    </row>
    <row r="90">
      <c r="A90" t="inlineStr">
        <is>
          <t>No</t>
        </is>
      </c>
      <c r="B90" t="inlineStr">
        <is>
          <t>NK1443 .S65 1980</t>
        </is>
      </c>
      <c r="C90" t="inlineStr">
        <is>
          <t>0                      NK 1443000S  65          1980</t>
        </is>
      </c>
      <c r="D90" t="inlineStr">
        <is>
          <t>Anglo-Saxon animal art and its Germanic background / by George Speake.</t>
        </is>
      </c>
      <c r="F90" t="inlineStr">
        <is>
          <t>No</t>
        </is>
      </c>
      <c r="G90" t="inlineStr">
        <is>
          <t>1</t>
        </is>
      </c>
      <c r="H90" t="inlineStr">
        <is>
          <t>No</t>
        </is>
      </c>
      <c r="I90" t="inlineStr">
        <is>
          <t>No</t>
        </is>
      </c>
      <c r="J90" t="inlineStr">
        <is>
          <t>0</t>
        </is>
      </c>
      <c r="K90" t="inlineStr">
        <is>
          <t>Speake, George.</t>
        </is>
      </c>
      <c r="L90" t="inlineStr">
        <is>
          <t>Oxford : Clarendon Press ; New York : Oxford University Press, 1980.</t>
        </is>
      </c>
      <c r="M90" t="inlineStr">
        <is>
          <t>1980</t>
        </is>
      </c>
      <c r="O90" t="inlineStr">
        <is>
          <t>eng</t>
        </is>
      </c>
      <c r="P90" t="inlineStr">
        <is>
          <t>enk</t>
        </is>
      </c>
      <c r="R90" t="inlineStr">
        <is>
          <t xml:space="preserve">NK </t>
        </is>
      </c>
      <c r="S90" t="n">
        <v>10</v>
      </c>
      <c r="T90" t="n">
        <v>10</v>
      </c>
      <c r="U90" t="inlineStr">
        <is>
          <t>2008-04-01</t>
        </is>
      </c>
      <c r="V90" t="inlineStr">
        <is>
          <t>2008-04-01</t>
        </is>
      </c>
      <c r="W90" t="inlineStr">
        <is>
          <t>1993-06-01</t>
        </is>
      </c>
      <c r="X90" t="inlineStr">
        <is>
          <t>1993-06-01</t>
        </is>
      </c>
      <c r="Y90" t="n">
        <v>348</v>
      </c>
      <c r="Z90" t="n">
        <v>228</v>
      </c>
      <c r="AA90" t="n">
        <v>235</v>
      </c>
      <c r="AB90" t="n">
        <v>3</v>
      </c>
      <c r="AC90" t="n">
        <v>3</v>
      </c>
      <c r="AD90" t="n">
        <v>13</v>
      </c>
      <c r="AE90" t="n">
        <v>14</v>
      </c>
      <c r="AF90" t="n">
        <v>5</v>
      </c>
      <c r="AG90" t="n">
        <v>5</v>
      </c>
      <c r="AH90" t="n">
        <v>1</v>
      </c>
      <c r="AI90" t="n">
        <v>2</v>
      </c>
      <c r="AJ90" t="n">
        <v>6</v>
      </c>
      <c r="AK90" t="n">
        <v>7</v>
      </c>
      <c r="AL90" t="n">
        <v>2</v>
      </c>
      <c r="AM90" t="n">
        <v>2</v>
      </c>
      <c r="AN90" t="n">
        <v>0</v>
      </c>
      <c r="AO90" t="n">
        <v>0</v>
      </c>
      <c r="AP90" t="inlineStr">
        <is>
          <t>No</t>
        </is>
      </c>
      <c r="AQ90" t="inlineStr">
        <is>
          <t>Yes</t>
        </is>
      </c>
      <c r="AR90">
        <f>HYPERLINK("http://catalog.hathitrust.org/Record/000733623","HathiTrust Record")</f>
        <v/>
      </c>
      <c r="AS90">
        <f>HYPERLINK("https://creighton-primo.hosted.exlibrisgroup.com/primo-explore/search?tab=default_tab&amp;search_scope=EVERYTHING&amp;vid=01CRU&amp;lang=en_US&amp;offset=0&amp;query=any,contains,991004807899702656","Catalog Record")</f>
        <v/>
      </c>
      <c r="AT90">
        <f>HYPERLINK("http://www.worldcat.org/oclc/5264194","WorldCat Record")</f>
        <v/>
      </c>
      <c r="AU90" t="inlineStr">
        <is>
          <t>415808:eng</t>
        </is>
      </c>
      <c r="AV90" t="inlineStr">
        <is>
          <t>5264194</t>
        </is>
      </c>
      <c r="AW90" t="inlineStr">
        <is>
          <t>991004807899702656</t>
        </is>
      </c>
      <c r="AX90" t="inlineStr">
        <is>
          <t>991004807899702656</t>
        </is>
      </c>
      <c r="AY90" t="inlineStr">
        <is>
          <t>2258552170002656</t>
        </is>
      </c>
      <c r="AZ90" t="inlineStr">
        <is>
          <t>BOOK</t>
        </is>
      </c>
      <c r="BB90" t="inlineStr">
        <is>
          <t>9780198131946</t>
        </is>
      </c>
      <c r="BC90" t="inlineStr">
        <is>
          <t>32285001715902</t>
        </is>
      </c>
      <c r="BD90" t="inlineStr">
        <is>
          <t>893719403</t>
        </is>
      </c>
    </row>
    <row r="91">
      <c r="A91" t="inlineStr">
        <is>
          <t>No</t>
        </is>
      </c>
      <c r="B91" t="inlineStr">
        <is>
          <t>NK1484.A1 L43</t>
        </is>
      </c>
      <c r="C91" t="inlineStr">
        <is>
          <t>0                      NK 1484000A  1                  L  43</t>
        </is>
      </c>
      <c r="D91" t="inlineStr">
        <is>
          <t>The genius of Japanese design / text by Sherman E. Lee.</t>
        </is>
      </c>
      <c r="F91" t="inlineStr">
        <is>
          <t>No</t>
        </is>
      </c>
      <c r="G91" t="inlineStr">
        <is>
          <t>1</t>
        </is>
      </c>
      <c r="H91" t="inlineStr">
        <is>
          <t>No</t>
        </is>
      </c>
      <c r="I91" t="inlineStr">
        <is>
          <t>No</t>
        </is>
      </c>
      <c r="J91" t="inlineStr">
        <is>
          <t>0</t>
        </is>
      </c>
      <c r="K91" t="inlineStr">
        <is>
          <t>Lee, Sherman E.</t>
        </is>
      </c>
      <c r="L91" t="inlineStr">
        <is>
          <t>Tokyo ; New York : Kodansha International ; New York, N.Y. : Distributed in the U.S. by Kodansha International/USA, Ltd., through Harper &amp; Row, 1981.</t>
        </is>
      </c>
      <c r="M91" t="inlineStr">
        <is>
          <t>1981</t>
        </is>
      </c>
      <c r="N91" t="inlineStr">
        <is>
          <t>1st ed.</t>
        </is>
      </c>
      <c r="O91" t="inlineStr">
        <is>
          <t>eng</t>
        </is>
      </c>
      <c r="P91" t="inlineStr">
        <is>
          <t xml:space="preserve">ja </t>
        </is>
      </c>
      <c r="R91" t="inlineStr">
        <is>
          <t xml:space="preserve">NK </t>
        </is>
      </c>
      <c r="S91" t="n">
        <v>5</v>
      </c>
      <c r="T91" t="n">
        <v>5</v>
      </c>
      <c r="U91" t="inlineStr">
        <is>
          <t>2005-04-09</t>
        </is>
      </c>
      <c r="V91" t="inlineStr">
        <is>
          <t>2005-04-09</t>
        </is>
      </c>
      <c r="W91" t="inlineStr">
        <is>
          <t>1992-05-04</t>
        </is>
      </c>
      <c r="X91" t="inlineStr">
        <is>
          <t>1992-05-04</t>
        </is>
      </c>
      <c r="Y91" t="n">
        <v>653</v>
      </c>
      <c r="Z91" t="n">
        <v>517</v>
      </c>
      <c r="AA91" t="n">
        <v>526</v>
      </c>
      <c r="AB91" t="n">
        <v>2</v>
      </c>
      <c r="AC91" t="n">
        <v>2</v>
      </c>
      <c r="AD91" t="n">
        <v>14</v>
      </c>
      <c r="AE91" t="n">
        <v>14</v>
      </c>
      <c r="AF91" t="n">
        <v>6</v>
      </c>
      <c r="AG91" t="n">
        <v>6</v>
      </c>
      <c r="AH91" t="n">
        <v>6</v>
      </c>
      <c r="AI91" t="n">
        <v>6</v>
      </c>
      <c r="AJ91" t="n">
        <v>8</v>
      </c>
      <c r="AK91" t="n">
        <v>8</v>
      </c>
      <c r="AL91" t="n">
        <v>1</v>
      </c>
      <c r="AM91" t="n">
        <v>1</v>
      </c>
      <c r="AN91" t="n">
        <v>0</v>
      </c>
      <c r="AO91" t="n">
        <v>0</v>
      </c>
      <c r="AP91" t="inlineStr">
        <is>
          <t>No</t>
        </is>
      </c>
      <c r="AQ91" t="inlineStr">
        <is>
          <t>Yes</t>
        </is>
      </c>
      <c r="AR91">
        <f>HYPERLINK("http://catalog.hathitrust.org/Record/000261567","HathiTrust Record")</f>
        <v/>
      </c>
      <c r="AS91">
        <f>HYPERLINK("https://creighton-primo.hosted.exlibrisgroup.com/primo-explore/search?tab=default_tab&amp;search_scope=EVERYTHING&amp;vid=01CRU&amp;lang=en_US&amp;offset=0&amp;query=any,contains,991005095769702656","Catalog Record")</f>
        <v/>
      </c>
      <c r="AT91">
        <f>HYPERLINK("http://www.worldcat.org/oclc/7273039","WorldCat Record")</f>
        <v/>
      </c>
      <c r="AU91" t="inlineStr">
        <is>
          <t>514077:eng</t>
        </is>
      </c>
      <c r="AV91" t="inlineStr">
        <is>
          <t>7273039</t>
        </is>
      </c>
      <c r="AW91" t="inlineStr">
        <is>
          <t>991005095769702656</t>
        </is>
      </c>
      <c r="AX91" t="inlineStr">
        <is>
          <t>991005095769702656</t>
        </is>
      </c>
      <c r="AY91" t="inlineStr">
        <is>
          <t>2258439570002656</t>
        </is>
      </c>
      <c r="AZ91" t="inlineStr">
        <is>
          <t>BOOK</t>
        </is>
      </c>
      <c r="BB91" t="inlineStr">
        <is>
          <t>9780870113956</t>
        </is>
      </c>
      <c r="BC91" t="inlineStr">
        <is>
          <t>32285001091585</t>
        </is>
      </c>
      <c r="BD91" t="inlineStr">
        <is>
          <t>893688585</t>
        </is>
      </c>
    </row>
    <row r="92">
      <c r="A92" t="inlineStr">
        <is>
          <t>No</t>
        </is>
      </c>
      <c r="B92" t="inlineStr">
        <is>
          <t>NK1498.M6 W3 1967</t>
        </is>
      </c>
      <c r="C92" t="inlineStr">
        <is>
          <t>0                      NK 1498000M  6                  W  3           1967</t>
        </is>
      </c>
      <c r="D92" t="inlineStr">
        <is>
          <t>William Morris as designer.</t>
        </is>
      </c>
      <c r="F92" t="inlineStr">
        <is>
          <t>No</t>
        </is>
      </c>
      <c r="G92" t="inlineStr">
        <is>
          <t>1</t>
        </is>
      </c>
      <c r="H92" t="inlineStr">
        <is>
          <t>No</t>
        </is>
      </c>
      <c r="I92" t="inlineStr">
        <is>
          <t>No</t>
        </is>
      </c>
      <c r="J92" t="inlineStr">
        <is>
          <t>0</t>
        </is>
      </c>
      <c r="K92" t="inlineStr">
        <is>
          <t>Watkinson, Raymond, 1913-2003.</t>
        </is>
      </c>
      <c r="L92" t="inlineStr">
        <is>
          <t>New York, Reinhold Pub. Co. [1967]</t>
        </is>
      </c>
      <c r="M92" t="inlineStr">
        <is>
          <t>1967</t>
        </is>
      </c>
      <c r="O92" t="inlineStr">
        <is>
          <t>eng</t>
        </is>
      </c>
      <c r="P92" t="inlineStr">
        <is>
          <t>nyu</t>
        </is>
      </c>
      <c r="R92" t="inlineStr">
        <is>
          <t xml:space="preserve">NK </t>
        </is>
      </c>
      <c r="S92" t="n">
        <v>1</v>
      </c>
      <c r="T92" t="n">
        <v>1</v>
      </c>
      <c r="U92" t="inlineStr">
        <is>
          <t>2006-02-08</t>
        </is>
      </c>
      <c r="V92" t="inlineStr">
        <is>
          <t>2006-02-08</t>
        </is>
      </c>
      <c r="W92" t="inlineStr">
        <is>
          <t>1997-08-07</t>
        </is>
      </c>
      <c r="X92" t="inlineStr">
        <is>
          <t>1997-08-07</t>
        </is>
      </c>
      <c r="Y92" t="n">
        <v>767</v>
      </c>
      <c r="Z92" t="n">
        <v>727</v>
      </c>
      <c r="AA92" t="n">
        <v>859</v>
      </c>
      <c r="AB92" t="n">
        <v>4</v>
      </c>
      <c r="AC92" t="n">
        <v>5</v>
      </c>
      <c r="AD92" t="n">
        <v>25</v>
      </c>
      <c r="AE92" t="n">
        <v>31</v>
      </c>
      <c r="AF92" t="n">
        <v>10</v>
      </c>
      <c r="AG92" t="n">
        <v>13</v>
      </c>
      <c r="AH92" t="n">
        <v>6</v>
      </c>
      <c r="AI92" t="n">
        <v>6</v>
      </c>
      <c r="AJ92" t="n">
        <v>10</v>
      </c>
      <c r="AK92" t="n">
        <v>13</v>
      </c>
      <c r="AL92" t="n">
        <v>3</v>
      </c>
      <c r="AM92" t="n">
        <v>4</v>
      </c>
      <c r="AN92" t="n">
        <v>0</v>
      </c>
      <c r="AO92" t="n">
        <v>0</v>
      </c>
      <c r="AP92" t="inlineStr">
        <is>
          <t>No</t>
        </is>
      </c>
      <c r="AQ92" t="inlineStr">
        <is>
          <t>Yes</t>
        </is>
      </c>
      <c r="AR92">
        <f>HYPERLINK("http://catalog.hathitrust.org/Record/001470575","HathiTrust Record")</f>
        <v/>
      </c>
      <c r="AS92">
        <f>HYPERLINK("https://creighton-primo.hosted.exlibrisgroup.com/primo-explore/search?tab=default_tab&amp;search_scope=EVERYTHING&amp;vid=01CRU&amp;lang=en_US&amp;offset=0&amp;query=any,contains,991002905259702656","Catalog Record")</f>
        <v/>
      </c>
      <c r="AT92">
        <f>HYPERLINK("http://www.worldcat.org/oclc/519184","WorldCat Record")</f>
        <v/>
      </c>
      <c r="AU92" t="inlineStr">
        <is>
          <t>198199523:eng</t>
        </is>
      </c>
      <c r="AV92" t="inlineStr">
        <is>
          <t>519184</t>
        </is>
      </c>
      <c r="AW92" t="inlineStr">
        <is>
          <t>991002905259702656</t>
        </is>
      </c>
      <c r="AX92" t="inlineStr">
        <is>
          <t>991002905259702656</t>
        </is>
      </c>
      <c r="AY92" t="inlineStr">
        <is>
          <t>2257024550002656</t>
        </is>
      </c>
      <c r="AZ92" t="inlineStr">
        <is>
          <t>BOOK</t>
        </is>
      </c>
      <c r="BC92" t="inlineStr">
        <is>
          <t>32285003047171</t>
        </is>
      </c>
      <c r="BD92" t="inlineStr">
        <is>
          <t>893598047</t>
        </is>
      </c>
    </row>
    <row r="93">
      <c r="A93" t="inlineStr">
        <is>
          <t>No</t>
        </is>
      </c>
      <c r="B93" t="inlineStr">
        <is>
          <t>NK1510 .B46 1970</t>
        </is>
      </c>
      <c r="C93" t="inlineStr">
        <is>
          <t>0                      NK 1510000B  46          1970</t>
        </is>
      </c>
      <c r="D93" t="inlineStr">
        <is>
          <t>Basic design : principles and practice / Kenneth F. Bates. Foreword by William M. Milliken.</t>
        </is>
      </c>
      <c r="F93" t="inlineStr">
        <is>
          <t>No</t>
        </is>
      </c>
      <c r="G93" t="inlineStr">
        <is>
          <t>1</t>
        </is>
      </c>
      <c r="H93" t="inlineStr">
        <is>
          <t>No</t>
        </is>
      </c>
      <c r="I93" t="inlineStr">
        <is>
          <t>No</t>
        </is>
      </c>
      <c r="J93" t="inlineStr">
        <is>
          <t>0</t>
        </is>
      </c>
      <c r="K93" t="inlineStr">
        <is>
          <t>Bates, Kenneth F. (Kenneth Francis), 1904-1994.</t>
        </is>
      </c>
      <c r="L93" t="inlineStr">
        <is>
          <t>Cleveland : World Pub. Co., 1970, c1960.</t>
        </is>
      </c>
      <c r="M93" t="inlineStr">
        <is>
          <t>1970</t>
        </is>
      </c>
      <c r="O93" t="inlineStr">
        <is>
          <t>eng</t>
        </is>
      </c>
      <c r="P93" t="inlineStr">
        <is>
          <t>___</t>
        </is>
      </c>
      <c r="R93" t="inlineStr">
        <is>
          <t xml:space="preserve">NK </t>
        </is>
      </c>
      <c r="S93" t="n">
        <v>8</v>
      </c>
      <c r="T93" t="n">
        <v>8</v>
      </c>
      <c r="U93" t="inlineStr">
        <is>
          <t>1999-01-18</t>
        </is>
      </c>
      <c r="V93" t="inlineStr">
        <is>
          <t>1999-01-18</t>
        </is>
      </c>
      <c r="W93" t="inlineStr">
        <is>
          <t>1990-02-08</t>
        </is>
      </c>
      <c r="X93" t="inlineStr">
        <is>
          <t>1990-02-08</t>
        </is>
      </c>
      <c r="Y93" t="n">
        <v>303</v>
      </c>
      <c r="Z93" t="n">
        <v>298</v>
      </c>
      <c r="AA93" t="n">
        <v>762</v>
      </c>
      <c r="AB93" t="n">
        <v>3</v>
      </c>
      <c r="AC93" t="n">
        <v>8</v>
      </c>
      <c r="AD93" t="n">
        <v>9</v>
      </c>
      <c r="AE93" t="n">
        <v>16</v>
      </c>
      <c r="AF93" t="n">
        <v>5</v>
      </c>
      <c r="AG93" t="n">
        <v>6</v>
      </c>
      <c r="AH93" t="n">
        <v>0</v>
      </c>
      <c r="AI93" t="n">
        <v>1</v>
      </c>
      <c r="AJ93" t="n">
        <v>3</v>
      </c>
      <c r="AK93" t="n">
        <v>6</v>
      </c>
      <c r="AL93" t="n">
        <v>2</v>
      </c>
      <c r="AM93" t="n">
        <v>4</v>
      </c>
      <c r="AN93" t="n">
        <v>0</v>
      </c>
      <c r="AO93" t="n">
        <v>0</v>
      </c>
      <c r="AP93" t="inlineStr">
        <is>
          <t>No</t>
        </is>
      </c>
      <c r="AQ93" t="inlineStr">
        <is>
          <t>No</t>
        </is>
      </c>
      <c r="AS93">
        <f>HYPERLINK("https://creighton-primo.hosted.exlibrisgroup.com/primo-explore/search?tab=default_tab&amp;search_scope=EVERYTHING&amp;vid=01CRU&amp;lang=en_US&amp;offset=0&amp;query=any,contains,991002359079702656","Catalog Record")</f>
        <v/>
      </c>
      <c r="AT93">
        <f>HYPERLINK("http://www.worldcat.org/oclc/325663","WorldCat Record")</f>
        <v/>
      </c>
      <c r="AU93" t="inlineStr">
        <is>
          <t>1414381:eng</t>
        </is>
      </c>
      <c r="AV93" t="inlineStr">
        <is>
          <t>325663</t>
        </is>
      </c>
      <c r="AW93" t="inlineStr">
        <is>
          <t>991002359079702656</t>
        </is>
      </c>
      <c r="AX93" t="inlineStr">
        <is>
          <t>991002359079702656</t>
        </is>
      </c>
      <c r="AY93" t="inlineStr">
        <is>
          <t>2269799460002656</t>
        </is>
      </c>
      <c r="AZ93" t="inlineStr">
        <is>
          <t>BOOK</t>
        </is>
      </c>
      <c r="BC93" t="inlineStr">
        <is>
          <t>32285000034016</t>
        </is>
      </c>
      <c r="BD93" t="inlineStr">
        <is>
          <t>893710185</t>
        </is>
      </c>
    </row>
    <row r="94">
      <c r="A94" t="inlineStr">
        <is>
          <t>No</t>
        </is>
      </c>
      <c r="B94" t="inlineStr">
        <is>
          <t>NK1510 .B475 1984</t>
        </is>
      </c>
      <c r="C94" t="inlineStr">
        <is>
          <t>0                      NK 1510000B  475         1984</t>
        </is>
      </c>
      <c r="D94" t="inlineStr">
        <is>
          <t>Design in the visual arts / Roy R. Behrens.</t>
        </is>
      </c>
      <c r="F94" t="inlineStr">
        <is>
          <t>No</t>
        </is>
      </c>
      <c r="G94" t="inlineStr">
        <is>
          <t>1</t>
        </is>
      </c>
      <c r="H94" t="inlineStr">
        <is>
          <t>No</t>
        </is>
      </c>
      <c r="I94" t="inlineStr">
        <is>
          <t>No</t>
        </is>
      </c>
      <c r="J94" t="inlineStr">
        <is>
          <t>0</t>
        </is>
      </c>
      <c r="K94" t="inlineStr">
        <is>
          <t>Behrens, Roy R., 1946-</t>
        </is>
      </c>
      <c r="L94" t="inlineStr">
        <is>
          <t>Englewood Cliffs, N.J. : Prentice-Hall, c1984.</t>
        </is>
      </c>
      <c r="M94" t="inlineStr">
        <is>
          <t>1984</t>
        </is>
      </c>
      <c r="O94" t="inlineStr">
        <is>
          <t>eng</t>
        </is>
      </c>
      <c r="P94" t="inlineStr">
        <is>
          <t>nju</t>
        </is>
      </c>
      <c r="R94" t="inlineStr">
        <is>
          <t xml:space="preserve">NK </t>
        </is>
      </c>
      <c r="S94" t="n">
        <v>5</v>
      </c>
      <c r="T94" t="n">
        <v>5</v>
      </c>
      <c r="U94" t="inlineStr">
        <is>
          <t>2002-10-03</t>
        </is>
      </c>
      <c r="V94" t="inlineStr">
        <is>
          <t>2002-10-03</t>
        </is>
      </c>
      <c r="W94" t="inlineStr">
        <is>
          <t>1992-02-25</t>
        </is>
      </c>
      <c r="X94" t="inlineStr">
        <is>
          <t>1992-02-25</t>
        </is>
      </c>
      <c r="Y94" t="n">
        <v>243</v>
      </c>
      <c r="Z94" t="n">
        <v>185</v>
      </c>
      <c r="AA94" t="n">
        <v>187</v>
      </c>
      <c r="AB94" t="n">
        <v>2</v>
      </c>
      <c r="AC94" t="n">
        <v>2</v>
      </c>
      <c r="AD94" t="n">
        <v>3</v>
      </c>
      <c r="AE94" t="n">
        <v>3</v>
      </c>
      <c r="AF94" t="n">
        <v>2</v>
      </c>
      <c r="AG94" t="n">
        <v>2</v>
      </c>
      <c r="AH94" t="n">
        <v>0</v>
      </c>
      <c r="AI94" t="n">
        <v>0</v>
      </c>
      <c r="AJ94" t="n">
        <v>0</v>
      </c>
      <c r="AK94" t="n">
        <v>0</v>
      </c>
      <c r="AL94" t="n">
        <v>1</v>
      </c>
      <c r="AM94" t="n">
        <v>1</v>
      </c>
      <c r="AN94" t="n">
        <v>0</v>
      </c>
      <c r="AO94" t="n">
        <v>0</v>
      </c>
      <c r="AP94" t="inlineStr">
        <is>
          <t>No</t>
        </is>
      </c>
      <c r="AQ94" t="inlineStr">
        <is>
          <t>Yes</t>
        </is>
      </c>
      <c r="AR94">
        <f>HYPERLINK("http://catalog.hathitrust.org/Record/000285640","HathiTrust Record")</f>
        <v/>
      </c>
      <c r="AS94">
        <f>HYPERLINK("https://creighton-primo.hosted.exlibrisgroup.com/primo-explore/search?tab=default_tab&amp;search_scope=EVERYTHING&amp;vid=01CRU&amp;lang=en_US&amp;offset=0&amp;query=any,contains,991000165269702656","Catalog Record")</f>
        <v/>
      </c>
      <c r="AT94">
        <f>HYPERLINK("http://www.worldcat.org/oclc/9282869","WorldCat Record")</f>
        <v/>
      </c>
      <c r="AU94" t="inlineStr">
        <is>
          <t>43132903:eng</t>
        </is>
      </c>
      <c r="AV94" t="inlineStr">
        <is>
          <t>9282869</t>
        </is>
      </c>
      <c r="AW94" t="inlineStr">
        <is>
          <t>991000165269702656</t>
        </is>
      </c>
      <c r="AX94" t="inlineStr">
        <is>
          <t>991000165269702656</t>
        </is>
      </c>
      <c r="AY94" t="inlineStr">
        <is>
          <t>2259911410002656</t>
        </is>
      </c>
      <c r="AZ94" t="inlineStr">
        <is>
          <t>BOOK</t>
        </is>
      </c>
      <c r="BB94" t="inlineStr">
        <is>
          <t>9780132019477</t>
        </is>
      </c>
      <c r="BC94" t="inlineStr">
        <is>
          <t>32285000975952</t>
        </is>
      </c>
      <c r="BD94" t="inlineStr">
        <is>
          <t>893777756</t>
        </is>
      </c>
    </row>
    <row r="95">
      <c r="A95" t="inlineStr">
        <is>
          <t>No</t>
        </is>
      </c>
      <c r="B95" t="inlineStr">
        <is>
          <t>NK1510 .B53 1970</t>
        </is>
      </c>
      <c r="C95" t="inlineStr">
        <is>
          <t>0                      NK 1510000B  53          1970</t>
        </is>
      </c>
      <c r="D95" t="inlineStr">
        <is>
          <t>Design through discovery.</t>
        </is>
      </c>
      <c r="F95" t="inlineStr">
        <is>
          <t>No</t>
        </is>
      </c>
      <c r="G95" t="inlineStr">
        <is>
          <t>1</t>
        </is>
      </c>
      <c r="H95" t="inlineStr">
        <is>
          <t>No</t>
        </is>
      </c>
      <c r="I95" t="inlineStr">
        <is>
          <t>No</t>
        </is>
      </c>
      <c r="J95" t="inlineStr">
        <is>
          <t>0</t>
        </is>
      </c>
      <c r="K95" t="inlineStr">
        <is>
          <t>Bevlin, Marjorie Elliott.</t>
        </is>
      </c>
      <c r="L95" t="inlineStr">
        <is>
          <t>New York : Holt, Rinehart and Winston, [1970]</t>
        </is>
      </c>
      <c r="M95" t="inlineStr">
        <is>
          <t>1970</t>
        </is>
      </c>
      <c r="N95" t="inlineStr">
        <is>
          <t>2d ed.</t>
        </is>
      </c>
      <c r="O95" t="inlineStr">
        <is>
          <t>eng</t>
        </is>
      </c>
      <c r="P95" t="inlineStr">
        <is>
          <t>nyu</t>
        </is>
      </c>
      <c r="R95" t="inlineStr">
        <is>
          <t xml:space="preserve">NK </t>
        </is>
      </c>
      <c r="S95" t="n">
        <v>3</v>
      </c>
      <c r="T95" t="n">
        <v>3</v>
      </c>
      <c r="U95" t="inlineStr">
        <is>
          <t>1999-01-18</t>
        </is>
      </c>
      <c r="V95" t="inlineStr">
        <is>
          <t>1999-01-18</t>
        </is>
      </c>
      <c r="W95" t="inlineStr">
        <is>
          <t>1994-04-19</t>
        </is>
      </c>
      <c r="X95" t="inlineStr">
        <is>
          <t>1994-04-19</t>
        </is>
      </c>
      <c r="Y95" t="n">
        <v>605</v>
      </c>
      <c r="Z95" t="n">
        <v>521</v>
      </c>
      <c r="AA95" t="n">
        <v>1064</v>
      </c>
      <c r="AB95" t="n">
        <v>3</v>
      </c>
      <c r="AC95" t="n">
        <v>6</v>
      </c>
      <c r="AD95" t="n">
        <v>14</v>
      </c>
      <c r="AE95" t="n">
        <v>29</v>
      </c>
      <c r="AF95" t="n">
        <v>5</v>
      </c>
      <c r="AG95" t="n">
        <v>14</v>
      </c>
      <c r="AH95" t="n">
        <v>3</v>
      </c>
      <c r="AI95" t="n">
        <v>5</v>
      </c>
      <c r="AJ95" t="n">
        <v>7</v>
      </c>
      <c r="AK95" t="n">
        <v>11</v>
      </c>
      <c r="AL95" t="n">
        <v>3</v>
      </c>
      <c r="AM95" t="n">
        <v>6</v>
      </c>
      <c r="AN95" t="n">
        <v>0</v>
      </c>
      <c r="AO95" t="n">
        <v>0</v>
      </c>
      <c r="AP95" t="inlineStr">
        <is>
          <t>No</t>
        </is>
      </c>
      <c r="AQ95" t="inlineStr">
        <is>
          <t>Yes</t>
        </is>
      </c>
      <c r="AR95">
        <f>HYPERLINK("http://catalog.hathitrust.org/Record/001470847","HathiTrust Record")</f>
        <v/>
      </c>
      <c r="AS95">
        <f>HYPERLINK("https://creighton-primo.hosted.exlibrisgroup.com/primo-explore/search?tab=default_tab&amp;search_scope=EVERYTHING&amp;vid=01CRU&amp;lang=en_US&amp;offset=0&amp;query=any,contains,991000436419702656","Catalog Record")</f>
        <v/>
      </c>
      <c r="AT95">
        <f>HYPERLINK("http://www.worldcat.org/oclc/76111","WorldCat Record")</f>
        <v/>
      </c>
      <c r="AU95" t="inlineStr">
        <is>
          <t>401393:eng</t>
        </is>
      </c>
      <c r="AV95" t="inlineStr">
        <is>
          <t>76111</t>
        </is>
      </c>
      <c r="AW95" t="inlineStr">
        <is>
          <t>991000436419702656</t>
        </is>
      </c>
      <c r="AX95" t="inlineStr">
        <is>
          <t>991000436419702656</t>
        </is>
      </c>
      <c r="AY95" t="inlineStr">
        <is>
          <t>2255497460002656</t>
        </is>
      </c>
      <c r="AZ95" t="inlineStr">
        <is>
          <t>BOOK</t>
        </is>
      </c>
      <c r="BB95" t="inlineStr">
        <is>
          <t>9780030721953</t>
        </is>
      </c>
      <c r="BC95" t="inlineStr">
        <is>
          <t>32285001890143</t>
        </is>
      </c>
      <c r="BD95" t="inlineStr">
        <is>
          <t>893689686</t>
        </is>
      </c>
    </row>
    <row r="96">
      <c r="A96" t="inlineStr">
        <is>
          <t>No</t>
        </is>
      </c>
      <c r="B96" t="inlineStr">
        <is>
          <t>NK1510 .C457 1983</t>
        </is>
      </c>
      <c r="C96" t="inlineStr">
        <is>
          <t>0                      NK 1510000C  457         1983</t>
        </is>
      </c>
      <c r="D96" t="inlineStr">
        <is>
          <t>Design concepts and applications / Frank R. Cheatham, Jane Hart Cheatham, Sheryl A. Haler.</t>
        </is>
      </c>
      <c r="F96" t="inlineStr">
        <is>
          <t>No</t>
        </is>
      </c>
      <c r="G96" t="inlineStr">
        <is>
          <t>1</t>
        </is>
      </c>
      <c r="H96" t="inlineStr">
        <is>
          <t>No</t>
        </is>
      </c>
      <c r="I96" t="inlineStr">
        <is>
          <t>No</t>
        </is>
      </c>
      <c r="J96" t="inlineStr">
        <is>
          <t>0</t>
        </is>
      </c>
      <c r="K96" t="inlineStr">
        <is>
          <t>Cheatham, Frank R.</t>
        </is>
      </c>
      <c r="L96" t="inlineStr">
        <is>
          <t>Englewood Cliffs, N.J. : Prentice-Hall, c1983.</t>
        </is>
      </c>
      <c r="M96" t="inlineStr">
        <is>
          <t>1983</t>
        </is>
      </c>
      <c r="O96" t="inlineStr">
        <is>
          <t>eng</t>
        </is>
      </c>
      <c r="P96" t="inlineStr">
        <is>
          <t>nju</t>
        </is>
      </c>
      <c r="R96" t="inlineStr">
        <is>
          <t xml:space="preserve">NK </t>
        </is>
      </c>
      <c r="S96" t="n">
        <v>6</v>
      </c>
      <c r="T96" t="n">
        <v>6</v>
      </c>
      <c r="U96" t="inlineStr">
        <is>
          <t>2003-09-17</t>
        </is>
      </c>
      <c r="V96" t="inlineStr">
        <is>
          <t>2003-09-17</t>
        </is>
      </c>
      <c r="W96" t="inlineStr">
        <is>
          <t>1993-06-01</t>
        </is>
      </c>
      <c r="X96" t="inlineStr">
        <is>
          <t>1993-06-01</t>
        </is>
      </c>
      <c r="Y96" t="n">
        <v>251</v>
      </c>
      <c r="Z96" t="n">
        <v>199</v>
      </c>
      <c r="AA96" t="n">
        <v>310</v>
      </c>
      <c r="AB96" t="n">
        <v>2</v>
      </c>
      <c r="AC96" t="n">
        <v>2</v>
      </c>
      <c r="AD96" t="n">
        <v>3</v>
      </c>
      <c r="AE96" t="n">
        <v>8</v>
      </c>
      <c r="AF96" t="n">
        <v>1</v>
      </c>
      <c r="AG96" t="n">
        <v>4</v>
      </c>
      <c r="AH96" t="n">
        <v>1</v>
      </c>
      <c r="AI96" t="n">
        <v>2</v>
      </c>
      <c r="AJ96" t="n">
        <v>0</v>
      </c>
      <c r="AK96" t="n">
        <v>4</v>
      </c>
      <c r="AL96" t="n">
        <v>1</v>
      </c>
      <c r="AM96" t="n">
        <v>1</v>
      </c>
      <c r="AN96" t="n">
        <v>0</v>
      </c>
      <c r="AO96" t="n">
        <v>0</v>
      </c>
      <c r="AP96" t="inlineStr">
        <is>
          <t>No</t>
        </is>
      </c>
      <c r="AQ96" t="inlineStr">
        <is>
          <t>No</t>
        </is>
      </c>
      <c r="AS96">
        <f>HYPERLINK("https://creighton-primo.hosted.exlibrisgroup.com/primo-explore/search?tab=default_tab&amp;search_scope=EVERYTHING&amp;vid=01CRU&amp;lang=en_US&amp;offset=0&amp;query=any,contains,991000035519702656","Catalog Record")</f>
        <v/>
      </c>
      <c r="AT96">
        <f>HYPERLINK("http://www.worldcat.org/oclc/8627501","WorldCat Record")</f>
        <v/>
      </c>
      <c r="AU96" t="inlineStr">
        <is>
          <t>8566224:eng</t>
        </is>
      </c>
      <c r="AV96" t="inlineStr">
        <is>
          <t>8627501</t>
        </is>
      </c>
      <c r="AW96" t="inlineStr">
        <is>
          <t>991000035519702656</t>
        </is>
      </c>
      <c r="AX96" t="inlineStr">
        <is>
          <t>991000035519702656</t>
        </is>
      </c>
      <c r="AY96" t="inlineStr">
        <is>
          <t>2261705570002656</t>
        </is>
      </c>
      <c r="AZ96" t="inlineStr">
        <is>
          <t>BOOK</t>
        </is>
      </c>
      <c r="BB96" t="inlineStr">
        <is>
          <t>9780132018975</t>
        </is>
      </c>
      <c r="BC96" t="inlineStr">
        <is>
          <t>32285001715928</t>
        </is>
      </c>
      <c r="BD96" t="inlineStr">
        <is>
          <t>893242916</t>
        </is>
      </c>
    </row>
    <row r="97">
      <c r="A97" t="inlineStr">
        <is>
          <t>No</t>
        </is>
      </c>
      <c r="B97" t="inlineStr">
        <is>
          <t>NK1510 .J7 1987</t>
        </is>
      </c>
      <c r="C97" t="inlineStr">
        <is>
          <t>0                      NK 1510000J  7           1987</t>
        </is>
      </c>
      <c r="D97" t="inlineStr">
        <is>
          <t>The grammar of ornament : all 100 color plates from the folio edition of the great Victorian sourcebook of historic design / Owen Jones.</t>
        </is>
      </c>
      <c r="F97" t="inlineStr">
        <is>
          <t>No</t>
        </is>
      </c>
      <c r="G97" t="inlineStr">
        <is>
          <t>1</t>
        </is>
      </c>
      <c r="H97" t="inlineStr">
        <is>
          <t>No</t>
        </is>
      </c>
      <c r="I97" t="inlineStr">
        <is>
          <t>No</t>
        </is>
      </c>
      <c r="J97" t="inlineStr">
        <is>
          <t>0</t>
        </is>
      </c>
      <c r="K97" t="inlineStr">
        <is>
          <t>Jones, Owen, 1809-1874.</t>
        </is>
      </c>
      <c r="L97" t="inlineStr">
        <is>
          <t>New York : Dover Publications, 1987.</t>
        </is>
      </c>
      <c r="M97" t="inlineStr">
        <is>
          <t>1987</t>
        </is>
      </c>
      <c r="O97" t="inlineStr">
        <is>
          <t>eng</t>
        </is>
      </c>
      <c r="P97" t="inlineStr">
        <is>
          <t>nyu</t>
        </is>
      </c>
      <c r="Q97" t="inlineStr">
        <is>
          <t>Dover pictorial archive series</t>
        </is>
      </c>
      <c r="R97" t="inlineStr">
        <is>
          <t xml:space="preserve">NK </t>
        </is>
      </c>
      <c r="S97" t="n">
        <v>4</v>
      </c>
      <c r="T97" t="n">
        <v>4</v>
      </c>
      <c r="U97" t="inlineStr">
        <is>
          <t>1998-04-03</t>
        </is>
      </c>
      <c r="V97" t="inlineStr">
        <is>
          <t>1998-04-03</t>
        </is>
      </c>
      <c r="W97" t="inlineStr">
        <is>
          <t>1997-02-27</t>
        </is>
      </c>
      <c r="X97" t="inlineStr">
        <is>
          <t>1997-02-27</t>
        </is>
      </c>
      <c r="Y97" t="n">
        <v>350</v>
      </c>
      <c r="Z97" t="n">
        <v>296</v>
      </c>
      <c r="AA97" t="n">
        <v>299</v>
      </c>
      <c r="AB97" t="n">
        <v>3</v>
      </c>
      <c r="AC97" t="n">
        <v>3</v>
      </c>
      <c r="AD97" t="n">
        <v>12</v>
      </c>
      <c r="AE97" t="n">
        <v>12</v>
      </c>
      <c r="AF97" t="n">
        <v>5</v>
      </c>
      <c r="AG97" t="n">
        <v>5</v>
      </c>
      <c r="AH97" t="n">
        <v>1</v>
      </c>
      <c r="AI97" t="n">
        <v>1</v>
      </c>
      <c r="AJ97" t="n">
        <v>7</v>
      </c>
      <c r="AK97" t="n">
        <v>7</v>
      </c>
      <c r="AL97" t="n">
        <v>2</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HYPERLINK("https://creighton-primo.hosted.exlibrisgroup.com/primo-explore/search?tab=default_tab&amp;search_scope=EVERYTHING&amp;vid=01CRU&amp;lang=en_US&amp;offset=0&amp;query=any,contains,991001069029702656","Catalog Record")</f>
        <v/>
      </c>
      <c r="AT97">
        <f>HYPERLINK("http://www.worldcat.org/oclc/15856525","WorldCat Record")</f>
        <v/>
      </c>
      <c r="AU97" t="inlineStr">
        <is>
          <t>3782121856:eng</t>
        </is>
      </c>
      <c r="AV97" t="inlineStr">
        <is>
          <t>15856525</t>
        </is>
      </c>
      <c r="AW97" t="inlineStr">
        <is>
          <t>991001069029702656</t>
        </is>
      </c>
      <c r="AX97" t="inlineStr">
        <is>
          <t>991001069029702656</t>
        </is>
      </c>
      <c r="AY97" t="inlineStr">
        <is>
          <t>2272459030002656</t>
        </is>
      </c>
      <c r="AZ97" t="inlineStr">
        <is>
          <t>BOOK</t>
        </is>
      </c>
      <c r="BB97" t="inlineStr">
        <is>
          <t>9780486254630</t>
        </is>
      </c>
      <c r="BC97" t="inlineStr">
        <is>
          <t>32285002434016</t>
        </is>
      </c>
      <c r="BD97" t="inlineStr">
        <is>
          <t>893903273</t>
        </is>
      </c>
    </row>
    <row r="98">
      <c r="A98" t="inlineStr">
        <is>
          <t>No</t>
        </is>
      </c>
      <c r="B98" t="inlineStr">
        <is>
          <t>NK1510 .S76 1983</t>
        </is>
      </c>
      <c r="C98" t="inlineStr">
        <is>
          <t>0                      NK 1510000S  76          1983</t>
        </is>
      </c>
      <c r="D98" t="inlineStr">
        <is>
          <t>Design dialogue / Jack Stoops, Jerry Samuelson.</t>
        </is>
      </c>
      <c r="F98" t="inlineStr">
        <is>
          <t>No</t>
        </is>
      </c>
      <c r="G98" t="inlineStr">
        <is>
          <t>1</t>
        </is>
      </c>
      <c r="H98" t="inlineStr">
        <is>
          <t>No</t>
        </is>
      </c>
      <c r="I98" t="inlineStr">
        <is>
          <t>No</t>
        </is>
      </c>
      <c r="J98" t="inlineStr">
        <is>
          <t>0</t>
        </is>
      </c>
      <c r="K98" t="inlineStr">
        <is>
          <t>Stoops, Jack D.</t>
        </is>
      </c>
      <c r="L98" t="inlineStr">
        <is>
          <t>Worcester, Mass. : Davis Publications, 1983.</t>
        </is>
      </c>
      <c r="M98" t="inlineStr">
        <is>
          <t>1983</t>
        </is>
      </c>
      <c r="O98" t="inlineStr">
        <is>
          <t>eng</t>
        </is>
      </c>
      <c r="P98" t="inlineStr">
        <is>
          <t>mau</t>
        </is>
      </c>
      <c r="R98" t="inlineStr">
        <is>
          <t xml:space="preserve">NK </t>
        </is>
      </c>
      <c r="S98" t="n">
        <v>2</v>
      </c>
      <c r="T98" t="n">
        <v>2</v>
      </c>
      <c r="U98" t="inlineStr">
        <is>
          <t>1995-01-03</t>
        </is>
      </c>
      <c r="V98" t="inlineStr">
        <is>
          <t>1995-01-03</t>
        </is>
      </c>
      <c r="W98" t="inlineStr">
        <is>
          <t>1993-06-01</t>
        </is>
      </c>
      <c r="X98" t="inlineStr">
        <is>
          <t>1993-06-01</t>
        </is>
      </c>
      <c r="Y98" t="n">
        <v>336</v>
      </c>
      <c r="Z98" t="n">
        <v>296</v>
      </c>
      <c r="AA98" t="n">
        <v>357</v>
      </c>
      <c r="AB98" t="n">
        <v>4</v>
      </c>
      <c r="AC98" t="n">
        <v>5</v>
      </c>
      <c r="AD98" t="n">
        <v>5</v>
      </c>
      <c r="AE98" t="n">
        <v>5</v>
      </c>
      <c r="AF98" t="n">
        <v>1</v>
      </c>
      <c r="AG98" t="n">
        <v>1</v>
      </c>
      <c r="AH98" t="n">
        <v>0</v>
      </c>
      <c r="AI98" t="n">
        <v>0</v>
      </c>
      <c r="AJ98" t="n">
        <v>1</v>
      </c>
      <c r="AK98" t="n">
        <v>1</v>
      </c>
      <c r="AL98" t="n">
        <v>3</v>
      </c>
      <c r="AM98" t="n">
        <v>3</v>
      </c>
      <c r="AN98" t="n">
        <v>0</v>
      </c>
      <c r="AO98" t="n">
        <v>0</v>
      </c>
      <c r="AP98" t="inlineStr">
        <is>
          <t>No</t>
        </is>
      </c>
      <c r="AQ98" t="inlineStr">
        <is>
          <t>Yes</t>
        </is>
      </c>
      <c r="AR98">
        <f>HYPERLINK("http://catalog.hathitrust.org/Record/000110711","HathiTrust Record")</f>
        <v/>
      </c>
      <c r="AS98">
        <f>HYPERLINK("https://creighton-primo.hosted.exlibrisgroup.com/primo-explore/search?tab=default_tab&amp;search_scope=EVERYTHING&amp;vid=01CRU&amp;lang=en_US&amp;offset=0&amp;query=any,contains,991000236679702656","Catalog Record")</f>
        <v/>
      </c>
      <c r="AT98">
        <f>HYPERLINK("http://www.worldcat.org/oclc/9656650","WorldCat Record")</f>
        <v/>
      </c>
      <c r="AU98" t="inlineStr">
        <is>
          <t>1080572:eng</t>
        </is>
      </c>
      <c r="AV98" t="inlineStr">
        <is>
          <t>9656650</t>
        </is>
      </c>
      <c r="AW98" t="inlineStr">
        <is>
          <t>991000236679702656</t>
        </is>
      </c>
      <c r="AX98" t="inlineStr">
        <is>
          <t>991000236679702656</t>
        </is>
      </c>
      <c r="AY98" t="inlineStr">
        <is>
          <t>2269973690002656</t>
        </is>
      </c>
      <c r="AZ98" t="inlineStr">
        <is>
          <t>BOOK</t>
        </is>
      </c>
      <c r="BB98" t="inlineStr">
        <is>
          <t>9780871921390</t>
        </is>
      </c>
      <c r="BC98" t="inlineStr">
        <is>
          <t>32285001715944</t>
        </is>
      </c>
      <c r="BD98" t="inlineStr">
        <is>
          <t>893708236</t>
        </is>
      </c>
    </row>
    <row r="99">
      <c r="A99" t="inlineStr">
        <is>
          <t>No</t>
        </is>
      </c>
      <c r="B99" t="inlineStr">
        <is>
          <t>NK1535 .W4</t>
        </is>
      </c>
      <c r="C99" t="inlineStr">
        <is>
          <t>0                      NK 1535000W  4</t>
        </is>
      </c>
      <c r="D99" t="inlineStr">
        <is>
          <t>Harry Wearne : a short account of his life and work / with 63 reproductions of his designs in full color.</t>
        </is>
      </c>
      <c r="F99" t="inlineStr">
        <is>
          <t>No</t>
        </is>
      </c>
      <c r="G99" t="inlineStr">
        <is>
          <t>1</t>
        </is>
      </c>
      <c r="H99" t="inlineStr">
        <is>
          <t>No</t>
        </is>
      </c>
      <c r="I99" t="inlineStr">
        <is>
          <t>No</t>
        </is>
      </c>
      <c r="J99" t="inlineStr">
        <is>
          <t>0</t>
        </is>
      </c>
      <c r="K99" t="inlineStr">
        <is>
          <t>Wearne, Harry, 1852-1929.</t>
        </is>
      </c>
      <c r="L99" t="inlineStr">
        <is>
          <t>[Baltimore ; New York : Thomsen-Ellis Company, c1933]</t>
        </is>
      </c>
      <c r="M99" t="inlineStr">
        <is>
          <t>1933</t>
        </is>
      </c>
      <c r="O99" t="inlineStr">
        <is>
          <t>eng</t>
        </is>
      </c>
      <c r="P99" t="inlineStr">
        <is>
          <t>mdu</t>
        </is>
      </c>
      <c r="R99" t="inlineStr">
        <is>
          <t xml:space="preserve">NK </t>
        </is>
      </c>
      <c r="S99" t="n">
        <v>2</v>
      </c>
      <c r="T99" t="n">
        <v>2</v>
      </c>
      <c r="U99" t="inlineStr">
        <is>
          <t>1993-11-11</t>
        </is>
      </c>
      <c r="V99" t="inlineStr">
        <is>
          <t>1993-11-11</t>
        </is>
      </c>
      <c r="W99" t="inlineStr">
        <is>
          <t>1993-11-10</t>
        </is>
      </c>
      <c r="X99" t="inlineStr">
        <is>
          <t>1993-11-10</t>
        </is>
      </c>
      <c r="Y99" t="n">
        <v>147</v>
      </c>
      <c r="Z99" t="n">
        <v>123</v>
      </c>
      <c r="AA99" t="n">
        <v>123</v>
      </c>
      <c r="AB99" t="n">
        <v>2</v>
      </c>
      <c r="AC99" t="n">
        <v>2</v>
      </c>
      <c r="AD99" t="n">
        <v>5</v>
      </c>
      <c r="AE99" t="n">
        <v>5</v>
      </c>
      <c r="AF99" t="n">
        <v>2</v>
      </c>
      <c r="AG99" t="n">
        <v>2</v>
      </c>
      <c r="AH99" t="n">
        <v>1</v>
      </c>
      <c r="AI99" t="n">
        <v>1</v>
      </c>
      <c r="AJ99" t="n">
        <v>2</v>
      </c>
      <c r="AK99" t="n">
        <v>2</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HYPERLINK("https://creighton-primo.hosted.exlibrisgroup.com/primo-explore/search?tab=default_tab&amp;search_scope=EVERYTHING&amp;vid=01CRU&amp;lang=en_US&amp;offset=0&amp;query=any,contains,991003511379702656","Catalog Record")</f>
        <v/>
      </c>
      <c r="AT99">
        <f>HYPERLINK("http://www.worldcat.org/oclc/1066153","WorldCat Record")</f>
        <v/>
      </c>
      <c r="AU99" t="inlineStr">
        <is>
          <t>504331650:eng</t>
        </is>
      </c>
      <c r="AV99" t="inlineStr">
        <is>
          <t>1066153</t>
        </is>
      </c>
      <c r="AW99" t="inlineStr">
        <is>
          <t>991003511379702656</t>
        </is>
      </c>
      <c r="AX99" t="inlineStr">
        <is>
          <t>991003511379702656</t>
        </is>
      </c>
      <c r="AY99" t="inlineStr">
        <is>
          <t>2269209620002656</t>
        </is>
      </c>
      <c r="AZ99" t="inlineStr">
        <is>
          <t>BOOK</t>
        </is>
      </c>
      <c r="BC99" t="inlineStr">
        <is>
          <t>32285001797876</t>
        </is>
      </c>
      <c r="BD99" t="inlineStr">
        <is>
          <t>893904396</t>
        </is>
      </c>
    </row>
    <row r="100">
      <c r="A100" t="inlineStr">
        <is>
          <t>No</t>
        </is>
      </c>
      <c r="B100" t="inlineStr">
        <is>
          <t>NK1535.M67 A4 1996</t>
        </is>
      </c>
      <c r="C100" t="inlineStr">
        <is>
          <t>0                      NK 1535000M  67                 A  4           1996</t>
        </is>
      </c>
      <c r="D100" t="inlineStr">
        <is>
          <t>William Morris / edited by Linda Parry.</t>
        </is>
      </c>
      <c r="F100" t="inlineStr">
        <is>
          <t>No</t>
        </is>
      </c>
      <c r="G100" t="inlineStr">
        <is>
          <t>1</t>
        </is>
      </c>
      <c r="H100" t="inlineStr">
        <is>
          <t>No</t>
        </is>
      </c>
      <c r="I100" t="inlineStr">
        <is>
          <t>No</t>
        </is>
      </c>
      <c r="J100" t="inlineStr">
        <is>
          <t>0</t>
        </is>
      </c>
      <c r="L100" t="inlineStr">
        <is>
          <t>New York : Abrams, 1996.</t>
        </is>
      </c>
      <c r="M100" t="inlineStr">
        <is>
          <t>1996</t>
        </is>
      </c>
      <c r="O100" t="inlineStr">
        <is>
          <t>eng</t>
        </is>
      </c>
      <c r="P100" t="inlineStr">
        <is>
          <t>nyu</t>
        </is>
      </c>
      <c r="R100" t="inlineStr">
        <is>
          <t xml:space="preserve">NK </t>
        </is>
      </c>
      <c r="S100" t="n">
        <v>1</v>
      </c>
      <c r="T100" t="n">
        <v>1</v>
      </c>
      <c r="U100" t="inlineStr">
        <is>
          <t>2000-11-22</t>
        </is>
      </c>
      <c r="V100" t="inlineStr">
        <is>
          <t>2000-11-22</t>
        </is>
      </c>
      <c r="W100" t="inlineStr">
        <is>
          <t>1996-10-03</t>
        </is>
      </c>
      <c r="X100" t="inlineStr">
        <is>
          <t>1996-10-03</t>
        </is>
      </c>
      <c r="Y100" t="n">
        <v>611</v>
      </c>
      <c r="Z100" t="n">
        <v>558</v>
      </c>
      <c r="AA100" t="n">
        <v>626</v>
      </c>
      <c r="AB100" t="n">
        <v>4</v>
      </c>
      <c r="AC100" t="n">
        <v>4</v>
      </c>
      <c r="AD100" t="n">
        <v>20</v>
      </c>
      <c r="AE100" t="n">
        <v>21</v>
      </c>
      <c r="AF100" t="n">
        <v>6</v>
      </c>
      <c r="AG100" t="n">
        <v>7</v>
      </c>
      <c r="AH100" t="n">
        <v>5</v>
      </c>
      <c r="AI100" t="n">
        <v>5</v>
      </c>
      <c r="AJ100" t="n">
        <v>12</v>
      </c>
      <c r="AK100" t="n">
        <v>12</v>
      </c>
      <c r="AL100" t="n">
        <v>2</v>
      </c>
      <c r="AM100" t="n">
        <v>2</v>
      </c>
      <c r="AN100" t="n">
        <v>0</v>
      </c>
      <c r="AO100" t="n">
        <v>0</v>
      </c>
      <c r="AP100" t="inlineStr">
        <is>
          <t>No</t>
        </is>
      </c>
      <c r="AQ100" t="inlineStr">
        <is>
          <t>Yes</t>
        </is>
      </c>
      <c r="AR100">
        <f>HYPERLINK("http://catalog.hathitrust.org/Record/003110260","HathiTrust Record")</f>
        <v/>
      </c>
      <c r="AS100">
        <f>HYPERLINK("https://creighton-primo.hosted.exlibrisgroup.com/primo-explore/search?tab=default_tab&amp;search_scope=EVERYTHING&amp;vid=01CRU&amp;lang=en_US&amp;offset=0&amp;query=any,contains,991002587279702656","Catalog Record")</f>
        <v/>
      </c>
      <c r="AT100">
        <f>HYPERLINK("http://www.worldcat.org/oclc/33899041","WorldCat Record")</f>
        <v/>
      </c>
      <c r="AU100" t="inlineStr">
        <is>
          <t>1566527:eng</t>
        </is>
      </c>
      <c r="AV100" t="inlineStr">
        <is>
          <t>33899041</t>
        </is>
      </c>
      <c r="AW100" t="inlineStr">
        <is>
          <t>991002587279702656</t>
        </is>
      </c>
      <c r="AX100" t="inlineStr">
        <is>
          <t>991002587279702656</t>
        </is>
      </c>
      <c r="AY100" t="inlineStr">
        <is>
          <t>2269738270002656</t>
        </is>
      </c>
      <c r="AZ100" t="inlineStr">
        <is>
          <t>BOOK</t>
        </is>
      </c>
      <c r="BB100" t="inlineStr">
        <is>
          <t>9780810942820</t>
        </is>
      </c>
      <c r="BC100" t="inlineStr">
        <is>
          <t>32285002322617</t>
        </is>
      </c>
      <c r="BD100" t="inlineStr">
        <is>
          <t>893341605</t>
        </is>
      </c>
    </row>
    <row r="101">
      <c r="A101" t="inlineStr">
        <is>
          <t>No</t>
        </is>
      </c>
      <c r="B101" t="inlineStr">
        <is>
          <t>NK1653.G4 H36 1998</t>
        </is>
      </c>
      <c r="C101" t="inlineStr">
        <is>
          <t>0                      NK 1653000G  4                  H  36          1998</t>
        </is>
      </c>
      <c r="D101" t="inlineStr">
        <is>
          <t>The visual and the visionary : art and female spirituality in late medieval Germany / Jeffrey F. Hamburger.</t>
        </is>
      </c>
      <c r="F101" t="inlineStr">
        <is>
          <t>No</t>
        </is>
      </c>
      <c r="G101" t="inlineStr">
        <is>
          <t>1</t>
        </is>
      </c>
      <c r="H101" t="inlineStr">
        <is>
          <t>No</t>
        </is>
      </c>
      <c r="I101" t="inlineStr">
        <is>
          <t>No</t>
        </is>
      </c>
      <c r="J101" t="inlineStr">
        <is>
          <t>0</t>
        </is>
      </c>
      <c r="K101" t="inlineStr">
        <is>
          <t>Hamburger, Jeffrey F., 1957-</t>
        </is>
      </c>
      <c r="L101" t="inlineStr">
        <is>
          <t>New York : Zone Books ; Cambridge, Mass. : MIT Press, 1998.</t>
        </is>
      </c>
      <c r="M101" t="inlineStr">
        <is>
          <t>1998</t>
        </is>
      </c>
      <c r="O101" t="inlineStr">
        <is>
          <t>eng</t>
        </is>
      </c>
      <c r="P101" t="inlineStr">
        <is>
          <t>nyu</t>
        </is>
      </c>
      <c r="R101" t="inlineStr">
        <is>
          <t xml:space="preserve">NK </t>
        </is>
      </c>
      <c r="S101" t="n">
        <v>4</v>
      </c>
      <c r="T101" t="n">
        <v>4</v>
      </c>
      <c r="U101" t="inlineStr">
        <is>
          <t>2006-12-20</t>
        </is>
      </c>
      <c r="V101" t="inlineStr">
        <is>
          <t>2006-12-20</t>
        </is>
      </c>
      <c r="W101" t="inlineStr">
        <is>
          <t>2000-09-05</t>
        </is>
      </c>
      <c r="X101" t="inlineStr">
        <is>
          <t>2000-09-05</t>
        </is>
      </c>
      <c r="Y101" t="n">
        <v>508</v>
      </c>
      <c r="Z101" t="n">
        <v>394</v>
      </c>
      <c r="AA101" t="n">
        <v>533</v>
      </c>
      <c r="AB101" t="n">
        <v>3</v>
      </c>
      <c r="AC101" t="n">
        <v>4</v>
      </c>
      <c r="AD101" t="n">
        <v>19</v>
      </c>
      <c r="AE101" t="n">
        <v>27</v>
      </c>
      <c r="AF101" t="n">
        <v>7</v>
      </c>
      <c r="AG101" t="n">
        <v>11</v>
      </c>
      <c r="AH101" t="n">
        <v>4</v>
      </c>
      <c r="AI101" t="n">
        <v>7</v>
      </c>
      <c r="AJ101" t="n">
        <v>11</v>
      </c>
      <c r="AK101" t="n">
        <v>14</v>
      </c>
      <c r="AL101" t="n">
        <v>2</v>
      </c>
      <c r="AM101" t="n">
        <v>3</v>
      </c>
      <c r="AN101" t="n">
        <v>0</v>
      </c>
      <c r="AO101" t="n">
        <v>0</v>
      </c>
      <c r="AP101" t="inlineStr">
        <is>
          <t>No</t>
        </is>
      </c>
      <c r="AQ101" t="inlineStr">
        <is>
          <t>Yes</t>
        </is>
      </c>
      <c r="AR101">
        <f>HYPERLINK("http://catalog.hathitrust.org/Record/004012354","HathiTrust Record")</f>
        <v/>
      </c>
      <c r="AS101">
        <f>HYPERLINK("https://creighton-primo.hosted.exlibrisgroup.com/primo-explore/search?tab=default_tab&amp;search_scope=EVERYTHING&amp;vid=01CRU&amp;lang=en_US&amp;offset=0&amp;query=any,contains,991003230489702656","Catalog Record")</f>
        <v/>
      </c>
      <c r="AT101">
        <f>HYPERLINK("http://www.worldcat.org/oclc/36900882","WorldCat Record")</f>
        <v/>
      </c>
      <c r="AU101" t="inlineStr">
        <is>
          <t>659170:eng</t>
        </is>
      </c>
      <c r="AV101" t="inlineStr">
        <is>
          <t>36900882</t>
        </is>
      </c>
      <c r="AW101" t="inlineStr">
        <is>
          <t>991003230489702656</t>
        </is>
      </c>
      <c r="AX101" t="inlineStr">
        <is>
          <t>991003230489702656</t>
        </is>
      </c>
      <c r="AY101" t="inlineStr">
        <is>
          <t>2272019670002656</t>
        </is>
      </c>
      <c r="AZ101" t="inlineStr">
        <is>
          <t>BOOK</t>
        </is>
      </c>
      <c r="BB101" t="inlineStr">
        <is>
          <t>9780942299458</t>
        </is>
      </c>
      <c r="BC101" t="inlineStr">
        <is>
          <t>32285003749784</t>
        </is>
      </c>
      <c r="BD101" t="inlineStr">
        <is>
          <t>893868212</t>
        </is>
      </c>
    </row>
    <row r="102">
      <c r="A102" t="inlineStr">
        <is>
          <t>No</t>
        </is>
      </c>
      <c r="B102" t="inlineStr">
        <is>
          <t>NK1672 .O93 2000</t>
        </is>
      </c>
      <c r="C102" t="inlineStr">
        <is>
          <t>0                      NK 1672000O  93          2000</t>
        </is>
      </c>
      <c r="D102" t="inlineStr">
        <is>
          <t>Symbols of Judaism / by Marc-Alain Ouaknin ; photographs by Laziz Hamani ; [translated by Mimi Tompkins in collaboration with Liz Ayres].</t>
        </is>
      </c>
      <c r="F102" t="inlineStr">
        <is>
          <t>No</t>
        </is>
      </c>
      <c r="G102" t="inlineStr">
        <is>
          <t>1</t>
        </is>
      </c>
      <c r="H102" t="inlineStr">
        <is>
          <t>No</t>
        </is>
      </c>
      <c r="I102" t="inlineStr">
        <is>
          <t>No</t>
        </is>
      </c>
      <c r="J102" t="inlineStr">
        <is>
          <t>0</t>
        </is>
      </c>
      <c r="K102" t="inlineStr">
        <is>
          <t>Ouaknin, Marc-Alain.</t>
        </is>
      </c>
      <c r="L102" t="inlineStr">
        <is>
          <t>New York, NY : Editions Assouline, c2000.</t>
        </is>
      </c>
      <c r="M102" t="inlineStr">
        <is>
          <t>2000</t>
        </is>
      </c>
      <c r="O102" t="inlineStr">
        <is>
          <t>eng</t>
        </is>
      </c>
      <c r="P102" t="inlineStr">
        <is>
          <t>nyu</t>
        </is>
      </c>
      <c r="R102" t="inlineStr">
        <is>
          <t xml:space="preserve">NK </t>
        </is>
      </c>
      <c r="S102" t="n">
        <v>6</v>
      </c>
      <c r="T102" t="n">
        <v>6</v>
      </c>
      <c r="U102" t="inlineStr">
        <is>
          <t>2008-04-18</t>
        </is>
      </c>
      <c r="V102" t="inlineStr">
        <is>
          <t>2008-04-18</t>
        </is>
      </c>
      <c r="W102" t="inlineStr">
        <is>
          <t>2002-05-01</t>
        </is>
      </c>
      <c r="X102" t="inlineStr">
        <is>
          <t>2002-05-01</t>
        </is>
      </c>
      <c r="Y102" t="n">
        <v>169</v>
      </c>
      <c r="Z102" t="n">
        <v>156</v>
      </c>
      <c r="AA102" t="n">
        <v>516</v>
      </c>
      <c r="AB102" t="n">
        <v>1</v>
      </c>
      <c r="AC102" t="n">
        <v>3</v>
      </c>
      <c r="AD102" t="n">
        <v>1</v>
      </c>
      <c r="AE102" t="n">
        <v>12</v>
      </c>
      <c r="AF102" t="n">
        <v>1</v>
      </c>
      <c r="AG102" t="n">
        <v>3</v>
      </c>
      <c r="AH102" t="n">
        <v>0</v>
      </c>
      <c r="AI102" t="n">
        <v>4</v>
      </c>
      <c r="AJ102" t="n">
        <v>1</v>
      </c>
      <c r="AK102" t="n">
        <v>6</v>
      </c>
      <c r="AL102" t="n">
        <v>0</v>
      </c>
      <c r="AM102" t="n">
        <v>2</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HYPERLINK("https://creighton-primo.hosted.exlibrisgroup.com/primo-explore/search?tab=default_tab&amp;search_scope=EVERYTHING&amp;vid=01CRU&amp;lang=en_US&amp;offset=0&amp;query=any,contains,991003797829702656","Catalog Record")</f>
        <v/>
      </c>
      <c r="AT102">
        <f>HYPERLINK("http://www.worldcat.org/oclc/47051391","WorldCat Record")</f>
        <v/>
      </c>
      <c r="AU102" t="inlineStr">
        <is>
          <t>506050907:eng</t>
        </is>
      </c>
      <c r="AV102" t="inlineStr">
        <is>
          <t>47051391</t>
        </is>
      </c>
      <c r="AW102" t="inlineStr">
        <is>
          <t>991003797829702656</t>
        </is>
      </c>
      <c r="AX102" t="inlineStr">
        <is>
          <t>991003797829702656</t>
        </is>
      </c>
      <c r="AY102" t="inlineStr">
        <is>
          <t>2270497080002656</t>
        </is>
      </c>
      <c r="AZ102" t="inlineStr">
        <is>
          <t>BOOK</t>
        </is>
      </c>
      <c r="BB102" t="inlineStr">
        <is>
          <t>9782843231988</t>
        </is>
      </c>
      <c r="BC102" t="inlineStr">
        <is>
          <t>32285004485487</t>
        </is>
      </c>
      <c r="BD102" t="inlineStr">
        <is>
          <t>893711813</t>
        </is>
      </c>
    </row>
    <row r="103">
      <c r="A103" t="inlineStr">
        <is>
          <t>No</t>
        </is>
      </c>
      <c r="B103" t="inlineStr">
        <is>
          <t>NK1860 .P713</t>
        </is>
      </c>
      <c r="C103" t="inlineStr">
        <is>
          <t>0                      NK 1860000P  713</t>
        </is>
      </c>
      <c r="D103" t="inlineStr">
        <is>
          <t>An illustrated history of furnishing : from the Renaissance to the 20th century / [translated from the Italian by William Weaver]</t>
        </is>
      </c>
      <c r="F103" t="inlineStr">
        <is>
          <t>No</t>
        </is>
      </c>
      <c r="G103" t="inlineStr">
        <is>
          <t>1</t>
        </is>
      </c>
      <c r="H103" t="inlineStr">
        <is>
          <t>No</t>
        </is>
      </c>
      <c r="I103" t="inlineStr">
        <is>
          <t>No</t>
        </is>
      </c>
      <c r="J103" t="inlineStr">
        <is>
          <t>0</t>
        </is>
      </c>
      <c r="K103" t="inlineStr">
        <is>
          <t>Praz, Mario, 1896-1982.</t>
        </is>
      </c>
      <c r="L103" t="inlineStr">
        <is>
          <t>New York : G. Braziller, [1964]</t>
        </is>
      </c>
      <c r="M103" t="inlineStr">
        <is>
          <t>1964</t>
        </is>
      </c>
      <c r="O103" t="inlineStr">
        <is>
          <t>eng</t>
        </is>
      </c>
      <c r="P103" t="inlineStr">
        <is>
          <t>nyu</t>
        </is>
      </c>
      <c r="R103" t="inlineStr">
        <is>
          <t xml:space="preserve">NK </t>
        </is>
      </c>
      <c r="S103" t="n">
        <v>6</v>
      </c>
      <c r="T103" t="n">
        <v>6</v>
      </c>
      <c r="U103" t="inlineStr">
        <is>
          <t>2004-04-13</t>
        </is>
      </c>
      <c r="V103" t="inlineStr">
        <is>
          <t>2004-04-13</t>
        </is>
      </c>
      <c r="W103" t="inlineStr">
        <is>
          <t>1992-12-22</t>
        </is>
      </c>
      <c r="X103" t="inlineStr">
        <is>
          <t>1992-12-22</t>
        </is>
      </c>
      <c r="Y103" t="n">
        <v>931</v>
      </c>
      <c r="Z103" t="n">
        <v>871</v>
      </c>
      <c r="AA103" t="n">
        <v>882</v>
      </c>
      <c r="AB103" t="n">
        <v>6</v>
      </c>
      <c r="AC103" t="n">
        <v>6</v>
      </c>
      <c r="AD103" t="n">
        <v>30</v>
      </c>
      <c r="AE103" t="n">
        <v>30</v>
      </c>
      <c r="AF103" t="n">
        <v>14</v>
      </c>
      <c r="AG103" t="n">
        <v>14</v>
      </c>
      <c r="AH103" t="n">
        <v>8</v>
      </c>
      <c r="AI103" t="n">
        <v>8</v>
      </c>
      <c r="AJ103" t="n">
        <v>10</v>
      </c>
      <c r="AK103" t="n">
        <v>10</v>
      </c>
      <c r="AL103" t="n">
        <v>4</v>
      </c>
      <c r="AM103" t="n">
        <v>4</v>
      </c>
      <c r="AN103" t="n">
        <v>0</v>
      </c>
      <c r="AO103" t="n">
        <v>0</v>
      </c>
      <c r="AP103" t="inlineStr">
        <is>
          <t>No</t>
        </is>
      </c>
      <c r="AQ103" t="inlineStr">
        <is>
          <t>Yes</t>
        </is>
      </c>
      <c r="AR103">
        <f>HYPERLINK("http://catalog.hathitrust.org/Record/001470936","HathiTrust Record")</f>
        <v/>
      </c>
      <c r="AS103">
        <f>HYPERLINK("https://creighton-primo.hosted.exlibrisgroup.com/primo-explore/search?tab=default_tab&amp;search_scope=EVERYTHING&amp;vid=01CRU&amp;lang=en_US&amp;offset=0&amp;query=any,contains,991001291889702656","Catalog Record")</f>
        <v/>
      </c>
      <c r="AT103">
        <f>HYPERLINK("http://www.worldcat.org/oclc/218123","WorldCat Record")</f>
        <v/>
      </c>
      <c r="AU103" t="inlineStr">
        <is>
          <t>4160274621:eng</t>
        </is>
      </c>
      <c r="AV103" t="inlineStr">
        <is>
          <t>218123</t>
        </is>
      </c>
      <c r="AW103" t="inlineStr">
        <is>
          <t>991001291889702656</t>
        </is>
      </c>
      <c r="AX103" t="inlineStr">
        <is>
          <t>991001291889702656</t>
        </is>
      </c>
      <c r="AY103" t="inlineStr">
        <is>
          <t>2258767950002656</t>
        </is>
      </c>
      <c r="AZ103" t="inlineStr">
        <is>
          <t>BOOK</t>
        </is>
      </c>
      <c r="BC103" t="inlineStr">
        <is>
          <t>32285001471456</t>
        </is>
      </c>
      <c r="BD103" t="inlineStr">
        <is>
          <t>893785009</t>
        </is>
      </c>
    </row>
    <row r="104">
      <c r="A104" t="inlineStr">
        <is>
          <t>No</t>
        </is>
      </c>
      <c r="B104" t="inlineStr">
        <is>
          <t>NK1860 .P713 1964b</t>
        </is>
      </c>
      <c r="C104" t="inlineStr">
        <is>
          <t>0                      NK 1860000P  713         1964b</t>
        </is>
      </c>
      <c r="D104" t="inlineStr">
        <is>
          <t>An illustrated history of interior decoration : from Pompeii to Art Nouveau / Mario Praz.</t>
        </is>
      </c>
      <c r="F104" t="inlineStr">
        <is>
          <t>No</t>
        </is>
      </c>
      <c r="G104" t="inlineStr">
        <is>
          <t>1</t>
        </is>
      </c>
      <c r="H104" t="inlineStr">
        <is>
          <t>No</t>
        </is>
      </c>
      <c r="I104" t="inlineStr">
        <is>
          <t>No</t>
        </is>
      </c>
      <c r="J104" t="inlineStr">
        <is>
          <t>0</t>
        </is>
      </c>
      <c r="K104" t="inlineStr">
        <is>
          <t>Praz, Mario, 1896-1982.</t>
        </is>
      </c>
      <c r="L104" t="inlineStr">
        <is>
          <t>London : Thames and Hudson, 1964.</t>
        </is>
      </c>
      <c r="M104" t="inlineStr">
        <is>
          <t>1964</t>
        </is>
      </c>
      <c r="O104" t="inlineStr">
        <is>
          <t>eng</t>
        </is>
      </c>
      <c r="P104" t="inlineStr">
        <is>
          <t>enk</t>
        </is>
      </c>
      <c r="R104" t="inlineStr">
        <is>
          <t xml:space="preserve">NK </t>
        </is>
      </c>
      <c r="S104" t="n">
        <v>1</v>
      </c>
      <c r="T104" t="n">
        <v>1</v>
      </c>
      <c r="U104" t="inlineStr">
        <is>
          <t>2001-02-25</t>
        </is>
      </c>
      <c r="V104" t="inlineStr">
        <is>
          <t>2001-02-25</t>
        </is>
      </c>
      <c r="W104" t="inlineStr">
        <is>
          <t>1999-05-10</t>
        </is>
      </c>
      <c r="X104" t="inlineStr">
        <is>
          <t>1999-05-10</t>
        </is>
      </c>
      <c r="Y104" t="n">
        <v>159</v>
      </c>
      <c r="Z104" t="n">
        <v>56</v>
      </c>
      <c r="AA104" t="n">
        <v>524</v>
      </c>
      <c r="AB104" t="n">
        <v>1</v>
      </c>
      <c r="AC104" t="n">
        <v>4</v>
      </c>
      <c r="AD104" t="n">
        <v>3</v>
      </c>
      <c r="AE104" t="n">
        <v>21</v>
      </c>
      <c r="AF104" t="n">
        <v>2</v>
      </c>
      <c r="AG104" t="n">
        <v>8</v>
      </c>
      <c r="AH104" t="n">
        <v>0</v>
      </c>
      <c r="AI104" t="n">
        <v>5</v>
      </c>
      <c r="AJ104" t="n">
        <v>1</v>
      </c>
      <c r="AK104" t="n">
        <v>9</v>
      </c>
      <c r="AL104" t="n">
        <v>0</v>
      </c>
      <c r="AM104" t="n">
        <v>3</v>
      </c>
      <c r="AN104" t="n">
        <v>0</v>
      </c>
      <c r="AO104" t="n">
        <v>0</v>
      </c>
      <c r="AP104" t="inlineStr">
        <is>
          <t>No</t>
        </is>
      </c>
      <c r="AQ104" t="inlineStr">
        <is>
          <t>Yes</t>
        </is>
      </c>
      <c r="AR104">
        <f>HYPERLINK("http://catalog.hathitrust.org/Record/001990149","HathiTrust Record")</f>
        <v/>
      </c>
      <c r="AS104">
        <f>HYPERLINK("https://creighton-primo.hosted.exlibrisgroup.com/primo-explore/search?tab=default_tab&amp;search_scope=EVERYTHING&amp;vid=01CRU&amp;lang=en_US&amp;offset=0&amp;query=any,contains,991004788119702656","Catalog Record")</f>
        <v/>
      </c>
      <c r="AT104">
        <f>HYPERLINK("http://www.worldcat.org/oclc/5159207","WorldCat Record")</f>
        <v/>
      </c>
      <c r="AU104" t="inlineStr">
        <is>
          <t>41038506:eng</t>
        </is>
      </c>
      <c r="AV104" t="inlineStr">
        <is>
          <t>5159207</t>
        </is>
      </c>
      <c r="AW104" t="inlineStr">
        <is>
          <t>991004788119702656</t>
        </is>
      </c>
      <c r="AX104" t="inlineStr">
        <is>
          <t>991004788119702656</t>
        </is>
      </c>
      <c r="AY104" t="inlineStr">
        <is>
          <t>2271699950002656</t>
        </is>
      </c>
      <c r="AZ104" t="inlineStr">
        <is>
          <t>BOOK</t>
        </is>
      </c>
      <c r="BC104" t="inlineStr">
        <is>
          <t>32285003570032</t>
        </is>
      </c>
      <c r="BD104" t="inlineStr">
        <is>
          <t>893536208</t>
        </is>
      </c>
    </row>
    <row r="105">
      <c r="A105" t="inlineStr">
        <is>
          <t>No</t>
        </is>
      </c>
      <c r="B105" t="inlineStr">
        <is>
          <t>NK2003 .R6</t>
        </is>
      </c>
      <c r="C105" t="inlineStr">
        <is>
          <t>0                      NK 2003000R  6</t>
        </is>
      </c>
      <c r="D105" t="inlineStr">
        <is>
          <t>American interior design : the traditions and development of domestic design from colonial times to the present.</t>
        </is>
      </c>
      <c r="F105" t="inlineStr">
        <is>
          <t>No</t>
        </is>
      </c>
      <c r="G105" t="inlineStr">
        <is>
          <t>1</t>
        </is>
      </c>
      <c r="H105" t="inlineStr">
        <is>
          <t>No</t>
        </is>
      </c>
      <c r="I105" t="inlineStr">
        <is>
          <t>No</t>
        </is>
      </c>
      <c r="J105" t="inlineStr">
        <is>
          <t>0</t>
        </is>
      </c>
      <c r="K105" t="inlineStr">
        <is>
          <t>Rogers, Meyric R. (Meyric Reynold), 1893-1972.</t>
        </is>
      </c>
      <c r="L105" t="inlineStr">
        <is>
          <t>New York : W. W. Norton, [1947]</t>
        </is>
      </c>
      <c r="M105" t="inlineStr">
        <is>
          <t>1947</t>
        </is>
      </c>
      <c r="N105" t="inlineStr">
        <is>
          <t>[1st ed.]</t>
        </is>
      </c>
      <c r="O105" t="inlineStr">
        <is>
          <t>eng</t>
        </is>
      </c>
      <c r="P105" t="inlineStr">
        <is>
          <t xml:space="preserve">xx </t>
        </is>
      </c>
      <c r="R105" t="inlineStr">
        <is>
          <t xml:space="preserve">NK </t>
        </is>
      </c>
      <c r="S105" t="n">
        <v>6</v>
      </c>
      <c r="T105" t="n">
        <v>6</v>
      </c>
      <c r="U105" t="inlineStr">
        <is>
          <t>2004-04-13</t>
        </is>
      </c>
      <c r="V105" t="inlineStr">
        <is>
          <t>2004-04-13</t>
        </is>
      </c>
      <c r="W105" t="inlineStr">
        <is>
          <t>1992-12-22</t>
        </is>
      </c>
      <c r="X105" t="inlineStr">
        <is>
          <t>1992-12-22</t>
        </is>
      </c>
      <c r="Y105" t="n">
        <v>742</v>
      </c>
      <c r="Z105" t="n">
        <v>704</v>
      </c>
      <c r="AA105" t="n">
        <v>856</v>
      </c>
      <c r="AB105" t="n">
        <v>5</v>
      </c>
      <c r="AC105" t="n">
        <v>11</v>
      </c>
      <c r="AD105" t="n">
        <v>16</v>
      </c>
      <c r="AE105" t="n">
        <v>20</v>
      </c>
      <c r="AF105" t="n">
        <v>8</v>
      </c>
      <c r="AG105" t="n">
        <v>9</v>
      </c>
      <c r="AH105" t="n">
        <v>2</v>
      </c>
      <c r="AI105" t="n">
        <v>2</v>
      </c>
      <c r="AJ105" t="n">
        <v>7</v>
      </c>
      <c r="AK105" t="n">
        <v>9</v>
      </c>
      <c r="AL105" t="n">
        <v>2</v>
      </c>
      <c r="AM105" t="n">
        <v>4</v>
      </c>
      <c r="AN105" t="n">
        <v>0</v>
      </c>
      <c r="AO105" t="n">
        <v>0</v>
      </c>
      <c r="AP105" t="inlineStr">
        <is>
          <t>No</t>
        </is>
      </c>
      <c r="AQ105" t="inlineStr">
        <is>
          <t>No</t>
        </is>
      </c>
      <c r="AR105">
        <f>HYPERLINK("http://catalog.hathitrust.org/Record/003258145","HathiTrust Record")</f>
        <v/>
      </c>
      <c r="AS105">
        <f>HYPERLINK("https://creighton-primo.hosted.exlibrisgroup.com/primo-explore/search?tab=default_tab&amp;search_scope=EVERYTHING&amp;vid=01CRU&amp;lang=en_US&amp;offset=0&amp;query=any,contains,991003216869702656","Catalog Record")</f>
        <v/>
      </c>
      <c r="AT105">
        <f>HYPERLINK("http://www.worldcat.org/oclc/743046","WorldCat Record")</f>
        <v/>
      </c>
      <c r="AU105" t="inlineStr">
        <is>
          <t>1813853:eng</t>
        </is>
      </c>
      <c r="AV105" t="inlineStr">
        <is>
          <t>743046</t>
        </is>
      </c>
      <c r="AW105" t="inlineStr">
        <is>
          <t>991003216869702656</t>
        </is>
      </c>
      <c r="AX105" t="inlineStr">
        <is>
          <t>991003216869702656</t>
        </is>
      </c>
      <c r="AY105" t="inlineStr">
        <is>
          <t>2267136000002656</t>
        </is>
      </c>
      <c r="AZ105" t="inlineStr">
        <is>
          <t>BOOK</t>
        </is>
      </c>
      <c r="BC105" t="inlineStr">
        <is>
          <t>32285001471449</t>
        </is>
      </c>
      <c r="BD105" t="inlineStr">
        <is>
          <t>893717428</t>
        </is>
      </c>
    </row>
    <row r="106">
      <c r="A106" t="inlineStr">
        <is>
          <t>No</t>
        </is>
      </c>
      <c r="B106" t="inlineStr">
        <is>
          <t>NK2004 .A45 1978a</t>
        </is>
      </c>
      <c r="C106" t="inlineStr">
        <is>
          <t>0                      NK 2004000A  45          1978a</t>
        </is>
      </c>
      <c r="D106" t="inlineStr">
        <is>
          <t>American interiors : Architectural digest presents a decade of imaginative residential design / edited by Paige Rense.</t>
        </is>
      </c>
      <c r="F106" t="inlineStr">
        <is>
          <t>No</t>
        </is>
      </c>
      <c r="G106" t="inlineStr">
        <is>
          <t>1</t>
        </is>
      </c>
      <c r="H106" t="inlineStr">
        <is>
          <t>No</t>
        </is>
      </c>
      <c r="I106" t="inlineStr">
        <is>
          <t>No</t>
        </is>
      </c>
      <c r="J106" t="inlineStr">
        <is>
          <t>0</t>
        </is>
      </c>
      <c r="L106" t="inlineStr">
        <is>
          <t>New York : Viking Press, 1978.</t>
        </is>
      </c>
      <c r="M106" t="inlineStr">
        <is>
          <t>1978</t>
        </is>
      </c>
      <c r="N106" t="inlineStr">
        <is>
          <t>1st ed.</t>
        </is>
      </c>
      <c r="O106" t="inlineStr">
        <is>
          <t>eng</t>
        </is>
      </c>
      <c r="P106" t="inlineStr">
        <is>
          <t>cau</t>
        </is>
      </c>
      <c r="R106" t="inlineStr">
        <is>
          <t xml:space="preserve">NK </t>
        </is>
      </c>
      <c r="S106" t="n">
        <v>3</v>
      </c>
      <c r="T106" t="n">
        <v>3</v>
      </c>
      <c r="U106" t="inlineStr">
        <is>
          <t>2004-04-13</t>
        </is>
      </c>
      <c r="V106" t="inlineStr">
        <is>
          <t>2004-04-13</t>
        </is>
      </c>
      <c r="W106" t="inlineStr">
        <is>
          <t>1992-03-17</t>
        </is>
      </c>
      <c r="X106" t="inlineStr">
        <is>
          <t>1992-03-17</t>
        </is>
      </c>
      <c r="Y106" t="n">
        <v>291</v>
      </c>
      <c r="Z106" t="n">
        <v>275</v>
      </c>
      <c r="AA106" t="n">
        <v>414</v>
      </c>
      <c r="AB106" t="n">
        <v>1</v>
      </c>
      <c r="AC106" t="n">
        <v>2</v>
      </c>
      <c r="AD106" t="n">
        <v>2</v>
      </c>
      <c r="AE106" t="n">
        <v>5</v>
      </c>
      <c r="AF106" t="n">
        <v>0</v>
      </c>
      <c r="AG106" t="n">
        <v>1</v>
      </c>
      <c r="AH106" t="n">
        <v>2</v>
      </c>
      <c r="AI106" t="n">
        <v>3</v>
      </c>
      <c r="AJ106" t="n">
        <v>1</v>
      </c>
      <c r="AK106" t="n">
        <v>2</v>
      </c>
      <c r="AL106" t="n">
        <v>0</v>
      </c>
      <c r="AM106" t="n">
        <v>1</v>
      </c>
      <c r="AN106" t="n">
        <v>0</v>
      </c>
      <c r="AO106" t="n">
        <v>0</v>
      </c>
      <c r="AP106" t="inlineStr">
        <is>
          <t>No</t>
        </is>
      </c>
      <c r="AQ106" t="inlineStr">
        <is>
          <t>Yes</t>
        </is>
      </c>
      <c r="AR106">
        <f>HYPERLINK("http://catalog.hathitrust.org/Record/007961502","HathiTrust Record")</f>
        <v/>
      </c>
      <c r="AS106">
        <f>HYPERLINK("https://creighton-primo.hosted.exlibrisgroup.com/primo-explore/search?tab=default_tab&amp;search_scope=EVERYTHING&amp;vid=01CRU&amp;lang=en_US&amp;offset=0&amp;query=any,contains,991004399959702656","Catalog Record")</f>
        <v/>
      </c>
      <c r="AT106">
        <f>HYPERLINK("http://www.worldcat.org/oclc/3294520","WorldCat Record")</f>
        <v/>
      </c>
      <c r="AU106" t="inlineStr">
        <is>
          <t>909302129:eng</t>
        </is>
      </c>
      <c r="AV106" t="inlineStr">
        <is>
          <t>3294520</t>
        </is>
      </c>
      <c r="AW106" t="inlineStr">
        <is>
          <t>991004399959702656</t>
        </is>
      </c>
      <c r="AX106" t="inlineStr">
        <is>
          <t>991004399959702656</t>
        </is>
      </c>
      <c r="AY106" t="inlineStr">
        <is>
          <t>2257208320002656</t>
        </is>
      </c>
      <c r="AZ106" t="inlineStr">
        <is>
          <t>BOOK</t>
        </is>
      </c>
      <c r="BB106" t="inlineStr">
        <is>
          <t>9780895350220</t>
        </is>
      </c>
      <c r="BC106" t="inlineStr">
        <is>
          <t>32285001023570</t>
        </is>
      </c>
      <c r="BD106" t="inlineStr">
        <is>
          <t>893343792</t>
        </is>
      </c>
    </row>
    <row r="107">
      <c r="A107" t="inlineStr">
        <is>
          <t>No</t>
        </is>
      </c>
      <c r="B107" t="inlineStr">
        <is>
          <t>NK2043 .T45 1978</t>
        </is>
      </c>
      <c r="C107" t="inlineStr">
        <is>
          <t>0                      NK 2043000T  45          1978</t>
        </is>
      </c>
      <c r="D107" t="inlineStr">
        <is>
          <t>Seventeenth-century interior decoration in England, France, and Holland / Peter Thornton.</t>
        </is>
      </c>
      <c r="F107" t="inlineStr">
        <is>
          <t>No</t>
        </is>
      </c>
      <c r="G107" t="inlineStr">
        <is>
          <t>1</t>
        </is>
      </c>
      <c r="H107" t="inlineStr">
        <is>
          <t>No</t>
        </is>
      </c>
      <c r="I107" t="inlineStr">
        <is>
          <t>No</t>
        </is>
      </c>
      <c r="J107" t="inlineStr">
        <is>
          <t>0</t>
        </is>
      </c>
      <c r="K107" t="inlineStr">
        <is>
          <t>Thornton, Peter, 1925-2007.</t>
        </is>
      </c>
      <c r="L107" t="inlineStr">
        <is>
          <t>New Haven : Published for the Paul Mellon Centre for Studies in British Art by Yale University Press, 1978.</t>
        </is>
      </c>
      <c r="M107" t="inlineStr">
        <is>
          <t>1978</t>
        </is>
      </c>
      <c r="O107" t="inlineStr">
        <is>
          <t>eng</t>
        </is>
      </c>
      <c r="P107" t="inlineStr">
        <is>
          <t>ctu</t>
        </is>
      </c>
      <c r="Q107" t="inlineStr">
        <is>
          <t>Studies in British art</t>
        </is>
      </c>
      <c r="R107" t="inlineStr">
        <is>
          <t xml:space="preserve">NK </t>
        </is>
      </c>
      <c r="S107" t="n">
        <v>1</v>
      </c>
      <c r="T107" t="n">
        <v>1</v>
      </c>
      <c r="U107" t="inlineStr">
        <is>
          <t>2004-04-13</t>
        </is>
      </c>
      <c r="V107" t="inlineStr">
        <is>
          <t>2004-04-13</t>
        </is>
      </c>
      <c r="W107" t="inlineStr">
        <is>
          <t>1999-06-28</t>
        </is>
      </c>
      <c r="X107" t="inlineStr">
        <is>
          <t>1999-06-28</t>
        </is>
      </c>
      <c r="Y107" t="n">
        <v>631</v>
      </c>
      <c r="Z107" t="n">
        <v>474</v>
      </c>
      <c r="AA107" t="n">
        <v>499</v>
      </c>
      <c r="AB107" t="n">
        <v>2</v>
      </c>
      <c r="AC107" t="n">
        <v>2</v>
      </c>
      <c r="AD107" t="n">
        <v>16</v>
      </c>
      <c r="AE107" t="n">
        <v>19</v>
      </c>
      <c r="AF107" t="n">
        <v>8</v>
      </c>
      <c r="AG107" t="n">
        <v>10</v>
      </c>
      <c r="AH107" t="n">
        <v>4</v>
      </c>
      <c r="AI107" t="n">
        <v>5</v>
      </c>
      <c r="AJ107" t="n">
        <v>6</v>
      </c>
      <c r="AK107" t="n">
        <v>7</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HYPERLINK("https://creighton-primo.hosted.exlibrisgroup.com/primo-explore/search?tab=default_tab&amp;search_scope=EVERYTHING&amp;vid=01CRU&amp;lang=en_US&amp;offset=0&amp;query=any,contains,991004609809702656","Catalog Record")</f>
        <v/>
      </c>
      <c r="AT107">
        <f>HYPERLINK("http://www.worldcat.org/oclc/4210710","WorldCat Record")</f>
        <v/>
      </c>
      <c r="AU107" t="inlineStr">
        <is>
          <t>10283815:eng</t>
        </is>
      </c>
      <c r="AV107" t="inlineStr">
        <is>
          <t>4210710</t>
        </is>
      </c>
      <c r="AW107" t="inlineStr">
        <is>
          <t>991004609809702656</t>
        </is>
      </c>
      <c r="AX107" t="inlineStr">
        <is>
          <t>991004609809702656</t>
        </is>
      </c>
      <c r="AY107" t="inlineStr">
        <is>
          <t>2255428880002656</t>
        </is>
      </c>
      <c r="AZ107" t="inlineStr">
        <is>
          <t>BOOK</t>
        </is>
      </c>
      <c r="BB107" t="inlineStr">
        <is>
          <t>9780300021936</t>
        </is>
      </c>
      <c r="BC107" t="inlineStr">
        <is>
          <t>32285003576765</t>
        </is>
      </c>
      <c r="BD107" t="inlineStr">
        <is>
          <t>893235705</t>
        </is>
      </c>
    </row>
    <row r="108">
      <c r="A108" t="inlineStr">
        <is>
          <t>No</t>
        </is>
      </c>
      <c r="B108" t="inlineStr">
        <is>
          <t>NK2084.A1 S64 1987</t>
        </is>
      </c>
      <c r="C108" t="inlineStr">
        <is>
          <t>0                      NK 2084000A  1                  S  64          1987</t>
        </is>
      </c>
      <c r="D108" t="inlineStr">
        <is>
          <t>Japanese style / Suzanne Slesin, Stafford Cliff, &amp; Daniel Rozensztroch ; photographs by Gilles de Chabaneix.</t>
        </is>
      </c>
      <c r="F108" t="inlineStr">
        <is>
          <t>No</t>
        </is>
      </c>
      <c r="G108" t="inlineStr">
        <is>
          <t>1</t>
        </is>
      </c>
      <c r="H108" t="inlineStr">
        <is>
          <t>No</t>
        </is>
      </c>
      <c r="I108" t="inlineStr">
        <is>
          <t>No</t>
        </is>
      </c>
      <c r="J108" t="inlineStr">
        <is>
          <t>0</t>
        </is>
      </c>
      <c r="K108" t="inlineStr">
        <is>
          <t>Slesin, Suzanne.</t>
        </is>
      </c>
      <c r="L108" t="inlineStr">
        <is>
          <t>New York : C.N. Potter, Inc. : Distributed by Crown Publishers, c1987.</t>
        </is>
      </c>
      <c r="M108" t="inlineStr">
        <is>
          <t>1987</t>
        </is>
      </c>
      <c r="O108" t="inlineStr">
        <is>
          <t>eng</t>
        </is>
      </c>
      <c r="P108" t="inlineStr">
        <is>
          <t>nyu</t>
        </is>
      </c>
      <c r="R108" t="inlineStr">
        <is>
          <t xml:space="preserve">NK </t>
        </is>
      </c>
      <c r="S108" t="n">
        <v>7</v>
      </c>
      <c r="T108" t="n">
        <v>7</v>
      </c>
      <c r="U108" t="inlineStr">
        <is>
          <t>2005-05-26</t>
        </is>
      </c>
      <c r="V108" t="inlineStr">
        <is>
          <t>2005-05-26</t>
        </is>
      </c>
      <c r="W108" t="inlineStr">
        <is>
          <t>1990-03-19</t>
        </is>
      </c>
      <c r="X108" t="inlineStr">
        <is>
          <t>1990-03-19</t>
        </is>
      </c>
      <c r="Y108" t="n">
        <v>670</v>
      </c>
      <c r="Z108" t="n">
        <v>596</v>
      </c>
      <c r="AA108" t="n">
        <v>625</v>
      </c>
      <c r="AB108" t="n">
        <v>8</v>
      </c>
      <c r="AC108" t="n">
        <v>8</v>
      </c>
      <c r="AD108" t="n">
        <v>12</v>
      </c>
      <c r="AE108" t="n">
        <v>12</v>
      </c>
      <c r="AF108" t="n">
        <v>2</v>
      </c>
      <c r="AG108" t="n">
        <v>2</v>
      </c>
      <c r="AH108" t="n">
        <v>2</v>
      </c>
      <c r="AI108" t="n">
        <v>2</v>
      </c>
      <c r="AJ108" t="n">
        <v>5</v>
      </c>
      <c r="AK108" t="n">
        <v>5</v>
      </c>
      <c r="AL108" t="n">
        <v>5</v>
      </c>
      <c r="AM108" t="n">
        <v>5</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HYPERLINK("https://creighton-primo.hosted.exlibrisgroup.com/primo-explore/search?tab=default_tab&amp;search_scope=EVERYTHING&amp;vid=01CRU&amp;lang=en_US&amp;offset=0&amp;query=any,contains,991000997039702656","Catalog Record")</f>
        <v/>
      </c>
      <c r="AT108">
        <f>HYPERLINK("http://www.worldcat.org/oclc/15163055","WorldCat Record")</f>
        <v/>
      </c>
      <c r="AU108" t="inlineStr">
        <is>
          <t>8507208:eng</t>
        </is>
      </c>
      <c r="AV108" t="inlineStr">
        <is>
          <t>15163055</t>
        </is>
      </c>
      <c r="AW108" t="inlineStr">
        <is>
          <t>991000997039702656</t>
        </is>
      </c>
      <c r="AX108" t="inlineStr">
        <is>
          <t>991000997039702656</t>
        </is>
      </c>
      <c r="AY108" t="inlineStr">
        <is>
          <t>2261347140002656</t>
        </is>
      </c>
      <c r="AZ108" t="inlineStr">
        <is>
          <t>BOOK</t>
        </is>
      </c>
      <c r="BB108" t="inlineStr">
        <is>
          <t>9780517560808</t>
        </is>
      </c>
      <c r="BC108" t="inlineStr">
        <is>
          <t>32285000086735</t>
        </is>
      </c>
      <c r="BD108" t="inlineStr">
        <is>
          <t>893346157</t>
        </is>
      </c>
    </row>
    <row r="109">
      <c r="A109" t="inlineStr">
        <is>
          <t>No</t>
        </is>
      </c>
      <c r="B109" t="inlineStr">
        <is>
          <t>NK2115.5.V53 K45 1985</t>
        </is>
      </c>
      <c r="C109" t="inlineStr">
        <is>
          <t>0                      NK 2115500V  53                 K  45          1985</t>
        </is>
      </c>
      <c r="D109" t="inlineStr">
        <is>
          <t>Victorian revival in interior design / by Jim Kemp.</t>
        </is>
      </c>
      <c r="F109" t="inlineStr">
        <is>
          <t>No</t>
        </is>
      </c>
      <c r="G109" t="inlineStr">
        <is>
          <t>1</t>
        </is>
      </c>
      <c r="H109" t="inlineStr">
        <is>
          <t>No</t>
        </is>
      </c>
      <c r="I109" t="inlineStr">
        <is>
          <t>No</t>
        </is>
      </c>
      <c r="J109" t="inlineStr">
        <is>
          <t>0</t>
        </is>
      </c>
      <c r="K109" t="inlineStr">
        <is>
          <t>Kemp, Jim.</t>
        </is>
      </c>
      <c r="L109" t="inlineStr">
        <is>
          <t>New York : Simon &amp; Schuster, 1985.</t>
        </is>
      </c>
      <c r="M109" t="inlineStr">
        <is>
          <t>1985</t>
        </is>
      </c>
      <c r="O109" t="inlineStr">
        <is>
          <t>eng</t>
        </is>
      </c>
      <c r="P109" t="inlineStr">
        <is>
          <t>nyu</t>
        </is>
      </c>
      <c r="R109" t="inlineStr">
        <is>
          <t xml:space="preserve">NK </t>
        </is>
      </c>
      <c r="S109" t="n">
        <v>6</v>
      </c>
      <c r="T109" t="n">
        <v>6</v>
      </c>
      <c r="U109" t="inlineStr">
        <is>
          <t>1996-03-19</t>
        </is>
      </c>
      <c r="V109" t="inlineStr">
        <is>
          <t>1996-03-19</t>
        </is>
      </c>
      <c r="W109" t="inlineStr">
        <is>
          <t>1993-06-01</t>
        </is>
      </c>
      <c r="X109" t="inlineStr">
        <is>
          <t>1993-06-01</t>
        </is>
      </c>
      <c r="Y109" t="n">
        <v>538</v>
      </c>
      <c r="Z109" t="n">
        <v>517</v>
      </c>
      <c r="AA109" t="n">
        <v>584</v>
      </c>
      <c r="AB109" t="n">
        <v>2</v>
      </c>
      <c r="AC109" t="n">
        <v>2</v>
      </c>
      <c r="AD109" t="n">
        <v>2</v>
      </c>
      <c r="AE109" t="n">
        <v>2</v>
      </c>
      <c r="AF109" t="n">
        <v>0</v>
      </c>
      <c r="AG109" t="n">
        <v>0</v>
      </c>
      <c r="AH109" t="n">
        <v>1</v>
      </c>
      <c r="AI109" t="n">
        <v>1</v>
      </c>
      <c r="AJ109" t="n">
        <v>1</v>
      </c>
      <c r="AK109" t="n">
        <v>1</v>
      </c>
      <c r="AL109" t="n">
        <v>0</v>
      </c>
      <c r="AM109" t="n">
        <v>0</v>
      </c>
      <c r="AN109" t="n">
        <v>0</v>
      </c>
      <c r="AO109" t="n">
        <v>0</v>
      </c>
      <c r="AP109" t="inlineStr">
        <is>
          <t>No</t>
        </is>
      </c>
      <c r="AQ109" t="inlineStr">
        <is>
          <t>Yes</t>
        </is>
      </c>
      <c r="AR109">
        <f>HYPERLINK("http://catalog.hathitrust.org/Record/009133654","HathiTrust Record")</f>
        <v/>
      </c>
      <c r="AS109">
        <f>HYPERLINK("https://creighton-primo.hosted.exlibrisgroup.com/primo-explore/search?tab=default_tab&amp;search_scope=EVERYTHING&amp;vid=01CRU&amp;lang=en_US&amp;offset=0&amp;query=any,contains,991000601969702656","Catalog Record")</f>
        <v/>
      </c>
      <c r="AT109">
        <f>HYPERLINK("http://www.worldcat.org/oclc/11842211","WorldCat Record")</f>
        <v/>
      </c>
      <c r="AU109" t="inlineStr">
        <is>
          <t>4719855:eng</t>
        </is>
      </c>
      <c r="AV109" t="inlineStr">
        <is>
          <t>11842211</t>
        </is>
      </c>
      <c r="AW109" t="inlineStr">
        <is>
          <t>991000601969702656</t>
        </is>
      </c>
      <c r="AX109" t="inlineStr">
        <is>
          <t>991000601969702656</t>
        </is>
      </c>
      <c r="AY109" t="inlineStr">
        <is>
          <t>2265163590002656</t>
        </is>
      </c>
      <c r="AZ109" t="inlineStr">
        <is>
          <t>BOOK</t>
        </is>
      </c>
      <c r="BB109" t="inlineStr">
        <is>
          <t>9780671530617</t>
        </is>
      </c>
      <c r="BC109" t="inlineStr">
        <is>
          <t>32285001716330</t>
        </is>
      </c>
      <c r="BD109" t="inlineStr">
        <is>
          <t>893419610</t>
        </is>
      </c>
    </row>
    <row r="110">
      <c r="A110" t="inlineStr">
        <is>
          <t>No</t>
        </is>
      </c>
      <c r="B110" t="inlineStr">
        <is>
          <t>NK2195.O4 P74</t>
        </is>
      </c>
      <c r="C110" t="inlineStr">
        <is>
          <t>0                      NK 2195000O  4                  P  74</t>
        </is>
      </c>
      <c r="D110" t="inlineStr">
        <is>
          <t>Executive style / by Judith Price ; designed by Bob Ciano.</t>
        </is>
      </c>
      <c r="F110" t="inlineStr">
        <is>
          <t>No</t>
        </is>
      </c>
      <c r="G110" t="inlineStr">
        <is>
          <t>1</t>
        </is>
      </c>
      <c r="H110" t="inlineStr">
        <is>
          <t>No</t>
        </is>
      </c>
      <c r="I110" t="inlineStr">
        <is>
          <t>No</t>
        </is>
      </c>
      <c r="J110" t="inlineStr">
        <is>
          <t>0</t>
        </is>
      </c>
      <c r="K110" t="inlineStr">
        <is>
          <t>Price, Judith, 1942-</t>
        </is>
      </c>
      <c r="L110" t="inlineStr">
        <is>
          <t>New York : Linden Press, 1980.</t>
        </is>
      </c>
      <c r="M110" t="inlineStr">
        <is>
          <t>1980</t>
        </is>
      </c>
      <c r="O110" t="inlineStr">
        <is>
          <t>eng</t>
        </is>
      </c>
      <c r="P110" t="inlineStr">
        <is>
          <t>nyu</t>
        </is>
      </c>
      <c r="R110" t="inlineStr">
        <is>
          <t xml:space="preserve">NK </t>
        </is>
      </c>
      <c r="S110" t="n">
        <v>4</v>
      </c>
      <c r="T110" t="n">
        <v>4</v>
      </c>
      <c r="U110" t="inlineStr">
        <is>
          <t>1996-03-19</t>
        </is>
      </c>
      <c r="V110" t="inlineStr">
        <is>
          <t>1996-03-19</t>
        </is>
      </c>
      <c r="W110" t="inlineStr">
        <is>
          <t>1991-12-09</t>
        </is>
      </c>
      <c r="X110" t="inlineStr">
        <is>
          <t>1991-12-09</t>
        </is>
      </c>
      <c r="Y110" t="n">
        <v>255</v>
      </c>
      <c r="Z110" t="n">
        <v>241</v>
      </c>
      <c r="AA110" t="n">
        <v>248</v>
      </c>
      <c r="AB110" t="n">
        <v>2</v>
      </c>
      <c r="AC110" t="n">
        <v>2</v>
      </c>
      <c r="AD110" t="n">
        <v>3</v>
      </c>
      <c r="AE110" t="n">
        <v>3</v>
      </c>
      <c r="AF110" t="n">
        <v>2</v>
      </c>
      <c r="AG110" t="n">
        <v>2</v>
      </c>
      <c r="AH110" t="n">
        <v>0</v>
      </c>
      <c r="AI110" t="n">
        <v>0</v>
      </c>
      <c r="AJ110" t="n">
        <v>1</v>
      </c>
      <c r="AK110" t="n">
        <v>1</v>
      </c>
      <c r="AL110" t="n">
        <v>0</v>
      </c>
      <c r="AM110" t="n">
        <v>0</v>
      </c>
      <c r="AN110" t="n">
        <v>0</v>
      </c>
      <c r="AO110" t="n">
        <v>0</v>
      </c>
      <c r="AP110" t="inlineStr">
        <is>
          <t>No</t>
        </is>
      </c>
      <c r="AQ110" t="inlineStr">
        <is>
          <t>Yes</t>
        </is>
      </c>
      <c r="AR110">
        <f>HYPERLINK("http://catalog.hathitrust.org/Record/007961719","HathiTrust Record")</f>
        <v/>
      </c>
      <c r="AS110">
        <f>HYPERLINK("https://creighton-primo.hosted.exlibrisgroup.com/primo-explore/search?tab=default_tab&amp;search_scope=EVERYTHING&amp;vid=01CRU&amp;lang=en_US&amp;offset=0&amp;query=any,contains,991005028299702656","Catalog Record")</f>
        <v/>
      </c>
      <c r="AT110">
        <f>HYPERLINK("http://www.worldcat.org/oclc/6708078","WorldCat Record")</f>
        <v/>
      </c>
      <c r="AU110" t="inlineStr">
        <is>
          <t>23688248:eng</t>
        </is>
      </c>
      <c r="AV110" t="inlineStr">
        <is>
          <t>6708078</t>
        </is>
      </c>
      <c r="AW110" t="inlineStr">
        <is>
          <t>991005028299702656</t>
        </is>
      </c>
      <c r="AX110" t="inlineStr">
        <is>
          <t>991005028299702656</t>
        </is>
      </c>
      <c r="AY110" t="inlineStr">
        <is>
          <t>2255072070002656</t>
        </is>
      </c>
      <c r="AZ110" t="inlineStr">
        <is>
          <t>BOOK</t>
        </is>
      </c>
      <c r="BB110" t="inlineStr">
        <is>
          <t>9780671253547</t>
        </is>
      </c>
      <c r="BC110" t="inlineStr">
        <is>
          <t>32285000885516</t>
        </is>
      </c>
      <c r="BD110" t="inlineStr">
        <is>
          <t>893619339</t>
        </is>
      </c>
    </row>
    <row r="111">
      <c r="A111" t="inlineStr">
        <is>
          <t>No</t>
        </is>
      </c>
      <c r="B111" t="inlineStr">
        <is>
          <t>NK2260 .S3 1953</t>
        </is>
      </c>
      <c r="C111" t="inlineStr">
        <is>
          <t>0                      NK 2260000S  3           1953</t>
        </is>
      </c>
      <c r="D111" t="inlineStr">
        <is>
          <t>Masterpieces of furniture in photographs and measured drawings / Verna Cook Salomonsky.</t>
        </is>
      </c>
      <c r="F111" t="inlineStr">
        <is>
          <t>No</t>
        </is>
      </c>
      <c r="G111" t="inlineStr">
        <is>
          <t>1</t>
        </is>
      </c>
      <c r="H111" t="inlineStr">
        <is>
          <t>No</t>
        </is>
      </c>
      <c r="I111" t="inlineStr">
        <is>
          <t>No</t>
        </is>
      </c>
      <c r="J111" t="inlineStr">
        <is>
          <t>0</t>
        </is>
      </c>
      <c r="K111" t="inlineStr">
        <is>
          <t>Shipway, Verna Cook, 1890-1978.</t>
        </is>
      </c>
      <c r="L111" t="inlineStr">
        <is>
          <t>New York : Dover, 1953.</t>
        </is>
      </c>
      <c r="M111" t="inlineStr">
        <is>
          <t>1953</t>
        </is>
      </c>
      <c r="O111" t="inlineStr">
        <is>
          <t>eng</t>
        </is>
      </c>
      <c r="P111" t="inlineStr">
        <is>
          <t>nyu</t>
        </is>
      </c>
      <c r="R111" t="inlineStr">
        <is>
          <t xml:space="preserve">NK </t>
        </is>
      </c>
      <c r="S111" t="n">
        <v>1</v>
      </c>
      <c r="T111" t="n">
        <v>1</v>
      </c>
      <c r="U111" t="inlineStr">
        <is>
          <t>2005-05-25</t>
        </is>
      </c>
      <c r="V111" t="inlineStr">
        <is>
          <t>2005-05-25</t>
        </is>
      </c>
      <c r="W111" t="inlineStr">
        <is>
          <t>1997-08-07</t>
        </is>
      </c>
      <c r="X111" t="inlineStr">
        <is>
          <t>1997-08-07</t>
        </is>
      </c>
      <c r="Y111" t="n">
        <v>141</v>
      </c>
      <c r="Z111" t="n">
        <v>126</v>
      </c>
      <c r="AA111" t="n">
        <v>742</v>
      </c>
      <c r="AB111" t="n">
        <v>1</v>
      </c>
      <c r="AC111" t="n">
        <v>6</v>
      </c>
      <c r="AD111" t="n">
        <v>2</v>
      </c>
      <c r="AE111" t="n">
        <v>19</v>
      </c>
      <c r="AF111" t="n">
        <v>0</v>
      </c>
      <c r="AG111" t="n">
        <v>9</v>
      </c>
      <c r="AH111" t="n">
        <v>1</v>
      </c>
      <c r="AI111" t="n">
        <v>3</v>
      </c>
      <c r="AJ111" t="n">
        <v>2</v>
      </c>
      <c r="AK111" t="n">
        <v>6</v>
      </c>
      <c r="AL111" t="n">
        <v>0</v>
      </c>
      <c r="AM111" t="n">
        <v>4</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HYPERLINK("https://creighton-primo.hosted.exlibrisgroup.com/primo-explore/search?tab=default_tab&amp;search_scope=EVERYTHING&amp;vid=01CRU&amp;lang=en_US&amp;offset=0&amp;query=any,contains,991000081199702656","Catalog Record")</f>
        <v/>
      </c>
      <c r="AT111">
        <f>HYPERLINK("http://www.worldcat.org/oclc/8832933","WorldCat Record")</f>
        <v/>
      </c>
      <c r="AU111" t="inlineStr">
        <is>
          <t>3132439840:eng</t>
        </is>
      </c>
      <c r="AV111" t="inlineStr">
        <is>
          <t>8832933</t>
        </is>
      </c>
      <c r="AW111" t="inlineStr">
        <is>
          <t>991000081199702656</t>
        </is>
      </c>
      <c r="AX111" t="inlineStr">
        <is>
          <t>991000081199702656</t>
        </is>
      </c>
      <c r="AY111" t="inlineStr">
        <is>
          <t>2260858410002656</t>
        </is>
      </c>
      <c r="AZ111" t="inlineStr">
        <is>
          <t>BOOK</t>
        </is>
      </c>
      <c r="BC111" t="inlineStr">
        <is>
          <t>32285003047270</t>
        </is>
      </c>
      <c r="BD111" t="inlineStr">
        <is>
          <t>893613874</t>
        </is>
      </c>
    </row>
    <row r="112">
      <c r="A112" t="inlineStr">
        <is>
          <t>No</t>
        </is>
      </c>
      <c r="B112" t="inlineStr">
        <is>
          <t>NK2270 .B63</t>
        </is>
      </c>
      <c r="C112" t="inlineStr">
        <is>
          <t>0                      NK 2270000B  63</t>
        </is>
      </c>
      <c r="D112" t="inlineStr">
        <is>
          <t>The complete guide to furniture styles.</t>
        </is>
      </c>
      <c r="F112" t="inlineStr">
        <is>
          <t>No</t>
        </is>
      </c>
      <c r="G112" t="inlineStr">
        <is>
          <t>1</t>
        </is>
      </c>
      <c r="H112" t="inlineStr">
        <is>
          <t>No</t>
        </is>
      </c>
      <c r="I112" t="inlineStr">
        <is>
          <t>No</t>
        </is>
      </c>
      <c r="J112" t="inlineStr">
        <is>
          <t>0</t>
        </is>
      </c>
      <c r="K112" t="inlineStr">
        <is>
          <t>Boger, Louise Ade.</t>
        </is>
      </c>
      <c r="L112" t="inlineStr">
        <is>
          <t>New York, Scribner [1959]</t>
        </is>
      </c>
      <c r="M112" t="inlineStr">
        <is>
          <t>1959</t>
        </is>
      </c>
      <c r="O112" t="inlineStr">
        <is>
          <t>eng</t>
        </is>
      </c>
      <c r="P112" t="inlineStr">
        <is>
          <t>nyu</t>
        </is>
      </c>
      <c r="R112" t="inlineStr">
        <is>
          <t xml:space="preserve">NK </t>
        </is>
      </c>
      <c r="S112" t="n">
        <v>1</v>
      </c>
      <c r="T112" t="n">
        <v>1</v>
      </c>
      <c r="U112" t="inlineStr">
        <is>
          <t>2005-05-25</t>
        </is>
      </c>
      <c r="V112" t="inlineStr">
        <is>
          <t>2005-05-25</t>
        </is>
      </c>
      <c r="W112" t="inlineStr">
        <is>
          <t>1997-08-07</t>
        </is>
      </c>
      <c r="X112" t="inlineStr">
        <is>
          <t>1997-08-07</t>
        </is>
      </c>
      <c r="Y112" t="n">
        <v>531</v>
      </c>
      <c r="Z112" t="n">
        <v>482</v>
      </c>
      <c r="AA112" t="n">
        <v>1329</v>
      </c>
      <c r="AB112" t="n">
        <v>1</v>
      </c>
      <c r="AC112" t="n">
        <v>10</v>
      </c>
      <c r="AD112" t="n">
        <v>10</v>
      </c>
      <c r="AE112" t="n">
        <v>32</v>
      </c>
      <c r="AF112" t="n">
        <v>6</v>
      </c>
      <c r="AG112" t="n">
        <v>12</v>
      </c>
      <c r="AH112" t="n">
        <v>3</v>
      </c>
      <c r="AI112" t="n">
        <v>6</v>
      </c>
      <c r="AJ112" t="n">
        <v>3</v>
      </c>
      <c r="AK112" t="n">
        <v>13</v>
      </c>
      <c r="AL112" t="n">
        <v>0</v>
      </c>
      <c r="AM112" t="n">
        <v>6</v>
      </c>
      <c r="AN112" t="n">
        <v>0</v>
      </c>
      <c r="AO112" t="n">
        <v>0</v>
      </c>
      <c r="AP112" t="inlineStr">
        <is>
          <t>No</t>
        </is>
      </c>
      <c r="AQ112" t="inlineStr">
        <is>
          <t>Yes</t>
        </is>
      </c>
      <c r="AR112">
        <f>HYPERLINK("http://catalog.hathitrust.org/Record/007122057","HathiTrust Record")</f>
        <v/>
      </c>
      <c r="AS112">
        <f>HYPERLINK("https://creighton-primo.hosted.exlibrisgroup.com/primo-explore/search?tab=default_tab&amp;search_scope=EVERYTHING&amp;vid=01CRU&amp;lang=en_US&amp;offset=0&amp;query=any,contains,991002731239702656","Catalog Record")</f>
        <v/>
      </c>
      <c r="AT112">
        <f>HYPERLINK("http://www.worldcat.org/oclc/416575","WorldCat Record")</f>
        <v/>
      </c>
      <c r="AU112" t="inlineStr">
        <is>
          <t>646053:eng</t>
        </is>
      </c>
      <c r="AV112" t="inlineStr">
        <is>
          <t>416575</t>
        </is>
      </c>
      <c r="AW112" t="inlineStr">
        <is>
          <t>991002731239702656</t>
        </is>
      </c>
      <c r="AX112" t="inlineStr">
        <is>
          <t>991002731239702656</t>
        </is>
      </c>
      <c r="AY112" t="inlineStr">
        <is>
          <t>2266446940002656</t>
        </is>
      </c>
      <c r="AZ112" t="inlineStr">
        <is>
          <t>BOOK</t>
        </is>
      </c>
      <c r="BC112" t="inlineStr">
        <is>
          <t>32285003047296</t>
        </is>
      </c>
      <c r="BD112" t="inlineStr">
        <is>
          <t>893603940</t>
        </is>
      </c>
    </row>
    <row r="113">
      <c r="A113" t="inlineStr">
        <is>
          <t>No</t>
        </is>
      </c>
      <c r="B113" t="inlineStr">
        <is>
          <t>NK2270 .S363 1957</t>
        </is>
      </c>
      <c r="C113" t="inlineStr">
        <is>
          <t>0                      NK 2270000S  363         1957</t>
        </is>
      </c>
      <c r="D113" t="inlineStr">
        <is>
          <t>The encyclopedia of furniture; an outline history of furniture design in Egypt, Assyria, Persia, Greece, Rome, Italy, France, the Netherlands, Germany, England, Scandinavia, Spain, Russia, and in the Near and Far East up to the middle of the nineteenth century. Compiled by authorities in various countries under the general direction of Herman Schmitz, and with an introd. by H. P. Shapland.</t>
        </is>
      </c>
      <c r="F113" t="inlineStr">
        <is>
          <t>No</t>
        </is>
      </c>
      <c r="G113" t="inlineStr">
        <is>
          <t>1</t>
        </is>
      </c>
      <c r="H113" t="inlineStr">
        <is>
          <t>No</t>
        </is>
      </c>
      <c r="I113" t="inlineStr">
        <is>
          <t>No</t>
        </is>
      </c>
      <c r="J113" t="inlineStr">
        <is>
          <t>0</t>
        </is>
      </c>
      <c r="K113" t="inlineStr">
        <is>
          <t>Schmitz, Hermann, 1882-1946.</t>
        </is>
      </c>
      <c r="L113" t="inlineStr">
        <is>
          <t>New York, F. A. Praeger [1957]</t>
        </is>
      </c>
      <c r="M113" t="inlineStr">
        <is>
          <t>1957</t>
        </is>
      </c>
      <c r="O113" t="inlineStr">
        <is>
          <t>eng</t>
        </is>
      </c>
      <c r="P113" t="inlineStr">
        <is>
          <t>nyu</t>
        </is>
      </c>
      <c r="R113" t="inlineStr">
        <is>
          <t xml:space="preserve">NK </t>
        </is>
      </c>
      <c r="S113" t="n">
        <v>1</v>
      </c>
      <c r="T113" t="n">
        <v>1</v>
      </c>
      <c r="U113" t="inlineStr">
        <is>
          <t>2005-05-25</t>
        </is>
      </c>
      <c r="V113" t="inlineStr">
        <is>
          <t>2005-05-25</t>
        </is>
      </c>
      <c r="W113" t="inlineStr">
        <is>
          <t>1997-08-07</t>
        </is>
      </c>
      <c r="X113" t="inlineStr">
        <is>
          <t>1997-08-07</t>
        </is>
      </c>
      <c r="Y113" t="n">
        <v>475</v>
      </c>
      <c r="Z113" t="n">
        <v>450</v>
      </c>
      <c r="AA113" t="n">
        <v>676</v>
      </c>
      <c r="AB113" t="n">
        <v>4</v>
      </c>
      <c r="AC113" t="n">
        <v>6</v>
      </c>
      <c r="AD113" t="n">
        <v>14</v>
      </c>
      <c r="AE113" t="n">
        <v>17</v>
      </c>
      <c r="AF113" t="n">
        <v>7</v>
      </c>
      <c r="AG113" t="n">
        <v>7</v>
      </c>
      <c r="AH113" t="n">
        <v>3</v>
      </c>
      <c r="AI113" t="n">
        <v>3</v>
      </c>
      <c r="AJ113" t="n">
        <v>5</v>
      </c>
      <c r="AK113" t="n">
        <v>7</v>
      </c>
      <c r="AL113" t="n">
        <v>2</v>
      </c>
      <c r="AM113" t="n">
        <v>3</v>
      </c>
      <c r="AN113" t="n">
        <v>0</v>
      </c>
      <c r="AO113" t="n">
        <v>0</v>
      </c>
      <c r="AP113" t="inlineStr">
        <is>
          <t>No</t>
        </is>
      </c>
      <c r="AQ113" t="inlineStr">
        <is>
          <t>Yes</t>
        </is>
      </c>
      <c r="AR113">
        <f>HYPERLINK("http://catalog.hathitrust.org/Record/000282676","HathiTrust Record")</f>
        <v/>
      </c>
      <c r="AS113">
        <f>HYPERLINK("https://creighton-primo.hosted.exlibrisgroup.com/primo-explore/search?tab=default_tab&amp;search_scope=EVERYTHING&amp;vid=01CRU&amp;lang=en_US&amp;offset=0&amp;query=any,contains,991002910729702656","Catalog Record")</f>
        <v/>
      </c>
      <c r="AT113">
        <f>HYPERLINK("http://www.worldcat.org/oclc/521953","WorldCat Record")</f>
        <v/>
      </c>
      <c r="AU113" t="inlineStr">
        <is>
          <t>2287102447:eng</t>
        </is>
      </c>
      <c r="AV113" t="inlineStr">
        <is>
          <t>521953</t>
        </is>
      </c>
      <c r="AW113" t="inlineStr">
        <is>
          <t>991002910729702656</t>
        </is>
      </c>
      <c r="AX113" t="inlineStr">
        <is>
          <t>991002910729702656</t>
        </is>
      </c>
      <c r="AY113" t="inlineStr">
        <is>
          <t>2260447300002656</t>
        </is>
      </c>
      <c r="AZ113" t="inlineStr">
        <is>
          <t>BOOK</t>
        </is>
      </c>
      <c r="BC113" t="inlineStr">
        <is>
          <t>32285003047304</t>
        </is>
      </c>
      <c r="BD113" t="inlineStr">
        <is>
          <t>893498701</t>
        </is>
      </c>
    </row>
    <row r="114">
      <c r="A114" t="inlineStr">
        <is>
          <t>No</t>
        </is>
      </c>
      <c r="B114" t="inlineStr">
        <is>
          <t>NK2280 .R52</t>
        </is>
      </c>
      <c r="C114" t="inlineStr">
        <is>
          <t>0                      NK 2280000R  52</t>
        </is>
      </c>
      <c r="D114" t="inlineStr">
        <is>
          <t>The furniture of the Greeks, Etruscans and Romans, by G.M.A. Richter.</t>
        </is>
      </c>
      <c r="F114" t="inlineStr">
        <is>
          <t>No</t>
        </is>
      </c>
      <c r="G114" t="inlineStr">
        <is>
          <t>1</t>
        </is>
      </c>
      <c r="H114" t="inlineStr">
        <is>
          <t>No</t>
        </is>
      </c>
      <c r="I114" t="inlineStr">
        <is>
          <t>No</t>
        </is>
      </c>
      <c r="J114" t="inlineStr">
        <is>
          <t>0</t>
        </is>
      </c>
      <c r="K114" t="inlineStr">
        <is>
          <t>Richter, Gisela M. A. (Gisela Marie Augusta), 1882-1972.</t>
        </is>
      </c>
      <c r="L114" t="inlineStr">
        <is>
          <t>London, Phaidon P. [1966]</t>
        </is>
      </c>
      <c r="M114" t="inlineStr">
        <is>
          <t>1966</t>
        </is>
      </c>
      <c r="O114" t="inlineStr">
        <is>
          <t>eng</t>
        </is>
      </c>
      <c r="P114" t="inlineStr">
        <is>
          <t>enk</t>
        </is>
      </c>
      <c r="R114" t="inlineStr">
        <is>
          <t xml:space="preserve">NK </t>
        </is>
      </c>
      <c r="S114" t="n">
        <v>1</v>
      </c>
      <c r="T114" t="n">
        <v>1</v>
      </c>
      <c r="U114" t="inlineStr">
        <is>
          <t>2005-05-25</t>
        </is>
      </c>
      <c r="V114" t="inlineStr">
        <is>
          <t>2005-05-25</t>
        </is>
      </c>
      <c r="W114" t="inlineStr">
        <is>
          <t>1997-08-07</t>
        </is>
      </c>
      <c r="X114" t="inlineStr">
        <is>
          <t>1997-08-07</t>
        </is>
      </c>
      <c r="Y114" t="n">
        <v>740</v>
      </c>
      <c r="Z114" t="n">
        <v>566</v>
      </c>
      <c r="AA114" t="n">
        <v>578</v>
      </c>
      <c r="AB114" t="n">
        <v>4</v>
      </c>
      <c r="AC114" t="n">
        <v>4</v>
      </c>
      <c r="AD114" t="n">
        <v>22</v>
      </c>
      <c r="AE114" t="n">
        <v>22</v>
      </c>
      <c r="AF114" t="n">
        <v>7</v>
      </c>
      <c r="AG114" t="n">
        <v>7</v>
      </c>
      <c r="AH114" t="n">
        <v>6</v>
      </c>
      <c r="AI114" t="n">
        <v>6</v>
      </c>
      <c r="AJ114" t="n">
        <v>10</v>
      </c>
      <c r="AK114" t="n">
        <v>10</v>
      </c>
      <c r="AL114" t="n">
        <v>3</v>
      </c>
      <c r="AM114" t="n">
        <v>3</v>
      </c>
      <c r="AN114" t="n">
        <v>0</v>
      </c>
      <c r="AO114" t="n">
        <v>0</v>
      </c>
      <c r="AP114" t="inlineStr">
        <is>
          <t>No</t>
        </is>
      </c>
      <c r="AQ114" t="inlineStr">
        <is>
          <t>Yes</t>
        </is>
      </c>
      <c r="AR114">
        <f>HYPERLINK("http://catalog.hathitrust.org/Record/001471072","HathiTrust Record")</f>
        <v/>
      </c>
      <c r="AS114">
        <f>HYPERLINK("https://creighton-primo.hosted.exlibrisgroup.com/primo-explore/search?tab=default_tab&amp;search_scope=EVERYTHING&amp;vid=01CRU&amp;lang=en_US&amp;offset=0&amp;query=any,contains,991002387799702656","Catalog Record")</f>
        <v/>
      </c>
      <c r="AT114">
        <f>HYPERLINK("http://www.worldcat.org/oclc/330988","WorldCat Record")</f>
        <v/>
      </c>
      <c r="AU114" t="inlineStr">
        <is>
          <t>1431625:eng</t>
        </is>
      </c>
      <c r="AV114" t="inlineStr">
        <is>
          <t>330988</t>
        </is>
      </c>
      <c r="AW114" t="inlineStr">
        <is>
          <t>991002387799702656</t>
        </is>
      </c>
      <c r="AX114" t="inlineStr">
        <is>
          <t>991002387799702656</t>
        </is>
      </c>
      <c r="AY114" t="inlineStr">
        <is>
          <t>2258851020002656</t>
        </is>
      </c>
      <c r="AZ114" t="inlineStr">
        <is>
          <t>BOOK</t>
        </is>
      </c>
      <c r="BC114" t="inlineStr">
        <is>
          <t>32285003047312</t>
        </is>
      </c>
      <c r="BD114" t="inlineStr">
        <is>
          <t>893716389</t>
        </is>
      </c>
    </row>
    <row r="115">
      <c r="A115" t="inlineStr">
        <is>
          <t>No</t>
        </is>
      </c>
      <c r="B115" t="inlineStr">
        <is>
          <t>NK2406 .C58 1962b</t>
        </is>
      </c>
      <c r="C115" t="inlineStr">
        <is>
          <t>0                      NK 2406000C  58          1962b</t>
        </is>
      </c>
      <c r="D115" t="inlineStr">
        <is>
          <t>American furniture : seventeenth, eighteenth, and nineteenth century styles / by Helen Comstock.</t>
        </is>
      </c>
      <c r="F115" t="inlineStr">
        <is>
          <t>No</t>
        </is>
      </c>
      <c r="G115" t="inlineStr">
        <is>
          <t>1</t>
        </is>
      </c>
      <c r="H115" t="inlineStr">
        <is>
          <t>No</t>
        </is>
      </c>
      <c r="I115" t="inlineStr">
        <is>
          <t>No</t>
        </is>
      </c>
      <c r="J115" t="inlineStr">
        <is>
          <t>0</t>
        </is>
      </c>
      <c r="K115" t="inlineStr">
        <is>
          <t>Comstock, Helen.</t>
        </is>
      </c>
      <c r="L115" t="inlineStr">
        <is>
          <t>New York : Bonanza Books, c1962.</t>
        </is>
      </c>
      <c r="M115" t="inlineStr">
        <is>
          <t>1962</t>
        </is>
      </c>
      <c r="O115" t="inlineStr">
        <is>
          <t>eng</t>
        </is>
      </c>
      <c r="P115" t="inlineStr">
        <is>
          <t>nyu</t>
        </is>
      </c>
      <c r="R115" t="inlineStr">
        <is>
          <t xml:space="preserve">NK </t>
        </is>
      </c>
      <c r="S115" t="n">
        <v>4</v>
      </c>
      <c r="T115" t="n">
        <v>4</v>
      </c>
      <c r="U115" t="inlineStr">
        <is>
          <t>2005-05-25</t>
        </is>
      </c>
      <c r="V115" t="inlineStr">
        <is>
          <t>2005-05-25</t>
        </is>
      </c>
      <c r="W115" t="inlineStr">
        <is>
          <t>1991-09-06</t>
        </is>
      </c>
      <c r="X115" t="inlineStr">
        <is>
          <t>1991-09-06</t>
        </is>
      </c>
      <c r="Y115" t="n">
        <v>1150</v>
      </c>
      <c r="Z115" t="n">
        <v>1098</v>
      </c>
      <c r="AA115" t="n">
        <v>1253</v>
      </c>
      <c r="AB115" t="n">
        <v>4</v>
      </c>
      <c r="AC115" t="n">
        <v>4</v>
      </c>
      <c r="AD115" t="n">
        <v>16</v>
      </c>
      <c r="AE115" t="n">
        <v>19</v>
      </c>
      <c r="AF115" t="n">
        <v>8</v>
      </c>
      <c r="AG115" t="n">
        <v>10</v>
      </c>
      <c r="AH115" t="n">
        <v>3</v>
      </c>
      <c r="AI115" t="n">
        <v>3</v>
      </c>
      <c r="AJ115" t="n">
        <v>6</v>
      </c>
      <c r="AK115" t="n">
        <v>8</v>
      </c>
      <c r="AL115" t="n">
        <v>2</v>
      </c>
      <c r="AM115" t="n">
        <v>2</v>
      </c>
      <c r="AN115" t="n">
        <v>0</v>
      </c>
      <c r="AO115" t="n">
        <v>0</v>
      </c>
      <c r="AP115" t="inlineStr">
        <is>
          <t>No</t>
        </is>
      </c>
      <c r="AQ115" t="inlineStr">
        <is>
          <t>No</t>
        </is>
      </c>
      <c r="AR115">
        <f>HYPERLINK("http://catalog.hathitrust.org/Record/001471086","HathiTrust Record")</f>
        <v/>
      </c>
      <c r="AS115">
        <f>HYPERLINK("https://creighton-primo.hosted.exlibrisgroup.com/primo-explore/search?tab=default_tab&amp;search_scope=EVERYTHING&amp;vid=01CRU&amp;lang=en_US&amp;offset=0&amp;query=any,contains,991003412859702656","Catalog Record")</f>
        <v/>
      </c>
      <c r="AT115">
        <f>HYPERLINK("http://www.worldcat.org/oclc/520155","WorldCat Record")</f>
        <v/>
      </c>
      <c r="AU115" t="inlineStr">
        <is>
          <t>43076528:eng</t>
        </is>
      </c>
      <c r="AV115" t="inlineStr">
        <is>
          <t>520155</t>
        </is>
      </c>
      <c r="AW115" t="inlineStr">
        <is>
          <t>991003412859702656</t>
        </is>
      </c>
      <c r="AX115" t="inlineStr">
        <is>
          <t>991003412859702656</t>
        </is>
      </c>
      <c r="AY115" t="inlineStr">
        <is>
          <t>2263984280002656</t>
        </is>
      </c>
      <c r="AZ115" t="inlineStr">
        <is>
          <t>BOOK</t>
        </is>
      </c>
      <c r="BC115" t="inlineStr">
        <is>
          <t>32285000733963</t>
        </is>
      </c>
      <c r="BD115" t="inlineStr">
        <is>
          <t>893336472</t>
        </is>
      </c>
    </row>
    <row r="116">
      <c r="A116" t="inlineStr">
        <is>
          <t>No</t>
        </is>
      </c>
      <c r="B116" t="inlineStr">
        <is>
          <t>NK2406 .K6</t>
        </is>
      </c>
      <c r="C116" t="inlineStr">
        <is>
          <t>0                      NK 2406000K  6</t>
        </is>
      </c>
      <c r="D116" t="inlineStr">
        <is>
          <t>American country furniture, 1780-1875 [by] Ralph and Terry Kovel.</t>
        </is>
      </c>
      <c r="F116" t="inlineStr">
        <is>
          <t>No</t>
        </is>
      </c>
      <c r="G116" t="inlineStr">
        <is>
          <t>1</t>
        </is>
      </c>
      <c r="H116" t="inlineStr">
        <is>
          <t>No</t>
        </is>
      </c>
      <c r="I116" t="inlineStr">
        <is>
          <t>No</t>
        </is>
      </c>
      <c r="J116" t="inlineStr">
        <is>
          <t>0</t>
        </is>
      </c>
      <c r="K116" t="inlineStr">
        <is>
          <t>Kovel, Ralph M.</t>
        </is>
      </c>
      <c r="L116" t="inlineStr">
        <is>
          <t>New York, Crown [1965]</t>
        </is>
      </c>
      <c r="M116" t="inlineStr">
        <is>
          <t>1965</t>
        </is>
      </c>
      <c r="O116" t="inlineStr">
        <is>
          <t>eng</t>
        </is>
      </c>
      <c r="P116" t="inlineStr">
        <is>
          <t>nyu</t>
        </is>
      </c>
      <c r="R116" t="inlineStr">
        <is>
          <t xml:space="preserve">NK </t>
        </is>
      </c>
      <c r="S116" t="n">
        <v>1</v>
      </c>
      <c r="T116" t="n">
        <v>1</v>
      </c>
      <c r="U116" t="inlineStr">
        <is>
          <t>2005-05-25</t>
        </is>
      </c>
      <c r="V116" t="inlineStr">
        <is>
          <t>2005-05-25</t>
        </is>
      </c>
      <c r="W116" t="inlineStr">
        <is>
          <t>1997-08-07</t>
        </is>
      </c>
      <c r="X116" t="inlineStr">
        <is>
          <t>1997-08-07</t>
        </is>
      </c>
      <c r="Y116" t="n">
        <v>1016</v>
      </c>
      <c r="Z116" t="n">
        <v>970</v>
      </c>
      <c r="AA116" t="n">
        <v>1018</v>
      </c>
      <c r="AB116" t="n">
        <v>7</v>
      </c>
      <c r="AC116" t="n">
        <v>7</v>
      </c>
      <c r="AD116" t="n">
        <v>11</v>
      </c>
      <c r="AE116" t="n">
        <v>11</v>
      </c>
      <c r="AF116" t="n">
        <v>2</v>
      </c>
      <c r="AG116" t="n">
        <v>2</v>
      </c>
      <c r="AH116" t="n">
        <v>3</v>
      </c>
      <c r="AI116" t="n">
        <v>3</v>
      </c>
      <c r="AJ116" t="n">
        <v>4</v>
      </c>
      <c r="AK116" t="n">
        <v>4</v>
      </c>
      <c r="AL116" t="n">
        <v>4</v>
      </c>
      <c r="AM116" t="n">
        <v>4</v>
      </c>
      <c r="AN116" t="n">
        <v>0</v>
      </c>
      <c r="AO116" t="n">
        <v>0</v>
      </c>
      <c r="AP116" t="inlineStr">
        <is>
          <t>No</t>
        </is>
      </c>
      <c r="AQ116" t="inlineStr">
        <is>
          <t>Yes</t>
        </is>
      </c>
      <c r="AR116">
        <f>HYPERLINK("http://catalog.hathitrust.org/Record/001471091","HathiTrust Record")</f>
        <v/>
      </c>
      <c r="AS116">
        <f>HYPERLINK("https://creighton-primo.hosted.exlibrisgroup.com/primo-explore/search?tab=default_tab&amp;search_scope=EVERYTHING&amp;vid=01CRU&amp;lang=en_US&amp;offset=0&amp;query=any,contains,991003208089702656","Catalog Record")</f>
        <v/>
      </c>
      <c r="AT116">
        <f>HYPERLINK("http://www.worldcat.org/oclc/733509","WorldCat Record")</f>
        <v/>
      </c>
      <c r="AU116" t="inlineStr">
        <is>
          <t>1770234:eng</t>
        </is>
      </c>
      <c r="AV116" t="inlineStr">
        <is>
          <t>733509</t>
        </is>
      </c>
      <c r="AW116" t="inlineStr">
        <is>
          <t>991003208089702656</t>
        </is>
      </c>
      <c r="AX116" t="inlineStr">
        <is>
          <t>991003208089702656</t>
        </is>
      </c>
      <c r="AY116" t="inlineStr">
        <is>
          <t>2258786620002656</t>
        </is>
      </c>
      <c r="AZ116" t="inlineStr">
        <is>
          <t>BOOK</t>
        </is>
      </c>
      <c r="BC116" t="inlineStr">
        <is>
          <t>32285003047338</t>
        </is>
      </c>
      <c r="BD116" t="inlineStr">
        <is>
          <t>893610819</t>
        </is>
      </c>
    </row>
    <row r="117">
      <c r="A117" t="inlineStr">
        <is>
          <t>No</t>
        </is>
      </c>
      <c r="B117" t="inlineStr">
        <is>
          <t>NK2406 .O65 1961</t>
        </is>
      </c>
      <c r="C117" t="inlineStr">
        <is>
          <t>0                      NK 2406000O  65          1961</t>
        </is>
      </c>
      <c r="D117" t="inlineStr">
        <is>
          <t>Field guide to early American furniture / drawings by Norman B. Palmstrom.</t>
        </is>
      </c>
      <c r="F117" t="inlineStr">
        <is>
          <t>No</t>
        </is>
      </c>
      <c r="G117" t="inlineStr">
        <is>
          <t>1</t>
        </is>
      </c>
      <c r="H117" t="inlineStr">
        <is>
          <t>No</t>
        </is>
      </c>
      <c r="I117" t="inlineStr">
        <is>
          <t>No</t>
        </is>
      </c>
      <c r="J117" t="inlineStr">
        <is>
          <t>0</t>
        </is>
      </c>
      <c r="K117" t="inlineStr">
        <is>
          <t>Ormsbee, Thomas H. (Thomas Hamilton), 1890-1969.</t>
        </is>
      </c>
      <c r="L117" t="inlineStr">
        <is>
          <t>New York : Bonanza Books, 1961, c1951.</t>
        </is>
      </c>
      <c r="M117" t="inlineStr">
        <is>
          <t>1961</t>
        </is>
      </c>
      <c r="O117" t="inlineStr">
        <is>
          <t>eng</t>
        </is>
      </c>
      <c r="P117" t="inlineStr">
        <is>
          <t>nyu</t>
        </is>
      </c>
      <c r="R117" t="inlineStr">
        <is>
          <t xml:space="preserve">NK </t>
        </is>
      </c>
      <c r="S117" t="n">
        <v>2</v>
      </c>
      <c r="T117" t="n">
        <v>2</v>
      </c>
      <c r="U117" t="inlineStr">
        <is>
          <t>2005-05-25</t>
        </is>
      </c>
      <c r="V117" t="inlineStr">
        <is>
          <t>2005-05-25</t>
        </is>
      </c>
      <c r="W117" t="inlineStr">
        <is>
          <t>1993-03-04</t>
        </is>
      </c>
      <c r="X117" t="inlineStr">
        <is>
          <t>1993-03-04</t>
        </is>
      </c>
      <c r="Y117" t="n">
        <v>33</v>
      </c>
      <c r="Z117" t="n">
        <v>33</v>
      </c>
      <c r="AA117" t="n">
        <v>821</v>
      </c>
      <c r="AB117" t="n">
        <v>1</v>
      </c>
      <c r="AC117" t="n">
        <v>5</v>
      </c>
      <c r="AD117" t="n">
        <v>0</v>
      </c>
      <c r="AE117" t="n">
        <v>11</v>
      </c>
      <c r="AF117" t="n">
        <v>0</v>
      </c>
      <c r="AG117" t="n">
        <v>6</v>
      </c>
      <c r="AH117" t="n">
        <v>0</v>
      </c>
      <c r="AI117" t="n">
        <v>3</v>
      </c>
      <c r="AJ117" t="n">
        <v>0</v>
      </c>
      <c r="AK117" t="n">
        <v>5</v>
      </c>
      <c r="AL117" t="n">
        <v>0</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HYPERLINK("https://creighton-primo.hosted.exlibrisgroup.com/primo-explore/search?tab=default_tab&amp;search_scope=EVERYTHING&amp;vid=01CRU&amp;lang=en_US&amp;offset=0&amp;query=any,contains,991000623489702656","Catalog Record")</f>
        <v/>
      </c>
      <c r="AT117">
        <f>HYPERLINK("http://www.worldcat.org/oclc/11984244","WorldCat Record")</f>
        <v/>
      </c>
      <c r="AU117" t="inlineStr">
        <is>
          <t>370086599:eng</t>
        </is>
      </c>
      <c r="AV117" t="inlineStr">
        <is>
          <t>11984244</t>
        </is>
      </c>
      <c r="AW117" t="inlineStr">
        <is>
          <t>991000623489702656</t>
        </is>
      </c>
      <c r="AX117" t="inlineStr">
        <is>
          <t>991000623489702656</t>
        </is>
      </c>
      <c r="AY117" t="inlineStr">
        <is>
          <t>2264259410002656</t>
        </is>
      </c>
      <c r="AZ117" t="inlineStr">
        <is>
          <t>BOOK</t>
        </is>
      </c>
      <c r="BC117" t="inlineStr">
        <is>
          <t>32285001543676</t>
        </is>
      </c>
      <c r="BD117" t="inlineStr">
        <is>
          <t>893796832</t>
        </is>
      </c>
    </row>
    <row r="118">
      <c r="A118" t="inlineStr">
        <is>
          <t>No</t>
        </is>
      </c>
      <c r="B118" t="inlineStr">
        <is>
          <t>NK2406 .W5</t>
        </is>
      </c>
      <c r="C118" t="inlineStr">
        <is>
          <t>0                      NK 2406000W  5</t>
        </is>
      </c>
      <c r="D118" t="inlineStr">
        <is>
          <t>Country furniture of early America.</t>
        </is>
      </c>
      <c r="F118" t="inlineStr">
        <is>
          <t>No</t>
        </is>
      </c>
      <c r="G118" t="inlineStr">
        <is>
          <t>1</t>
        </is>
      </c>
      <c r="H118" t="inlineStr">
        <is>
          <t>No</t>
        </is>
      </c>
      <c r="I118" t="inlineStr">
        <is>
          <t>No</t>
        </is>
      </c>
      <c r="J118" t="inlineStr">
        <is>
          <t>0</t>
        </is>
      </c>
      <c r="K118" t="inlineStr">
        <is>
          <t>Williams, Henry Lionel, 1894-1974.</t>
        </is>
      </c>
      <c r="L118" t="inlineStr">
        <is>
          <t>New York, Barnes [c1963]</t>
        </is>
      </c>
      <c r="M118" t="inlineStr">
        <is>
          <t>1963</t>
        </is>
      </c>
      <c r="O118" t="inlineStr">
        <is>
          <t>eng</t>
        </is>
      </c>
      <c r="P118" t="inlineStr">
        <is>
          <t>nyu</t>
        </is>
      </c>
      <c r="R118" t="inlineStr">
        <is>
          <t xml:space="preserve">NK </t>
        </is>
      </c>
      <c r="S118" t="n">
        <v>2</v>
      </c>
      <c r="T118" t="n">
        <v>2</v>
      </c>
      <c r="U118" t="inlineStr">
        <is>
          <t>2005-05-25</t>
        </is>
      </c>
      <c r="V118" t="inlineStr">
        <is>
          <t>2005-05-25</t>
        </is>
      </c>
      <c r="W118" t="inlineStr">
        <is>
          <t>1997-09-10</t>
        </is>
      </c>
      <c r="X118" t="inlineStr">
        <is>
          <t>1997-09-10</t>
        </is>
      </c>
      <c r="Y118" t="n">
        <v>827</v>
      </c>
      <c r="Z118" t="n">
        <v>782</v>
      </c>
      <c r="AA118" t="n">
        <v>812</v>
      </c>
      <c r="AB118" t="n">
        <v>4</v>
      </c>
      <c r="AC118" t="n">
        <v>4</v>
      </c>
      <c r="AD118" t="n">
        <v>11</v>
      </c>
      <c r="AE118" t="n">
        <v>11</v>
      </c>
      <c r="AF118" t="n">
        <v>4</v>
      </c>
      <c r="AG118" t="n">
        <v>4</v>
      </c>
      <c r="AH118" t="n">
        <v>2</v>
      </c>
      <c r="AI118" t="n">
        <v>2</v>
      </c>
      <c r="AJ118" t="n">
        <v>8</v>
      </c>
      <c r="AK118" t="n">
        <v>8</v>
      </c>
      <c r="AL118" t="n">
        <v>0</v>
      </c>
      <c r="AM118" t="n">
        <v>0</v>
      </c>
      <c r="AN118" t="n">
        <v>0</v>
      </c>
      <c r="AO118" t="n">
        <v>0</v>
      </c>
      <c r="AP118" t="inlineStr">
        <is>
          <t>Yes</t>
        </is>
      </c>
      <c r="AQ118" t="inlineStr">
        <is>
          <t>No</t>
        </is>
      </c>
      <c r="AR118">
        <f>HYPERLINK("http://catalog.hathitrust.org/Record/000007002","HathiTrust Record")</f>
        <v/>
      </c>
      <c r="AS118">
        <f>HYPERLINK("https://creighton-primo.hosted.exlibrisgroup.com/primo-explore/search?tab=default_tab&amp;search_scope=EVERYTHING&amp;vid=01CRU&amp;lang=en_US&amp;offset=0&amp;query=any,contains,991002907439702656","Catalog Record")</f>
        <v/>
      </c>
      <c r="AT118">
        <f>HYPERLINK("http://www.worldcat.org/oclc/520177","WorldCat Record")</f>
        <v/>
      </c>
      <c r="AU118" t="inlineStr">
        <is>
          <t>1514039:eng</t>
        </is>
      </c>
      <c r="AV118" t="inlineStr">
        <is>
          <t>520177</t>
        </is>
      </c>
      <c r="AW118" t="inlineStr">
        <is>
          <t>991002907439702656</t>
        </is>
      </c>
      <c r="AX118" t="inlineStr">
        <is>
          <t>991002907439702656</t>
        </is>
      </c>
      <c r="AY118" t="inlineStr">
        <is>
          <t>2267986530002656</t>
        </is>
      </c>
      <c r="AZ118" t="inlineStr">
        <is>
          <t>BOOK</t>
        </is>
      </c>
      <c r="BC118" t="inlineStr">
        <is>
          <t>32285003170346</t>
        </is>
      </c>
      <c r="BD118" t="inlineStr">
        <is>
          <t>893262535</t>
        </is>
      </c>
    </row>
    <row r="119">
      <c r="A119" t="inlineStr">
        <is>
          <t>No</t>
        </is>
      </c>
      <c r="B119" t="inlineStr">
        <is>
          <t>NK2407 .O8</t>
        </is>
      </c>
      <c r="C119" t="inlineStr">
        <is>
          <t>0                      NK 2407000O  8</t>
        </is>
      </c>
      <c r="D119" t="inlineStr">
        <is>
          <t>American furniture of the nineteenth century.</t>
        </is>
      </c>
      <c r="F119" t="inlineStr">
        <is>
          <t>No</t>
        </is>
      </c>
      <c r="G119" t="inlineStr">
        <is>
          <t>1</t>
        </is>
      </c>
      <c r="H119" t="inlineStr">
        <is>
          <t>No</t>
        </is>
      </c>
      <c r="I119" t="inlineStr">
        <is>
          <t>No</t>
        </is>
      </c>
      <c r="J119" t="inlineStr">
        <is>
          <t>0</t>
        </is>
      </c>
      <c r="K119" t="inlineStr">
        <is>
          <t>Otto, Celia Jackson.</t>
        </is>
      </c>
      <c r="L119" t="inlineStr">
        <is>
          <t>New York : Viking Press, [1965]</t>
        </is>
      </c>
      <c r="M119" t="inlineStr">
        <is>
          <t>1965</t>
        </is>
      </c>
      <c r="O119" t="inlineStr">
        <is>
          <t>eng</t>
        </is>
      </c>
      <c r="P119" t="inlineStr">
        <is>
          <t xml:space="preserve">xx </t>
        </is>
      </c>
      <c r="Q119" t="inlineStr">
        <is>
          <t>A studio book</t>
        </is>
      </c>
      <c r="R119" t="inlineStr">
        <is>
          <t xml:space="preserve">NK </t>
        </is>
      </c>
      <c r="S119" t="n">
        <v>7</v>
      </c>
      <c r="T119" t="n">
        <v>7</v>
      </c>
      <c r="U119" t="inlineStr">
        <is>
          <t>2005-05-25</t>
        </is>
      </c>
      <c r="V119" t="inlineStr">
        <is>
          <t>2005-05-25</t>
        </is>
      </c>
      <c r="W119" t="inlineStr">
        <is>
          <t>1992-01-14</t>
        </is>
      </c>
      <c r="X119" t="inlineStr">
        <is>
          <t>1992-01-14</t>
        </is>
      </c>
      <c r="Y119" t="n">
        <v>579</v>
      </c>
      <c r="Z119" t="n">
        <v>556</v>
      </c>
      <c r="AA119" t="n">
        <v>618</v>
      </c>
      <c r="AB119" t="n">
        <v>5</v>
      </c>
      <c r="AC119" t="n">
        <v>5</v>
      </c>
      <c r="AD119" t="n">
        <v>8</v>
      </c>
      <c r="AE119" t="n">
        <v>8</v>
      </c>
      <c r="AF119" t="n">
        <v>2</v>
      </c>
      <c r="AG119" t="n">
        <v>2</v>
      </c>
      <c r="AH119" t="n">
        <v>0</v>
      </c>
      <c r="AI119" t="n">
        <v>0</v>
      </c>
      <c r="AJ119" t="n">
        <v>5</v>
      </c>
      <c r="AK119" t="n">
        <v>5</v>
      </c>
      <c r="AL119" t="n">
        <v>2</v>
      </c>
      <c r="AM119" t="n">
        <v>2</v>
      </c>
      <c r="AN119" t="n">
        <v>0</v>
      </c>
      <c r="AO119" t="n">
        <v>0</v>
      </c>
      <c r="AP119" t="inlineStr">
        <is>
          <t>No</t>
        </is>
      </c>
      <c r="AQ119" t="inlineStr">
        <is>
          <t>Yes</t>
        </is>
      </c>
      <c r="AR119">
        <f>HYPERLINK("http://catalog.hathitrust.org/Record/001471103","HathiTrust Record")</f>
        <v/>
      </c>
      <c r="AS119">
        <f>HYPERLINK("https://creighton-primo.hosted.exlibrisgroup.com/primo-explore/search?tab=default_tab&amp;search_scope=EVERYTHING&amp;vid=01CRU&amp;lang=en_US&amp;offset=0&amp;query=any,contains,991003164149702656","Catalog Record")</f>
        <v/>
      </c>
      <c r="AT119">
        <f>HYPERLINK("http://www.worldcat.org/oclc/702619","WorldCat Record")</f>
        <v/>
      </c>
      <c r="AU119" t="inlineStr">
        <is>
          <t>1609070:eng</t>
        </is>
      </c>
      <c r="AV119" t="inlineStr">
        <is>
          <t>702619</t>
        </is>
      </c>
      <c r="AW119" t="inlineStr">
        <is>
          <t>991003164149702656</t>
        </is>
      </c>
      <c r="AX119" t="inlineStr">
        <is>
          <t>991003164149702656</t>
        </is>
      </c>
      <c r="AY119" t="inlineStr">
        <is>
          <t>2258233720002656</t>
        </is>
      </c>
      <c r="AZ119" t="inlineStr">
        <is>
          <t>BOOK</t>
        </is>
      </c>
      <c r="BC119" t="inlineStr">
        <is>
          <t>32285000911940</t>
        </is>
      </c>
      <c r="BD119" t="inlineStr">
        <is>
          <t>893604506</t>
        </is>
      </c>
    </row>
    <row r="120">
      <c r="A120" t="inlineStr">
        <is>
          <t>No</t>
        </is>
      </c>
      <c r="B120" t="inlineStr">
        <is>
          <t>NK2408 .C66 2003</t>
        </is>
      </c>
      <c r="C120" t="inlineStr">
        <is>
          <t>0                      NK 2408000C  66          2003</t>
        </is>
      </c>
      <c r="D120" t="inlineStr">
        <is>
          <t>The maker's hand : American studio furniture, 1940-1990 / Edward S. Cooke, Jr., Gerald W.R. Ward, and Kelly H. L'Ecuyer ; with the assistance of Pat Warner.</t>
        </is>
      </c>
      <c r="F120" t="inlineStr">
        <is>
          <t>No</t>
        </is>
      </c>
      <c r="G120" t="inlineStr">
        <is>
          <t>1</t>
        </is>
      </c>
      <c r="H120" t="inlineStr">
        <is>
          <t>No</t>
        </is>
      </c>
      <c r="I120" t="inlineStr">
        <is>
          <t>No</t>
        </is>
      </c>
      <c r="J120" t="inlineStr">
        <is>
          <t>0</t>
        </is>
      </c>
      <c r="K120" t="inlineStr">
        <is>
          <t>Cooke, Edward S., Jr. (Edward Strong), 1954-</t>
        </is>
      </c>
      <c r="L120" t="inlineStr">
        <is>
          <t>Boston : MFA Publications, a division of the Museum of Fine Arts, c2003.</t>
        </is>
      </c>
      <c r="M120" t="inlineStr">
        <is>
          <t>2003</t>
        </is>
      </c>
      <c r="N120" t="inlineStr">
        <is>
          <t>1st ed.</t>
        </is>
      </c>
      <c r="O120" t="inlineStr">
        <is>
          <t>eng</t>
        </is>
      </c>
      <c r="P120" t="inlineStr">
        <is>
          <t>mau</t>
        </is>
      </c>
      <c r="R120" t="inlineStr">
        <is>
          <t xml:space="preserve">NK </t>
        </is>
      </c>
      <c r="S120" t="n">
        <v>1</v>
      </c>
      <c r="T120" t="n">
        <v>1</v>
      </c>
      <c r="U120" t="inlineStr">
        <is>
          <t>2005-08-29</t>
        </is>
      </c>
      <c r="V120" t="inlineStr">
        <is>
          <t>2005-08-29</t>
        </is>
      </c>
      <c r="W120" t="inlineStr">
        <is>
          <t>2005-08-29</t>
        </is>
      </c>
      <c r="X120" t="inlineStr">
        <is>
          <t>2005-08-29</t>
        </is>
      </c>
      <c r="Y120" t="n">
        <v>455</v>
      </c>
      <c r="Z120" t="n">
        <v>406</v>
      </c>
      <c r="AA120" t="n">
        <v>408</v>
      </c>
      <c r="AB120" t="n">
        <v>5</v>
      </c>
      <c r="AC120" t="n">
        <v>5</v>
      </c>
      <c r="AD120" t="n">
        <v>8</v>
      </c>
      <c r="AE120" t="n">
        <v>8</v>
      </c>
      <c r="AF120" t="n">
        <v>3</v>
      </c>
      <c r="AG120" t="n">
        <v>3</v>
      </c>
      <c r="AH120" t="n">
        <v>0</v>
      </c>
      <c r="AI120" t="n">
        <v>0</v>
      </c>
      <c r="AJ120" t="n">
        <v>4</v>
      </c>
      <c r="AK120" t="n">
        <v>4</v>
      </c>
      <c r="AL120" t="n">
        <v>3</v>
      </c>
      <c r="AM120" t="n">
        <v>3</v>
      </c>
      <c r="AN120" t="n">
        <v>0</v>
      </c>
      <c r="AO120" t="n">
        <v>0</v>
      </c>
      <c r="AP120" t="inlineStr">
        <is>
          <t>No</t>
        </is>
      </c>
      <c r="AQ120" t="inlineStr">
        <is>
          <t>Yes</t>
        </is>
      </c>
      <c r="AR120">
        <f>HYPERLINK("http://catalog.hathitrust.org/Record/004358124","HathiTrust Record")</f>
        <v/>
      </c>
      <c r="AS120">
        <f>HYPERLINK("https://creighton-primo.hosted.exlibrisgroup.com/primo-explore/search?tab=default_tab&amp;search_scope=EVERYTHING&amp;vid=01CRU&amp;lang=en_US&amp;offset=0&amp;query=any,contains,991004539359702656","Catalog Record")</f>
        <v/>
      </c>
      <c r="AT120">
        <f>HYPERLINK("http://www.worldcat.org/oclc/53883909","WorldCat Record")</f>
        <v/>
      </c>
      <c r="AU120" t="inlineStr">
        <is>
          <t>307697645:eng</t>
        </is>
      </c>
      <c r="AV120" t="inlineStr">
        <is>
          <t>53883909</t>
        </is>
      </c>
      <c r="AW120" t="inlineStr">
        <is>
          <t>991004539359702656</t>
        </is>
      </c>
      <c r="AX120" t="inlineStr">
        <is>
          <t>991004539359702656</t>
        </is>
      </c>
      <c r="AY120" t="inlineStr">
        <is>
          <t>2271909120002656</t>
        </is>
      </c>
      <c r="AZ120" t="inlineStr">
        <is>
          <t>BOOK</t>
        </is>
      </c>
      <c r="BB120" t="inlineStr">
        <is>
          <t>9780878466627</t>
        </is>
      </c>
      <c r="BC120" t="inlineStr">
        <is>
          <t>32285005082143</t>
        </is>
      </c>
      <c r="BD120" t="inlineStr">
        <is>
          <t>893788817</t>
        </is>
      </c>
    </row>
    <row r="121">
      <c r="A121" t="inlineStr">
        <is>
          <t>No</t>
        </is>
      </c>
      <c r="B121" t="inlineStr">
        <is>
          <t>NK2439.S45 M8 2003</t>
        </is>
      </c>
      <c r="C121" t="inlineStr">
        <is>
          <t>0                      NK 2439000S  45                 M  8           2003</t>
        </is>
      </c>
      <c r="D121" t="inlineStr">
        <is>
          <t>The furniture masterworks of John &amp; Thomas Seymour / Robert D. Mussey, Jr.</t>
        </is>
      </c>
      <c r="F121" t="inlineStr">
        <is>
          <t>No</t>
        </is>
      </c>
      <c r="G121" t="inlineStr">
        <is>
          <t>1</t>
        </is>
      </c>
      <c r="H121" t="inlineStr">
        <is>
          <t>No</t>
        </is>
      </c>
      <c r="I121" t="inlineStr">
        <is>
          <t>No</t>
        </is>
      </c>
      <c r="J121" t="inlineStr">
        <is>
          <t>0</t>
        </is>
      </c>
      <c r="K121" t="inlineStr">
        <is>
          <t>Mussey, Robert D.</t>
        </is>
      </c>
      <c r="L121" t="inlineStr">
        <is>
          <t>Salem, Mass. : Peabody Essex Museum, 2003.</t>
        </is>
      </c>
      <c r="M121" t="inlineStr">
        <is>
          <t>2003</t>
        </is>
      </c>
      <c r="O121" t="inlineStr">
        <is>
          <t>eng</t>
        </is>
      </c>
      <c r="P121" t="inlineStr">
        <is>
          <t>mau</t>
        </is>
      </c>
      <c r="Q121" t="inlineStr">
        <is>
          <t>Peabody Essex Museum collections for 2002 ; 137.</t>
        </is>
      </c>
      <c r="R121" t="inlineStr">
        <is>
          <t xml:space="preserve">NK </t>
        </is>
      </c>
      <c r="S121" t="n">
        <v>1</v>
      </c>
      <c r="T121" t="n">
        <v>1</v>
      </c>
      <c r="U121" t="inlineStr">
        <is>
          <t>2010-01-26</t>
        </is>
      </c>
      <c r="V121" t="inlineStr">
        <is>
          <t>2010-01-26</t>
        </is>
      </c>
      <c r="W121" t="inlineStr">
        <is>
          <t>2004-01-20</t>
        </is>
      </c>
      <c r="X121" t="inlineStr">
        <is>
          <t>2004-01-20</t>
        </is>
      </c>
      <c r="Y121" t="n">
        <v>190</v>
      </c>
      <c r="Z121" t="n">
        <v>177</v>
      </c>
      <c r="AA121" t="n">
        <v>177</v>
      </c>
      <c r="AB121" t="n">
        <v>2</v>
      </c>
      <c r="AC121" t="n">
        <v>2</v>
      </c>
      <c r="AD121" t="n">
        <v>6</v>
      </c>
      <c r="AE121" t="n">
        <v>6</v>
      </c>
      <c r="AF121" t="n">
        <v>0</v>
      </c>
      <c r="AG121" t="n">
        <v>0</v>
      </c>
      <c r="AH121" t="n">
        <v>2</v>
      </c>
      <c r="AI121" t="n">
        <v>2</v>
      </c>
      <c r="AJ121" t="n">
        <v>4</v>
      </c>
      <c r="AK121" t="n">
        <v>4</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HYPERLINK("https://creighton-primo.hosted.exlibrisgroup.com/primo-explore/search?tab=default_tab&amp;search_scope=EVERYTHING&amp;vid=01CRU&amp;lang=en_US&amp;offset=0&amp;query=any,contains,991004218409702656","Catalog Record")</f>
        <v/>
      </c>
      <c r="AT121">
        <f>HYPERLINK("http://www.worldcat.org/oclc/53994338","WorldCat Record")</f>
        <v/>
      </c>
      <c r="AU121" t="inlineStr">
        <is>
          <t>8909479124:eng</t>
        </is>
      </c>
      <c r="AV121" t="inlineStr">
        <is>
          <t>53994338</t>
        </is>
      </c>
      <c r="AW121" t="inlineStr">
        <is>
          <t>991004218409702656</t>
        </is>
      </c>
      <c r="AX121" t="inlineStr">
        <is>
          <t>991004218409702656</t>
        </is>
      </c>
      <c r="AY121" t="inlineStr">
        <is>
          <t>2268211610002656</t>
        </is>
      </c>
      <c r="AZ121" t="inlineStr">
        <is>
          <t>BOOK</t>
        </is>
      </c>
      <c r="BB121" t="inlineStr">
        <is>
          <t>9780883891261</t>
        </is>
      </c>
      <c r="BC121" t="inlineStr">
        <is>
          <t>32285004635271</t>
        </is>
      </c>
      <c r="BD121" t="inlineStr">
        <is>
          <t>893718643</t>
        </is>
      </c>
    </row>
    <row r="122">
      <c r="A122" t="inlineStr">
        <is>
          <t>No</t>
        </is>
      </c>
      <c r="B122" t="inlineStr">
        <is>
          <t>NK2528 .G48 1965</t>
        </is>
      </c>
      <c r="C122" t="inlineStr">
        <is>
          <t>0                      NK 2528000G  48          1965</t>
        </is>
      </c>
      <c r="D122" t="inlineStr">
        <is>
          <t>English furniture.</t>
        </is>
      </c>
      <c r="F122" t="inlineStr">
        <is>
          <t>No</t>
        </is>
      </c>
      <c r="G122" t="inlineStr">
        <is>
          <t>1</t>
        </is>
      </c>
      <c r="H122" t="inlineStr">
        <is>
          <t>No</t>
        </is>
      </c>
      <c r="I122" t="inlineStr">
        <is>
          <t>No</t>
        </is>
      </c>
      <c r="J122" t="inlineStr">
        <is>
          <t>0</t>
        </is>
      </c>
      <c r="K122" t="inlineStr">
        <is>
          <t>Gloag, John, 1896-1981.</t>
        </is>
      </c>
      <c r="L122" t="inlineStr">
        <is>
          <t>London : A. &amp; C. Black, [1965]</t>
        </is>
      </c>
      <c r="M122" t="inlineStr">
        <is>
          <t>1965</t>
        </is>
      </c>
      <c r="N122" t="inlineStr">
        <is>
          <t>5th ed., rev. and enl.</t>
        </is>
      </c>
      <c r="O122" t="inlineStr">
        <is>
          <t>eng</t>
        </is>
      </c>
      <c r="P122" t="inlineStr">
        <is>
          <t>enk</t>
        </is>
      </c>
      <c r="Q122" t="inlineStr">
        <is>
          <t>The Library of English art</t>
        </is>
      </c>
      <c r="R122" t="inlineStr">
        <is>
          <t xml:space="preserve">NK </t>
        </is>
      </c>
      <c r="S122" t="n">
        <v>2</v>
      </c>
      <c r="T122" t="n">
        <v>2</v>
      </c>
      <c r="U122" t="inlineStr">
        <is>
          <t>2001-02-25</t>
        </is>
      </c>
      <c r="V122" t="inlineStr">
        <is>
          <t>2001-02-25</t>
        </is>
      </c>
      <c r="W122" t="inlineStr">
        <is>
          <t>1992-12-10</t>
        </is>
      </c>
      <c r="X122" t="inlineStr">
        <is>
          <t>1992-12-10</t>
        </is>
      </c>
      <c r="Y122" t="n">
        <v>185</v>
      </c>
      <c r="Z122" t="n">
        <v>147</v>
      </c>
      <c r="AA122" t="n">
        <v>324</v>
      </c>
      <c r="AB122" t="n">
        <v>3</v>
      </c>
      <c r="AC122" t="n">
        <v>4</v>
      </c>
      <c r="AD122" t="n">
        <v>5</v>
      </c>
      <c r="AE122" t="n">
        <v>9</v>
      </c>
      <c r="AF122" t="n">
        <v>1</v>
      </c>
      <c r="AG122" t="n">
        <v>2</v>
      </c>
      <c r="AH122" t="n">
        <v>0</v>
      </c>
      <c r="AI122" t="n">
        <v>1</v>
      </c>
      <c r="AJ122" t="n">
        <v>2</v>
      </c>
      <c r="AK122" t="n">
        <v>6</v>
      </c>
      <c r="AL122" t="n">
        <v>2</v>
      </c>
      <c r="AM122" t="n">
        <v>2</v>
      </c>
      <c r="AN122" t="n">
        <v>0</v>
      </c>
      <c r="AO122" t="n">
        <v>0</v>
      </c>
      <c r="AP122" t="inlineStr">
        <is>
          <t>No</t>
        </is>
      </c>
      <c r="AQ122" t="inlineStr">
        <is>
          <t>Yes</t>
        </is>
      </c>
      <c r="AR122">
        <f>HYPERLINK("http://catalog.hathitrust.org/Record/006126999","HathiTrust Record")</f>
        <v/>
      </c>
      <c r="AS122">
        <f>HYPERLINK("https://creighton-primo.hosted.exlibrisgroup.com/primo-explore/search?tab=default_tab&amp;search_scope=EVERYTHING&amp;vid=01CRU&amp;lang=en_US&amp;offset=0&amp;query=any,contains,991003948129702656","Catalog Record")</f>
        <v/>
      </c>
      <c r="AT122">
        <f>HYPERLINK("http://www.worldcat.org/oclc/1949784","WorldCat Record")</f>
        <v/>
      </c>
      <c r="AU122" t="inlineStr">
        <is>
          <t>149578342:eng</t>
        </is>
      </c>
      <c r="AV122" t="inlineStr">
        <is>
          <t>1949784</t>
        </is>
      </c>
      <c r="AW122" t="inlineStr">
        <is>
          <t>991003948129702656</t>
        </is>
      </c>
      <c r="AX122" t="inlineStr">
        <is>
          <t>991003948129702656</t>
        </is>
      </c>
      <c r="AY122" t="inlineStr">
        <is>
          <t>2260884750002656</t>
        </is>
      </c>
      <c r="AZ122" t="inlineStr">
        <is>
          <t>BOOK</t>
        </is>
      </c>
      <c r="BC122" t="inlineStr">
        <is>
          <t>32285001440113</t>
        </is>
      </c>
      <c r="BD122" t="inlineStr">
        <is>
          <t>893506185</t>
        </is>
      </c>
    </row>
    <row r="123">
      <c r="A123" t="inlineStr">
        <is>
          <t>No</t>
        </is>
      </c>
      <c r="B123" t="inlineStr">
        <is>
          <t>NK2809.I8 I84 1972</t>
        </is>
      </c>
      <c r="C123" t="inlineStr">
        <is>
          <t>0                      NK 2809000I  8                  I  84          1972</t>
        </is>
      </c>
      <c r="D123" t="inlineStr">
        <is>
          <t>Islamic carpets from the Joseph V. McMullan collection: [catalogue of an exhibition held at the] Hayward Gallery, London, 19 October - 10 December 1972.</t>
        </is>
      </c>
      <c r="F123" t="inlineStr">
        <is>
          <t>No</t>
        </is>
      </c>
      <c r="G123" t="inlineStr">
        <is>
          <t>1</t>
        </is>
      </c>
      <c r="H123" t="inlineStr">
        <is>
          <t>No</t>
        </is>
      </c>
      <c r="I123" t="inlineStr">
        <is>
          <t>No</t>
        </is>
      </c>
      <c r="J123" t="inlineStr">
        <is>
          <t>0</t>
        </is>
      </c>
      <c r="L123" t="inlineStr">
        <is>
          <t>London, Arts Council of Great Britain, 1972.</t>
        </is>
      </c>
      <c r="M123" t="inlineStr">
        <is>
          <t>1972</t>
        </is>
      </c>
      <c r="O123" t="inlineStr">
        <is>
          <t>eng</t>
        </is>
      </c>
      <c r="P123" t="inlineStr">
        <is>
          <t>enk</t>
        </is>
      </c>
      <c r="R123" t="inlineStr">
        <is>
          <t xml:space="preserve">NK </t>
        </is>
      </c>
      <c r="S123" t="n">
        <v>7</v>
      </c>
      <c r="T123" t="n">
        <v>7</v>
      </c>
      <c r="U123" t="inlineStr">
        <is>
          <t>2002-09-16</t>
        </is>
      </c>
      <c r="V123" t="inlineStr">
        <is>
          <t>2002-09-16</t>
        </is>
      </c>
      <c r="W123" t="inlineStr">
        <is>
          <t>1996-05-31</t>
        </is>
      </c>
      <c r="X123" t="inlineStr">
        <is>
          <t>1996-05-31</t>
        </is>
      </c>
      <c r="Y123" t="n">
        <v>205</v>
      </c>
      <c r="Z123" t="n">
        <v>147</v>
      </c>
      <c r="AA123" t="n">
        <v>157</v>
      </c>
      <c r="AB123" t="n">
        <v>2</v>
      </c>
      <c r="AC123" t="n">
        <v>2</v>
      </c>
      <c r="AD123" t="n">
        <v>3</v>
      </c>
      <c r="AE123" t="n">
        <v>3</v>
      </c>
      <c r="AF123" t="n">
        <v>0</v>
      </c>
      <c r="AG123" t="n">
        <v>0</v>
      </c>
      <c r="AH123" t="n">
        <v>1</v>
      </c>
      <c r="AI123" t="n">
        <v>1</v>
      </c>
      <c r="AJ123" t="n">
        <v>1</v>
      </c>
      <c r="AK123" t="n">
        <v>1</v>
      </c>
      <c r="AL123" t="n">
        <v>1</v>
      </c>
      <c r="AM123" t="n">
        <v>1</v>
      </c>
      <c r="AN123" t="n">
        <v>0</v>
      </c>
      <c r="AO123" t="n">
        <v>0</v>
      </c>
      <c r="AP123" t="inlineStr">
        <is>
          <t>No</t>
        </is>
      </c>
      <c r="AQ123" t="inlineStr">
        <is>
          <t>Yes</t>
        </is>
      </c>
      <c r="AR123">
        <f>HYPERLINK("http://catalog.hathitrust.org/Record/008544960","HathiTrust Record")</f>
        <v/>
      </c>
      <c r="AS123">
        <f>HYPERLINK("https://creighton-primo.hosted.exlibrisgroup.com/primo-explore/search?tab=default_tab&amp;search_scope=EVERYTHING&amp;vid=01CRU&amp;lang=en_US&amp;offset=0&amp;query=any,contains,991005356229702656","Catalog Record")</f>
        <v/>
      </c>
      <c r="AT123">
        <f>HYPERLINK("http://www.worldcat.org/oclc/672770","WorldCat Record")</f>
        <v/>
      </c>
      <c r="AU123" t="inlineStr">
        <is>
          <t>1855508:eng</t>
        </is>
      </c>
      <c r="AV123" t="inlineStr">
        <is>
          <t>672770</t>
        </is>
      </c>
      <c r="AW123" t="inlineStr">
        <is>
          <t>991005356229702656</t>
        </is>
      </c>
      <c r="AX123" t="inlineStr">
        <is>
          <t>991005356229702656</t>
        </is>
      </c>
      <c r="AY123" t="inlineStr">
        <is>
          <t>2267807070002656</t>
        </is>
      </c>
      <c r="AZ123" t="inlineStr">
        <is>
          <t>BOOK</t>
        </is>
      </c>
      <c r="BB123" t="inlineStr">
        <is>
          <t>9780900085826</t>
        </is>
      </c>
      <c r="BC123" t="inlineStr">
        <is>
          <t>32285002186343</t>
        </is>
      </c>
      <c r="BD123" t="inlineStr">
        <is>
          <t>893613566</t>
        </is>
      </c>
    </row>
    <row r="124">
      <c r="A124" t="inlineStr">
        <is>
          <t>No</t>
        </is>
      </c>
      <c r="B124" t="inlineStr">
        <is>
          <t>NK2995 .H8</t>
        </is>
      </c>
      <c r="C124" t="inlineStr">
        <is>
          <t>0                      NK 2995000H  8</t>
        </is>
      </c>
      <c r="D124" t="inlineStr">
        <is>
          <t>Tapestries, their origin, history and renaissance / by George Leland Hunter; with four illustrations in color and 147 halftone engravings.</t>
        </is>
      </c>
      <c r="F124" t="inlineStr">
        <is>
          <t>No</t>
        </is>
      </c>
      <c r="G124" t="inlineStr">
        <is>
          <t>1</t>
        </is>
      </c>
      <c r="H124" t="inlineStr">
        <is>
          <t>No</t>
        </is>
      </c>
      <c r="I124" t="inlineStr">
        <is>
          <t>No</t>
        </is>
      </c>
      <c r="J124" t="inlineStr">
        <is>
          <t>0</t>
        </is>
      </c>
      <c r="K124" t="inlineStr">
        <is>
          <t>Hunter, George Leland, 1867-1927.</t>
        </is>
      </c>
      <c r="L124" t="inlineStr">
        <is>
          <t>New York : John Lane Company, 1912.</t>
        </is>
      </c>
      <c r="M124" t="inlineStr">
        <is>
          <t>1912</t>
        </is>
      </c>
      <c r="O124" t="inlineStr">
        <is>
          <t>eng</t>
        </is>
      </c>
      <c r="P124" t="inlineStr">
        <is>
          <t>nyu</t>
        </is>
      </c>
      <c r="R124" t="inlineStr">
        <is>
          <t xml:space="preserve">NK </t>
        </is>
      </c>
      <c r="S124" t="n">
        <v>2</v>
      </c>
      <c r="T124" t="n">
        <v>2</v>
      </c>
      <c r="U124" t="inlineStr">
        <is>
          <t>2008-11-04</t>
        </is>
      </c>
      <c r="V124" t="inlineStr">
        <is>
          <t>2008-11-04</t>
        </is>
      </c>
      <c r="W124" t="inlineStr">
        <is>
          <t>1992-01-30</t>
        </is>
      </c>
      <c r="X124" t="inlineStr">
        <is>
          <t>1992-01-30</t>
        </is>
      </c>
      <c r="Y124" t="n">
        <v>286</v>
      </c>
      <c r="Z124" t="n">
        <v>251</v>
      </c>
      <c r="AA124" t="n">
        <v>315</v>
      </c>
      <c r="AB124" t="n">
        <v>3</v>
      </c>
      <c r="AC124" t="n">
        <v>3</v>
      </c>
      <c r="AD124" t="n">
        <v>7</v>
      </c>
      <c r="AE124" t="n">
        <v>7</v>
      </c>
      <c r="AF124" t="n">
        <v>0</v>
      </c>
      <c r="AG124" t="n">
        <v>0</v>
      </c>
      <c r="AH124" t="n">
        <v>1</v>
      </c>
      <c r="AI124" t="n">
        <v>1</v>
      </c>
      <c r="AJ124" t="n">
        <v>4</v>
      </c>
      <c r="AK124" t="n">
        <v>4</v>
      </c>
      <c r="AL124" t="n">
        <v>2</v>
      </c>
      <c r="AM124" t="n">
        <v>2</v>
      </c>
      <c r="AN124" t="n">
        <v>0</v>
      </c>
      <c r="AO124" t="n">
        <v>0</v>
      </c>
      <c r="AP124" t="inlineStr">
        <is>
          <t>Yes</t>
        </is>
      </c>
      <c r="AQ124" t="inlineStr">
        <is>
          <t>No</t>
        </is>
      </c>
      <c r="AR124">
        <f>HYPERLINK("http://catalog.hathitrust.org/Record/001471264","HathiTrust Record")</f>
        <v/>
      </c>
      <c r="AS124">
        <f>HYPERLINK("https://creighton-primo.hosted.exlibrisgroup.com/primo-explore/search?tab=default_tab&amp;search_scope=EVERYTHING&amp;vid=01CRU&amp;lang=en_US&amp;offset=0&amp;query=any,contains,991003831679702656","Catalog Record")</f>
        <v/>
      </c>
      <c r="AT124">
        <f>HYPERLINK("http://www.worldcat.org/oclc/50387853","WorldCat Record")</f>
        <v/>
      </c>
      <c r="AU124" t="inlineStr">
        <is>
          <t>11498011:eng</t>
        </is>
      </c>
      <c r="AV124" t="inlineStr">
        <is>
          <t>50387853</t>
        </is>
      </c>
      <c r="AW124" t="inlineStr">
        <is>
          <t>991003831679702656</t>
        </is>
      </c>
      <c r="AX124" t="inlineStr">
        <is>
          <t>991003831679702656</t>
        </is>
      </c>
      <c r="AY124" t="inlineStr">
        <is>
          <t>2267673170002656</t>
        </is>
      </c>
      <c r="AZ124" t="inlineStr">
        <is>
          <t>BOOK</t>
        </is>
      </c>
      <c r="BC124" t="inlineStr">
        <is>
          <t>32285000931104</t>
        </is>
      </c>
      <c r="BD124" t="inlineStr">
        <is>
          <t>893806267</t>
        </is>
      </c>
    </row>
    <row r="125">
      <c r="A125" t="inlineStr">
        <is>
          <t>No</t>
        </is>
      </c>
      <c r="B125" t="inlineStr">
        <is>
          <t>NK3049.B3 S73 1965</t>
        </is>
      </c>
      <c r="C125" t="inlineStr">
        <is>
          <t>0                      NK 3049000B  3                  S  73          1965</t>
        </is>
      </c>
      <c r="D125" t="inlineStr">
        <is>
          <t>The Bayeux tapestry : a comprehensive survey / by Sir Frank Stenton, general editor, Simone Bertrand [and others.</t>
        </is>
      </c>
      <c r="F125" t="inlineStr">
        <is>
          <t>No</t>
        </is>
      </c>
      <c r="G125" t="inlineStr">
        <is>
          <t>1</t>
        </is>
      </c>
      <c r="H125" t="inlineStr">
        <is>
          <t>No</t>
        </is>
      </c>
      <c r="I125" t="inlineStr">
        <is>
          <t>No</t>
        </is>
      </c>
      <c r="J125" t="inlineStr">
        <is>
          <t>0</t>
        </is>
      </c>
      <c r="K125" t="inlineStr">
        <is>
          <t>Stenton, F. M. (Frank Merry), 1880-1967, editor.</t>
        </is>
      </c>
      <c r="L125" t="inlineStr">
        <is>
          <t>London] : Phaidon Press, [1965]</t>
        </is>
      </c>
      <c r="M125" t="inlineStr">
        <is>
          <t>1965</t>
        </is>
      </c>
      <c r="N125" t="inlineStr">
        <is>
          <t>2d ed., rev. and enl.</t>
        </is>
      </c>
      <c r="O125" t="inlineStr">
        <is>
          <t>eng</t>
        </is>
      </c>
      <c r="P125" t="inlineStr">
        <is>
          <t>enk</t>
        </is>
      </c>
      <c r="R125" t="inlineStr">
        <is>
          <t xml:space="preserve">NK </t>
        </is>
      </c>
      <c r="S125" t="n">
        <v>7</v>
      </c>
      <c r="T125" t="n">
        <v>7</v>
      </c>
      <c r="U125" t="inlineStr">
        <is>
          <t>2007-11-19</t>
        </is>
      </c>
      <c r="V125" t="inlineStr">
        <is>
          <t>2007-11-19</t>
        </is>
      </c>
      <c r="W125" t="inlineStr">
        <is>
          <t>1991-12-16</t>
        </is>
      </c>
      <c r="X125" t="inlineStr">
        <is>
          <t>1991-12-16</t>
        </is>
      </c>
      <c r="Y125" t="n">
        <v>653</v>
      </c>
      <c r="Z125" t="n">
        <v>564</v>
      </c>
      <c r="AA125" t="n">
        <v>577</v>
      </c>
      <c r="AB125" t="n">
        <v>4</v>
      </c>
      <c r="AC125" t="n">
        <v>4</v>
      </c>
      <c r="AD125" t="n">
        <v>23</v>
      </c>
      <c r="AE125" t="n">
        <v>23</v>
      </c>
      <c r="AF125" t="n">
        <v>10</v>
      </c>
      <c r="AG125" t="n">
        <v>10</v>
      </c>
      <c r="AH125" t="n">
        <v>2</v>
      </c>
      <c r="AI125" t="n">
        <v>2</v>
      </c>
      <c r="AJ125" t="n">
        <v>10</v>
      </c>
      <c r="AK125" t="n">
        <v>10</v>
      </c>
      <c r="AL125" t="n">
        <v>3</v>
      </c>
      <c r="AM125" t="n">
        <v>3</v>
      </c>
      <c r="AN125" t="n">
        <v>0</v>
      </c>
      <c r="AO125" t="n">
        <v>0</v>
      </c>
      <c r="AP125" t="inlineStr">
        <is>
          <t>No</t>
        </is>
      </c>
      <c r="AQ125" t="inlineStr">
        <is>
          <t>Yes</t>
        </is>
      </c>
      <c r="AR125">
        <f>HYPERLINK("http://catalog.hathitrust.org/Record/001471289","HathiTrust Record")</f>
        <v/>
      </c>
      <c r="AS125">
        <f>HYPERLINK("https://creighton-primo.hosted.exlibrisgroup.com/primo-explore/search?tab=default_tab&amp;search_scope=EVERYTHING&amp;vid=01CRU&amp;lang=en_US&amp;offset=0&amp;query=any,contains,991002907369702656","Catalog Record")</f>
        <v/>
      </c>
      <c r="AT125">
        <f>HYPERLINK("http://www.worldcat.org/oclc/520138","WorldCat Record")</f>
        <v/>
      </c>
      <c r="AU125" t="inlineStr">
        <is>
          <t>910762705:eng</t>
        </is>
      </c>
      <c r="AV125" t="inlineStr">
        <is>
          <t>520138</t>
        </is>
      </c>
      <c r="AW125" t="inlineStr">
        <is>
          <t>991002907369702656</t>
        </is>
      </c>
      <c r="AX125" t="inlineStr">
        <is>
          <t>991002907369702656</t>
        </is>
      </c>
      <c r="AY125" t="inlineStr">
        <is>
          <t>2268022520002656</t>
        </is>
      </c>
      <c r="AZ125" t="inlineStr">
        <is>
          <t>BOOK</t>
        </is>
      </c>
      <c r="BC125" t="inlineStr">
        <is>
          <t>32285000877406</t>
        </is>
      </c>
      <c r="BD125" t="inlineStr">
        <is>
          <t>893867858</t>
        </is>
      </c>
    </row>
    <row r="126">
      <c r="A126" t="inlineStr">
        <is>
          <t>No</t>
        </is>
      </c>
      <c r="B126" t="inlineStr">
        <is>
          <t>NK3049.U5 N43 1976</t>
        </is>
      </c>
      <c r="C126" t="inlineStr">
        <is>
          <t>0                      NK 3049000U  5                  N  43          1976</t>
        </is>
      </c>
      <c r="D126" t="inlineStr">
        <is>
          <t>The unicorn tapestries / Margaret B. Freeman, Curator Emeritus, The Cloisters.</t>
        </is>
      </c>
      <c r="F126" t="inlineStr">
        <is>
          <t>No</t>
        </is>
      </c>
      <c r="G126" t="inlineStr">
        <is>
          <t>1</t>
        </is>
      </c>
      <c r="H126" t="inlineStr">
        <is>
          <t>No</t>
        </is>
      </c>
      <c r="I126" t="inlineStr">
        <is>
          <t>No</t>
        </is>
      </c>
      <c r="J126" t="inlineStr">
        <is>
          <t>0</t>
        </is>
      </c>
      <c r="K126" t="inlineStr">
        <is>
          <t>Cloisters (Museum)</t>
        </is>
      </c>
      <c r="L126" t="inlineStr">
        <is>
          <t>New York : Metropolitan Museum of Art : distributed by Dutton, 1976.</t>
        </is>
      </c>
      <c r="M126" t="inlineStr">
        <is>
          <t>1976</t>
        </is>
      </c>
      <c r="O126" t="inlineStr">
        <is>
          <t>eng</t>
        </is>
      </c>
      <c r="P126" t="inlineStr">
        <is>
          <t>nyu</t>
        </is>
      </c>
      <c r="R126" t="inlineStr">
        <is>
          <t xml:space="preserve">NK </t>
        </is>
      </c>
      <c r="S126" t="n">
        <v>2</v>
      </c>
      <c r="T126" t="n">
        <v>2</v>
      </c>
      <c r="U126" t="inlineStr">
        <is>
          <t>2007-09-11</t>
        </is>
      </c>
      <c r="V126" t="inlineStr">
        <is>
          <t>2007-09-11</t>
        </is>
      </c>
      <c r="W126" t="inlineStr">
        <is>
          <t>1992-04-08</t>
        </is>
      </c>
      <c r="X126" t="inlineStr">
        <is>
          <t>1992-04-08</t>
        </is>
      </c>
      <c r="Y126" t="n">
        <v>924</v>
      </c>
      <c r="Z126" t="n">
        <v>811</v>
      </c>
      <c r="AA126" t="n">
        <v>823</v>
      </c>
      <c r="AB126" t="n">
        <v>4</v>
      </c>
      <c r="AC126" t="n">
        <v>4</v>
      </c>
      <c r="AD126" t="n">
        <v>25</v>
      </c>
      <c r="AE126" t="n">
        <v>25</v>
      </c>
      <c r="AF126" t="n">
        <v>9</v>
      </c>
      <c r="AG126" t="n">
        <v>9</v>
      </c>
      <c r="AH126" t="n">
        <v>6</v>
      </c>
      <c r="AI126" t="n">
        <v>6</v>
      </c>
      <c r="AJ126" t="n">
        <v>14</v>
      </c>
      <c r="AK126" t="n">
        <v>14</v>
      </c>
      <c r="AL126" t="n">
        <v>3</v>
      </c>
      <c r="AM126" t="n">
        <v>3</v>
      </c>
      <c r="AN126" t="n">
        <v>0</v>
      </c>
      <c r="AO126" t="n">
        <v>0</v>
      </c>
      <c r="AP126" t="inlineStr">
        <is>
          <t>No</t>
        </is>
      </c>
      <c r="AQ126" t="inlineStr">
        <is>
          <t>Yes</t>
        </is>
      </c>
      <c r="AR126">
        <f>HYPERLINK("http://catalog.hathitrust.org/Record/000710861","HathiTrust Record")</f>
        <v/>
      </c>
      <c r="AS126">
        <f>HYPERLINK("https://creighton-primo.hosted.exlibrisgroup.com/primo-explore/search?tab=default_tab&amp;search_scope=EVERYTHING&amp;vid=01CRU&amp;lang=en_US&amp;offset=0&amp;query=any,contains,991003982389702656","Catalog Record")</f>
        <v/>
      </c>
      <c r="AT126">
        <f>HYPERLINK("http://www.worldcat.org/oclc/2020670","WorldCat Record")</f>
        <v/>
      </c>
      <c r="AU126" t="inlineStr">
        <is>
          <t>2946016549:eng</t>
        </is>
      </c>
      <c r="AV126" t="inlineStr">
        <is>
          <t>2020670</t>
        </is>
      </c>
      <c r="AW126" t="inlineStr">
        <is>
          <t>991003982389702656</t>
        </is>
      </c>
      <c r="AX126" t="inlineStr">
        <is>
          <t>991003982389702656</t>
        </is>
      </c>
      <c r="AY126" t="inlineStr">
        <is>
          <t>2271447610002656</t>
        </is>
      </c>
      <c r="AZ126" t="inlineStr">
        <is>
          <t>BOOK</t>
        </is>
      </c>
      <c r="BB126" t="inlineStr">
        <is>
          <t>9780870991479</t>
        </is>
      </c>
      <c r="BC126" t="inlineStr">
        <is>
          <t>32285001051787</t>
        </is>
      </c>
      <c r="BD126" t="inlineStr">
        <is>
          <t>893718310</t>
        </is>
      </c>
    </row>
    <row r="127">
      <c r="A127" t="inlineStr">
        <is>
          <t>No</t>
        </is>
      </c>
      <c r="B127" t="inlineStr">
        <is>
          <t>NK3055.A3 R82 1982</t>
        </is>
      </c>
      <c r="C127" t="inlineStr">
        <is>
          <t>0                      NK 3055000A  3                  R  82          1982</t>
        </is>
      </c>
      <c r="D127" t="inlineStr">
        <is>
          <t>The Triumph of the Eucharist : tapestries designed by Rubens / by Charles Scribner, III.</t>
        </is>
      </c>
      <c r="F127" t="inlineStr">
        <is>
          <t>No</t>
        </is>
      </c>
      <c r="G127" t="inlineStr">
        <is>
          <t>1</t>
        </is>
      </c>
      <c r="H127" t="inlineStr">
        <is>
          <t>No</t>
        </is>
      </c>
      <c r="I127" t="inlineStr">
        <is>
          <t>No</t>
        </is>
      </c>
      <c r="J127" t="inlineStr">
        <is>
          <t>0</t>
        </is>
      </c>
      <c r="K127" t="inlineStr">
        <is>
          <t>Scribner, Charles, 1951-</t>
        </is>
      </c>
      <c r="L127" t="inlineStr">
        <is>
          <t>Ann Arbor, Mich. : UMI Research Press, c1982.</t>
        </is>
      </c>
      <c r="M127" t="inlineStr">
        <is>
          <t>1982</t>
        </is>
      </c>
      <c r="O127" t="inlineStr">
        <is>
          <t>eng</t>
        </is>
      </c>
      <c r="P127" t="inlineStr">
        <is>
          <t>miu</t>
        </is>
      </c>
      <c r="Q127" t="inlineStr">
        <is>
          <t>Studies in baroque art history ; no. 1</t>
        </is>
      </c>
      <c r="R127" t="inlineStr">
        <is>
          <t xml:space="preserve">NK </t>
        </is>
      </c>
      <c r="S127" t="n">
        <v>1</v>
      </c>
      <c r="T127" t="n">
        <v>1</v>
      </c>
      <c r="U127" t="inlineStr">
        <is>
          <t>2004-11-05</t>
        </is>
      </c>
      <c r="V127" t="inlineStr">
        <is>
          <t>2004-11-05</t>
        </is>
      </c>
      <c r="W127" t="inlineStr">
        <is>
          <t>1993-06-01</t>
        </is>
      </c>
      <c r="X127" t="inlineStr">
        <is>
          <t>1993-06-01</t>
        </is>
      </c>
      <c r="Y127" t="n">
        <v>251</v>
      </c>
      <c r="Z127" t="n">
        <v>181</v>
      </c>
      <c r="AA127" t="n">
        <v>185</v>
      </c>
      <c r="AB127" t="n">
        <v>2</v>
      </c>
      <c r="AC127" t="n">
        <v>2</v>
      </c>
      <c r="AD127" t="n">
        <v>8</v>
      </c>
      <c r="AE127" t="n">
        <v>8</v>
      </c>
      <c r="AF127" t="n">
        <v>3</v>
      </c>
      <c r="AG127" t="n">
        <v>3</v>
      </c>
      <c r="AH127" t="n">
        <v>2</v>
      </c>
      <c r="AI127" t="n">
        <v>2</v>
      </c>
      <c r="AJ127" t="n">
        <v>4</v>
      </c>
      <c r="AK127" t="n">
        <v>4</v>
      </c>
      <c r="AL127" t="n">
        <v>1</v>
      </c>
      <c r="AM127" t="n">
        <v>1</v>
      </c>
      <c r="AN127" t="n">
        <v>0</v>
      </c>
      <c r="AO127" t="n">
        <v>0</v>
      </c>
      <c r="AP127" t="inlineStr">
        <is>
          <t>No</t>
        </is>
      </c>
      <c r="AQ127" t="inlineStr">
        <is>
          <t>Yes</t>
        </is>
      </c>
      <c r="AR127">
        <f>HYPERLINK("http://catalog.hathitrust.org/Record/000267198","HathiTrust Record")</f>
        <v/>
      </c>
      <c r="AS127">
        <f>HYPERLINK("https://creighton-primo.hosted.exlibrisgroup.com/primo-explore/search?tab=default_tab&amp;search_scope=EVERYTHING&amp;vid=01CRU&amp;lang=en_US&amp;offset=0&amp;query=any,contains,991005197379702656","Catalog Record")</f>
        <v/>
      </c>
      <c r="AT127">
        <f>HYPERLINK("http://www.worldcat.org/oclc/8051734","WorldCat Record")</f>
        <v/>
      </c>
      <c r="AU127" t="inlineStr">
        <is>
          <t>815093041:eng</t>
        </is>
      </c>
      <c r="AV127" t="inlineStr">
        <is>
          <t>8051734</t>
        </is>
      </c>
      <c r="AW127" t="inlineStr">
        <is>
          <t>991005197379702656</t>
        </is>
      </c>
      <c r="AX127" t="inlineStr">
        <is>
          <t>991005197379702656</t>
        </is>
      </c>
      <c r="AY127" t="inlineStr">
        <is>
          <t>2258855510002656</t>
        </is>
      </c>
      <c r="AZ127" t="inlineStr">
        <is>
          <t>BOOK</t>
        </is>
      </c>
      <c r="BB127" t="inlineStr">
        <is>
          <t>9780835712880</t>
        </is>
      </c>
      <c r="BC127" t="inlineStr">
        <is>
          <t>32285001716041</t>
        </is>
      </c>
      <c r="BD127" t="inlineStr">
        <is>
          <t>893877106</t>
        </is>
      </c>
    </row>
    <row r="128">
      <c r="A128" t="inlineStr">
        <is>
          <t>No</t>
        </is>
      </c>
      <c r="B128" t="inlineStr">
        <is>
          <t>NK3600 .H28 1995</t>
        </is>
      </c>
      <c r="C128" t="inlineStr">
        <is>
          <t>0                      NK 3600000H  28          1995</t>
        </is>
      </c>
      <c r="D128" t="inlineStr">
        <is>
          <t>The art of calligraphy / David Harris.</t>
        </is>
      </c>
      <c r="F128" t="inlineStr">
        <is>
          <t>No</t>
        </is>
      </c>
      <c r="G128" t="inlineStr">
        <is>
          <t>1</t>
        </is>
      </c>
      <c r="H128" t="inlineStr">
        <is>
          <t>No</t>
        </is>
      </c>
      <c r="I128" t="inlineStr">
        <is>
          <t>No</t>
        </is>
      </c>
      <c r="J128" t="inlineStr">
        <is>
          <t>0</t>
        </is>
      </c>
      <c r="K128" t="inlineStr">
        <is>
          <t>Harris, David, 1929 December 8-</t>
        </is>
      </c>
      <c r="L128" t="inlineStr">
        <is>
          <t>London ; New York : Dorling Kindersley, 1995.</t>
        </is>
      </c>
      <c r="M128" t="inlineStr">
        <is>
          <t>1995</t>
        </is>
      </c>
      <c r="N128" t="inlineStr">
        <is>
          <t>1st American ed.</t>
        </is>
      </c>
      <c r="O128" t="inlineStr">
        <is>
          <t>eng</t>
        </is>
      </c>
      <c r="P128" t="inlineStr">
        <is>
          <t>enk</t>
        </is>
      </c>
      <c r="R128" t="inlineStr">
        <is>
          <t xml:space="preserve">NK </t>
        </is>
      </c>
      <c r="S128" t="n">
        <v>12</v>
      </c>
      <c r="T128" t="n">
        <v>12</v>
      </c>
      <c r="U128" t="inlineStr">
        <is>
          <t>2009-05-27</t>
        </is>
      </c>
      <c r="V128" t="inlineStr">
        <is>
          <t>2009-05-27</t>
        </is>
      </c>
      <c r="W128" t="inlineStr">
        <is>
          <t>1995-11-06</t>
        </is>
      </c>
      <c r="X128" t="inlineStr">
        <is>
          <t>1995-11-06</t>
        </is>
      </c>
      <c r="Y128" t="n">
        <v>1044</v>
      </c>
      <c r="Z128" t="n">
        <v>935</v>
      </c>
      <c r="AA128" t="n">
        <v>987</v>
      </c>
      <c r="AB128" t="n">
        <v>7</v>
      </c>
      <c r="AC128" t="n">
        <v>7</v>
      </c>
      <c r="AD128" t="n">
        <v>7</v>
      </c>
      <c r="AE128" t="n">
        <v>8</v>
      </c>
      <c r="AF128" t="n">
        <v>2</v>
      </c>
      <c r="AG128" t="n">
        <v>2</v>
      </c>
      <c r="AH128" t="n">
        <v>3</v>
      </c>
      <c r="AI128" t="n">
        <v>3</v>
      </c>
      <c r="AJ128" t="n">
        <v>3</v>
      </c>
      <c r="AK128" t="n">
        <v>4</v>
      </c>
      <c r="AL128" t="n">
        <v>0</v>
      </c>
      <c r="AM128" t="n">
        <v>0</v>
      </c>
      <c r="AN128" t="n">
        <v>0</v>
      </c>
      <c r="AO128" t="n">
        <v>0</v>
      </c>
      <c r="AP128" t="inlineStr">
        <is>
          <t>No</t>
        </is>
      </c>
      <c r="AQ128" t="inlineStr">
        <is>
          <t>Yes</t>
        </is>
      </c>
      <c r="AR128">
        <f>HYPERLINK("http://catalog.hathitrust.org/Record/101968950","HathiTrust Record")</f>
        <v/>
      </c>
      <c r="AS128">
        <f>HYPERLINK("https://creighton-primo.hosted.exlibrisgroup.com/primo-explore/search?tab=default_tab&amp;search_scope=EVERYTHING&amp;vid=01CRU&amp;lang=en_US&amp;offset=0&amp;query=any,contains,991002367299702656","Catalog Record")</f>
        <v/>
      </c>
      <c r="AT128">
        <f>HYPERLINK("http://www.worldcat.org/oclc/30777771","WorldCat Record")</f>
        <v/>
      </c>
      <c r="AU128" t="inlineStr">
        <is>
          <t>475246168:eng</t>
        </is>
      </c>
      <c r="AV128" t="inlineStr">
        <is>
          <t>30777771</t>
        </is>
      </c>
      <c r="AW128" t="inlineStr">
        <is>
          <t>991002367299702656</t>
        </is>
      </c>
      <c r="AX128" t="inlineStr">
        <is>
          <t>991002367299702656</t>
        </is>
      </c>
      <c r="AY128" t="inlineStr">
        <is>
          <t>2272489150002656</t>
        </is>
      </c>
      <c r="AZ128" t="inlineStr">
        <is>
          <t>BOOK</t>
        </is>
      </c>
      <c r="BB128" t="inlineStr">
        <is>
          <t>9780751301496</t>
        </is>
      </c>
      <c r="BC128" t="inlineStr">
        <is>
          <t>32285002101011</t>
        </is>
      </c>
      <c r="BD128" t="inlineStr">
        <is>
          <t>893409022</t>
        </is>
      </c>
    </row>
    <row r="129">
      <c r="A129" t="inlineStr">
        <is>
          <t>No</t>
        </is>
      </c>
      <c r="B129" t="inlineStr">
        <is>
          <t>NK3600 .H84 1995</t>
        </is>
      </c>
      <c r="C129" t="inlineStr">
        <is>
          <t>0                      NK 3600000H  84          1995</t>
        </is>
      </c>
      <c r="D129" t="inlineStr">
        <is>
          <t>Calligraphy project book : a complete step-by-step guide / Susan Hufton.</t>
        </is>
      </c>
      <c r="F129" t="inlineStr">
        <is>
          <t>No</t>
        </is>
      </c>
      <c r="G129" t="inlineStr">
        <is>
          <t>1</t>
        </is>
      </c>
      <c r="H129" t="inlineStr">
        <is>
          <t>No</t>
        </is>
      </c>
      <c r="I129" t="inlineStr">
        <is>
          <t>No</t>
        </is>
      </c>
      <c r="J129" t="inlineStr">
        <is>
          <t>0</t>
        </is>
      </c>
      <c r="K129" t="inlineStr">
        <is>
          <t>Hufton, Susan.</t>
        </is>
      </c>
      <c r="L129" t="inlineStr">
        <is>
          <t>New York : Sterling Pub. Co. , 1995.</t>
        </is>
      </c>
      <c r="M129" t="inlineStr">
        <is>
          <t>1995</t>
        </is>
      </c>
      <c r="O129" t="inlineStr">
        <is>
          <t>eng</t>
        </is>
      </c>
      <c r="P129" t="inlineStr">
        <is>
          <t>nyu</t>
        </is>
      </c>
      <c r="R129" t="inlineStr">
        <is>
          <t xml:space="preserve">NK </t>
        </is>
      </c>
      <c r="S129" t="n">
        <v>9</v>
      </c>
      <c r="T129" t="n">
        <v>9</v>
      </c>
      <c r="U129" t="inlineStr">
        <is>
          <t>2009-05-27</t>
        </is>
      </c>
      <c r="V129" t="inlineStr">
        <is>
          <t>2009-05-27</t>
        </is>
      </c>
      <c r="W129" t="inlineStr">
        <is>
          <t>1995-11-06</t>
        </is>
      </c>
      <c r="X129" t="inlineStr">
        <is>
          <t>1995-11-06</t>
        </is>
      </c>
      <c r="Y129" t="n">
        <v>343</v>
      </c>
      <c r="Z129" t="n">
        <v>333</v>
      </c>
      <c r="AA129" t="n">
        <v>333</v>
      </c>
      <c r="AB129" t="n">
        <v>2</v>
      </c>
      <c r="AC129" t="n">
        <v>2</v>
      </c>
      <c r="AD129" t="n">
        <v>1</v>
      </c>
      <c r="AE129" t="n">
        <v>1</v>
      </c>
      <c r="AF129" t="n">
        <v>0</v>
      </c>
      <c r="AG129" t="n">
        <v>0</v>
      </c>
      <c r="AH129" t="n">
        <v>1</v>
      </c>
      <c r="AI129" t="n">
        <v>1</v>
      </c>
      <c r="AJ129" t="n">
        <v>0</v>
      </c>
      <c r="AK129" t="n">
        <v>0</v>
      </c>
      <c r="AL129" t="n">
        <v>0</v>
      </c>
      <c r="AM129" t="n">
        <v>0</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HYPERLINK("https://creighton-primo.hosted.exlibrisgroup.com/primo-explore/search?tab=default_tab&amp;search_scope=EVERYTHING&amp;vid=01CRU&amp;lang=en_US&amp;offset=0&amp;query=any,contains,991002535069702656","Catalog Record")</f>
        <v/>
      </c>
      <c r="AT129">
        <f>HYPERLINK("http://www.worldcat.org/oclc/32942890","WorldCat Record")</f>
        <v/>
      </c>
      <c r="AU129" t="inlineStr">
        <is>
          <t>2909593774:eng</t>
        </is>
      </c>
      <c r="AV129" t="inlineStr">
        <is>
          <t>32942890</t>
        </is>
      </c>
      <c r="AW129" t="inlineStr">
        <is>
          <t>991002535069702656</t>
        </is>
      </c>
      <c r="AX129" t="inlineStr">
        <is>
          <t>991002535069702656</t>
        </is>
      </c>
      <c r="AY129" t="inlineStr">
        <is>
          <t>2256979590002656</t>
        </is>
      </c>
      <c r="AZ129" t="inlineStr">
        <is>
          <t>BOOK</t>
        </is>
      </c>
      <c r="BB129" t="inlineStr">
        <is>
          <t>9780806939865</t>
        </is>
      </c>
      <c r="BC129" t="inlineStr">
        <is>
          <t>32285002101326</t>
        </is>
      </c>
      <c r="BD129" t="inlineStr">
        <is>
          <t>893786264</t>
        </is>
      </c>
    </row>
    <row r="130">
      <c r="A130" t="inlineStr">
        <is>
          <t>No</t>
        </is>
      </c>
      <c r="B130" t="inlineStr">
        <is>
          <t>NK3600 .N39</t>
        </is>
      </c>
      <c r="C130" t="inlineStr">
        <is>
          <t>0                      NK 3600000N  39</t>
        </is>
      </c>
      <c r="D130" t="inlineStr">
        <is>
          <t>Decorative alphabets and initials.</t>
        </is>
      </c>
      <c r="F130" t="inlineStr">
        <is>
          <t>No</t>
        </is>
      </c>
      <c r="G130" t="inlineStr">
        <is>
          <t>1</t>
        </is>
      </c>
      <c r="H130" t="inlineStr">
        <is>
          <t>No</t>
        </is>
      </c>
      <c r="I130" t="inlineStr">
        <is>
          <t>No</t>
        </is>
      </c>
      <c r="J130" t="inlineStr">
        <is>
          <t>0</t>
        </is>
      </c>
      <c r="K130" t="inlineStr">
        <is>
          <t>Nesbitt, Alexander, 1901-1995, editor.</t>
        </is>
      </c>
      <c r="L130" t="inlineStr">
        <is>
          <t>New York : Dover Publications, [1959]</t>
        </is>
      </c>
      <c r="M130" t="inlineStr">
        <is>
          <t>1959</t>
        </is>
      </c>
      <c r="O130" t="inlineStr">
        <is>
          <t>eng</t>
        </is>
      </c>
      <c r="P130" t="inlineStr">
        <is>
          <t>nyu</t>
        </is>
      </c>
      <c r="R130" t="inlineStr">
        <is>
          <t xml:space="preserve">NK </t>
        </is>
      </c>
      <c r="S130" t="n">
        <v>2</v>
      </c>
      <c r="T130" t="n">
        <v>2</v>
      </c>
      <c r="U130" t="inlineStr">
        <is>
          <t>2006-03-01</t>
        </is>
      </c>
      <c r="V130" t="inlineStr">
        <is>
          <t>2006-03-01</t>
        </is>
      </c>
      <c r="W130" t="inlineStr">
        <is>
          <t>1994-03-23</t>
        </is>
      </c>
      <c r="X130" t="inlineStr">
        <is>
          <t>1994-03-23</t>
        </is>
      </c>
      <c r="Y130" t="n">
        <v>621</v>
      </c>
      <c r="Z130" t="n">
        <v>515</v>
      </c>
      <c r="AA130" t="n">
        <v>589</v>
      </c>
      <c r="AB130" t="n">
        <v>4</v>
      </c>
      <c r="AC130" t="n">
        <v>4</v>
      </c>
      <c r="AD130" t="n">
        <v>13</v>
      </c>
      <c r="AE130" t="n">
        <v>14</v>
      </c>
      <c r="AF130" t="n">
        <v>3</v>
      </c>
      <c r="AG130" t="n">
        <v>4</v>
      </c>
      <c r="AH130" t="n">
        <v>4</v>
      </c>
      <c r="AI130" t="n">
        <v>4</v>
      </c>
      <c r="AJ130" t="n">
        <v>5</v>
      </c>
      <c r="AK130" t="n">
        <v>6</v>
      </c>
      <c r="AL130" t="n">
        <v>2</v>
      </c>
      <c r="AM130" t="n">
        <v>2</v>
      </c>
      <c r="AN130" t="n">
        <v>0</v>
      </c>
      <c r="AO130" t="n">
        <v>0</v>
      </c>
      <c r="AP130" t="inlineStr">
        <is>
          <t>No</t>
        </is>
      </c>
      <c r="AQ130" t="inlineStr">
        <is>
          <t>Yes</t>
        </is>
      </c>
      <c r="AR130">
        <f>HYPERLINK("http://catalog.hathitrust.org/Record/001471328","HathiTrust Record")</f>
        <v/>
      </c>
      <c r="AS130">
        <f>HYPERLINK("https://creighton-primo.hosted.exlibrisgroup.com/primo-explore/search?tab=default_tab&amp;search_scope=EVERYTHING&amp;vid=01CRU&amp;lang=en_US&amp;offset=0&amp;query=any,contains,991003513079702656","Catalog Record")</f>
        <v/>
      </c>
      <c r="AT130">
        <f>HYPERLINK("http://www.worldcat.org/oclc/1068724","WorldCat Record")</f>
        <v/>
      </c>
      <c r="AU130" t="inlineStr">
        <is>
          <t>491484:eng</t>
        </is>
      </c>
      <c r="AV130" t="inlineStr">
        <is>
          <t>1068724</t>
        </is>
      </c>
      <c r="AW130" t="inlineStr">
        <is>
          <t>991003513079702656</t>
        </is>
      </c>
      <c r="AX130" t="inlineStr">
        <is>
          <t>991003513079702656</t>
        </is>
      </c>
      <c r="AY130" t="inlineStr">
        <is>
          <t>2270442250002656</t>
        </is>
      </c>
      <c r="AZ130" t="inlineStr">
        <is>
          <t>BOOK</t>
        </is>
      </c>
      <c r="BC130" t="inlineStr">
        <is>
          <t>32285001871358</t>
        </is>
      </c>
      <c r="BD130" t="inlineStr">
        <is>
          <t>893717739</t>
        </is>
      </c>
    </row>
    <row r="131">
      <c r="A131" t="inlineStr">
        <is>
          <t>No</t>
        </is>
      </c>
      <c r="B131" t="inlineStr">
        <is>
          <t>NK3600 .N63 2001</t>
        </is>
      </c>
      <c r="C131" t="inlineStr">
        <is>
          <t>0                      NK 3600000N  63          2001</t>
        </is>
      </c>
      <c r="D131" t="inlineStr">
        <is>
          <t>The illuminated alphabet : creating decorative calligraphy / calligraphy by Timothy Noad ; text by Patricia Seligman.</t>
        </is>
      </c>
      <c r="F131" t="inlineStr">
        <is>
          <t>No</t>
        </is>
      </c>
      <c r="G131" t="inlineStr">
        <is>
          <t>1</t>
        </is>
      </c>
      <c r="H131" t="inlineStr">
        <is>
          <t>No</t>
        </is>
      </c>
      <c r="I131" t="inlineStr">
        <is>
          <t>No</t>
        </is>
      </c>
      <c r="J131" t="inlineStr">
        <is>
          <t>0</t>
        </is>
      </c>
      <c r="K131" t="inlineStr">
        <is>
          <t>Noad, Timothy.</t>
        </is>
      </c>
      <c r="L131" t="inlineStr">
        <is>
          <t>New York : Sterling Publishing, c2001.</t>
        </is>
      </c>
      <c r="M131" t="inlineStr">
        <is>
          <t>2001</t>
        </is>
      </c>
      <c r="O131" t="inlineStr">
        <is>
          <t>eng</t>
        </is>
      </c>
      <c r="P131" t="inlineStr">
        <is>
          <t>nyu</t>
        </is>
      </c>
      <c r="R131" t="inlineStr">
        <is>
          <t xml:space="preserve">NK </t>
        </is>
      </c>
      <c r="S131" t="n">
        <v>4</v>
      </c>
      <c r="T131" t="n">
        <v>4</v>
      </c>
      <c r="U131" t="inlineStr">
        <is>
          <t>2009-05-27</t>
        </is>
      </c>
      <c r="V131" t="inlineStr">
        <is>
          <t>2009-05-27</t>
        </is>
      </c>
      <c r="W131" t="inlineStr">
        <is>
          <t>2002-04-18</t>
        </is>
      </c>
      <c r="X131" t="inlineStr">
        <is>
          <t>2002-04-18</t>
        </is>
      </c>
      <c r="Y131" t="n">
        <v>89</v>
      </c>
      <c r="Z131" t="n">
        <v>82</v>
      </c>
      <c r="AA131" t="n">
        <v>166</v>
      </c>
      <c r="AB131" t="n">
        <v>2</v>
      </c>
      <c r="AC131" t="n">
        <v>3</v>
      </c>
      <c r="AD131" t="n">
        <v>0</v>
      </c>
      <c r="AE131" t="n">
        <v>1</v>
      </c>
      <c r="AF131" t="n">
        <v>0</v>
      </c>
      <c r="AG131" t="n">
        <v>1</v>
      </c>
      <c r="AH131" t="n">
        <v>0</v>
      </c>
      <c r="AI131" t="n">
        <v>0</v>
      </c>
      <c r="AJ131" t="n">
        <v>0</v>
      </c>
      <c r="AK131" t="n">
        <v>0</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HYPERLINK("https://creighton-primo.hosted.exlibrisgroup.com/primo-explore/search?tab=default_tab&amp;search_scope=EVERYTHING&amp;vid=01CRU&amp;lang=en_US&amp;offset=0&amp;query=any,contains,991003794729702656","Catalog Record")</f>
        <v/>
      </c>
      <c r="AT131">
        <f>HYPERLINK("http://www.worldcat.org/oclc/48547184","WorldCat Record")</f>
        <v/>
      </c>
      <c r="AU131" t="inlineStr">
        <is>
          <t>20475117:eng</t>
        </is>
      </c>
      <c r="AV131" t="inlineStr">
        <is>
          <t>48547184</t>
        </is>
      </c>
      <c r="AW131" t="inlineStr">
        <is>
          <t>991003794729702656</t>
        </is>
      </c>
      <c r="AX131" t="inlineStr">
        <is>
          <t>991003794729702656</t>
        </is>
      </c>
      <c r="AY131" t="inlineStr">
        <is>
          <t>2269990660002656</t>
        </is>
      </c>
      <c r="AZ131" t="inlineStr">
        <is>
          <t>BOOK</t>
        </is>
      </c>
      <c r="BB131" t="inlineStr">
        <is>
          <t>9780806990743</t>
        </is>
      </c>
      <c r="BC131" t="inlineStr">
        <is>
          <t>32285004481452</t>
        </is>
      </c>
      <c r="BD131" t="inlineStr">
        <is>
          <t>893429235</t>
        </is>
      </c>
    </row>
    <row r="132">
      <c r="A132" t="inlineStr">
        <is>
          <t>No</t>
        </is>
      </c>
      <c r="B132" t="inlineStr">
        <is>
          <t>NK3633.A2 S3</t>
        </is>
      </c>
      <c r="C132" t="inlineStr">
        <is>
          <t>0                      NK 3633000A  2                  S  3</t>
        </is>
      </c>
      <c r="D132" t="inlineStr">
        <is>
          <t>Islamic calligraphy. [Institute of Religious Iconography, State University Groningen]</t>
        </is>
      </c>
      <c r="F132" t="inlineStr">
        <is>
          <t>No</t>
        </is>
      </c>
      <c r="G132" t="inlineStr">
        <is>
          <t>1</t>
        </is>
      </c>
      <c r="H132" t="inlineStr">
        <is>
          <t>No</t>
        </is>
      </c>
      <c r="I132" t="inlineStr">
        <is>
          <t>No</t>
        </is>
      </c>
      <c r="J132" t="inlineStr">
        <is>
          <t>0</t>
        </is>
      </c>
      <c r="K132" t="inlineStr">
        <is>
          <t>Schimmel, Annemarie, 1922-2003.</t>
        </is>
      </c>
      <c r="L132" t="inlineStr">
        <is>
          <t>Leiden, Brill, 1970.</t>
        </is>
      </c>
      <c r="M132" t="inlineStr">
        <is>
          <t>1970</t>
        </is>
      </c>
      <c r="O132" t="inlineStr">
        <is>
          <t>eng</t>
        </is>
      </c>
      <c r="P132" t="inlineStr">
        <is>
          <t xml:space="preserve">ne </t>
        </is>
      </c>
      <c r="Q132" t="inlineStr">
        <is>
          <t>Iconography of religions ; Section 22: Islam. Fasc. 1</t>
        </is>
      </c>
      <c r="R132" t="inlineStr">
        <is>
          <t xml:space="preserve">NK </t>
        </is>
      </c>
      <c r="S132" t="n">
        <v>2</v>
      </c>
      <c r="T132" t="n">
        <v>2</v>
      </c>
      <c r="U132" t="inlineStr">
        <is>
          <t>2000-05-12</t>
        </is>
      </c>
      <c r="V132" t="inlineStr">
        <is>
          <t>2000-05-12</t>
        </is>
      </c>
      <c r="W132" t="inlineStr">
        <is>
          <t>1997-08-07</t>
        </is>
      </c>
      <c r="X132" t="inlineStr">
        <is>
          <t>1997-08-07</t>
        </is>
      </c>
      <c r="Y132" t="n">
        <v>299</v>
      </c>
      <c r="Z132" t="n">
        <v>243</v>
      </c>
      <c r="AA132" t="n">
        <v>253</v>
      </c>
      <c r="AB132" t="n">
        <v>2</v>
      </c>
      <c r="AC132" t="n">
        <v>2</v>
      </c>
      <c r="AD132" t="n">
        <v>14</v>
      </c>
      <c r="AE132" t="n">
        <v>14</v>
      </c>
      <c r="AF132" t="n">
        <v>1</v>
      </c>
      <c r="AG132" t="n">
        <v>1</v>
      </c>
      <c r="AH132" t="n">
        <v>4</v>
      </c>
      <c r="AI132" t="n">
        <v>4</v>
      </c>
      <c r="AJ132" t="n">
        <v>11</v>
      </c>
      <c r="AK132" t="n">
        <v>11</v>
      </c>
      <c r="AL132" t="n">
        <v>1</v>
      </c>
      <c r="AM132" t="n">
        <v>1</v>
      </c>
      <c r="AN132" t="n">
        <v>0</v>
      </c>
      <c r="AO132" t="n">
        <v>0</v>
      </c>
      <c r="AP132" t="inlineStr">
        <is>
          <t>No</t>
        </is>
      </c>
      <c r="AQ132" t="inlineStr">
        <is>
          <t>Yes</t>
        </is>
      </c>
      <c r="AR132">
        <f>HYPERLINK("http://catalog.hathitrust.org/Record/001654481","HathiTrust Record")</f>
        <v/>
      </c>
      <c r="AS132">
        <f>HYPERLINK("https://creighton-primo.hosted.exlibrisgroup.com/primo-explore/search?tab=default_tab&amp;search_scope=EVERYTHING&amp;vid=01CRU&amp;lang=en_US&amp;offset=0&amp;query=any,contains,991000913659702656","Catalog Record")</f>
        <v/>
      </c>
      <c r="AT132">
        <f>HYPERLINK("http://www.worldcat.org/oclc/160140","WorldCat Record")</f>
        <v/>
      </c>
      <c r="AU132" t="inlineStr">
        <is>
          <t>15799613:eng</t>
        </is>
      </c>
      <c r="AV132" t="inlineStr">
        <is>
          <t>160140</t>
        </is>
      </c>
      <c r="AW132" t="inlineStr">
        <is>
          <t>991000913659702656</t>
        </is>
      </c>
      <c r="AX132" t="inlineStr">
        <is>
          <t>991000913659702656</t>
        </is>
      </c>
      <c r="AY132" t="inlineStr">
        <is>
          <t>2267356970002656</t>
        </is>
      </c>
      <c r="AZ132" t="inlineStr">
        <is>
          <t>BOOK</t>
        </is>
      </c>
      <c r="BC132" t="inlineStr">
        <is>
          <t>32285003047403</t>
        </is>
      </c>
      <c r="BD132" t="inlineStr">
        <is>
          <t>893407653</t>
        </is>
      </c>
    </row>
    <row r="133">
      <c r="A133" t="inlineStr">
        <is>
          <t>No</t>
        </is>
      </c>
      <c r="B133" t="inlineStr">
        <is>
          <t>NK3634.A2 C44 1990</t>
        </is>
      </c>
      <c r="C133" t="inlineStr">
        <is>
          <t>0                      NK 3634000A  2                  C  44          1990</t>
        </is>
      </c>
      <c r="D133" t="inlineStr">
        <is>
          <t>Four thousand years of Chinese calligraphy / Léon Long-yien Chang and Peter Miller.</t>
        </is>
      </c>
      <c r="F133" t="inlineStr">
        <is>
          <t>No</t>
        </is>
      </c>
      <c r="G133" t="inlineStr">
        <is>
          <t>1</t>
        </is>
      </c>
      <c r="H133" t="inlineStr">
        <is>
          <t>No</t>
        </is>
      </c>
      <c r="I133" t="inlineStr">
        <is>
          <t>No</t>
        </is>
      </c>
      <c r="J133" t="inlineStr">
        <is>
          <t>0</t>
        </is>
      </c>
      <c r="K133" t="inlineStr">
        <is>
          <t>Chang, Léon Long-yien.</t>
        </is>
      </c>
      <c r="L133" t="inlineStr">
        <is>
          <t>Chicago : University of Chicago Press, c1990.</t>
        </is>
      </c>
      <c r="M133" t="inlineStr">
        <is>
          <t>1990</t>
        </is>
      </c>
      <c r="O133" t="inlineStr">
        <is>
          <t>eng</t>
        </is>
      </c>
      <c r="P133" t="inlineStr">
        <is>
          <t>ilu</t>
        </is>
      </c>
      <c r="R133" t="inlineStr">
        <is>
          <t xml:space="preserve">NK </t>
        </is>
      </c>
      <c r="S133" t="n">
        <v>7</v>
      </c>
      <c r="T133" t="n">
        <v>7</v>
      </c>
      <c r="U133" t="inlineStr">
        <is>
          <t>2010-09-16</t>
        </is>
      </c>
      <c r="V133" t="inlineStr">
        <is>
          <t>2010-09-16</t>
        </is>
      </c>
      <c r="W133" t="inlineStr">
        <is>
          <t>1990-11-02</t>
        </is>
      </c>
      <c r="X133" t="inlineStr">
        <is>
          <t>1990-11-02</t>
        </is>
      </c>
      <c r="Y133" t="n">
        <v>328</v>
      </c>
      <c r="Z133" t="n">
        <v>270</v>
      </c>
      <c r="AA133" t="n">
        <v>280</v>
      </c>
      <c r="AB133" t="n">
        <v>2</v>
      </c>
      <c r="AC133" t="n">
        <v>2</v>
      </c>
      <c r="AD133" t="n">
        <v>10</v>
      </c>
      <c r="AE133" t="n">
        <v>10</v>
      </c>
      <c r="AF133" t="n">
        <v>3</v>
      </c>
      <c r="AG133" t="n">
        <v>3</v>
      </c>
      <c r="AH133" t="n">
        <v>2</v>
      </c>
      <c r="AI133" t="n">
        <v>2</v>
      </c>
      <c r="AJ133" t="n">
        <v>5</v>
      </c>
      <c r="AK133" t="n">
        <v>5</v>
      </c>
      <c r="AL133" t="n">
        <v>1</v>
      </c>
      <c r="AM133" t="n">
        <v>1</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HYPERLINK("https://creighton-primo.hosted.exlibrisgroup.com/primo-explore/search?tab=default_tab&amp;search_scope=EVERYTHING&amp;vid=01CRU&amp;lang=en_US&amp;offset=0&amp;query=any,contains,991001472889702656","Catalog Record")</f>
        <v/>
      </c>
      <c r="AT133">
        <f>HYPERLINK("http://www.worldcat.org/oclc/19554469","WorldCat Record")</f>
        <v/>
      </c>
      <c r="AU133" t="inlineStr">
        <is>
          <t>21164003:eng</t>
        </is>
      </c>
      <c r="AV133" t="inlineStr">
        <is>
          <t>19554469</t>
        </is>
      </c>
      <c r="AW133" t="inlineStr">
        <is>
          <t>991001472889702656</t>
        </is>
      </c>
      <c r="AX133" t="inlineStr">
        <is>
          <t>991001472889702656</t>
        </is>
      </c>
      <c r="AY133" t="inlineStr">
        <is>
          <t>2271035910002656</t>
        </is>
      </c>
      <c r="AZ133" t="inlineStr">
        <is>
          <t>BOOK</t>
        </is>
      </c>
      <c r="BB133" t="inlineStr">
        <is>
          <t>9780226101118</t>
        </is>
      </c>
      <c r="BC133" t="inlineStr">
        <is>
          <t>32285000312651</t>
        </is>
      </c>
      <c r="BD133" t="inlineStr">
        <is>
          <t>893516217</t>
        </is>
      </c>
    </row>
    <row r="134">
      <c r="A134" t="inlineStr">
        <is>
          <t>No</t>
        </is>
      </c>
      <c r="B134" t="inlineStr">
        <is>
          <t>NK3780 .C7</t>
        </is>
      </c>
      <c r="C134" t="inlineStr">
        <is>
          <t>0                      NK 3780000C  7</t>
        </is>
      </c>
      <c r="D134" t="inlineStr">
        <is>
          <t>The book of pottery and porcelain / by Warren E. Cox. 3000 illustrations. Pictures selected by the author. Layouts by A. M. Lounsbery.</t>
        </is>
      </c>
      <c r="E134" t="inlineStr">
        <is>
          <t>V.2</t>
        </is>
      </c>
      <c r="F134" t="inlineStr">
        <is>
          <t>Yes</t>
        </is>
      </c>
      <c r="G134" t="inlineStr">
        <is>
          <t>1</t>
        </is>
      </c>
      <c r="H134" t="inlineStr">
        <is>
          <t>No</t>
        </is>
      </c>
      <c r="I134" t="inlineStr">
        <is>
          <t>No</t>
        </is>
      </c>
      <c r="J134" t="inlineStr">
        <is>
          <t>0</t>
        </is>
      </c>
      <c r="K134" t="inlineStr">
        <is>
          <t>Cox, Warren E. (Warren Earle), 1895-1977.</t>
        </is>
      </c>
      <c r="L134" t="inlineStr">
        <is>
          <t>New York, L. Lee and Shepard co., inc.; distributed by Crown publishers [1944]</t>
        </is>
      </c>
      <c r="M134" t="inlineStr">
        <is>
          <t>1944</t>
        </is>
      </c>
      <c r="O134" t="inlineStr">
        <is>
          <t>eng</t>
        </is>
      </c>
      <c r="P134" t="inlineStr">
        <is>
          <t>nyu</t>
        </is>
      </c>
      <c r="R134" t="inlineStr">
        <is>
          <t xml:space="preserve">NK </t>
        </is>
      </c>
      <c r="S134" t="n">
        <v>2</v>
      </c>
      <c r="T134" t="n">
        <v>2</v>
      </c>
      <c r="U134" t="inlineStr">
        <is>
          <t>2004-09-27</t>
        </is>
      </c>
      <c r="V134" t="inlineStr">
        <is>
          <t>2004-09-27</t>
        </is>
      </c>
      <c r="W134" t="inlineStr">
        <is>
          <t>1997-08-08</t>
        </is>
      </c>
      <c r="X134" t="inlineStr">
        <is>
          <t>1997-08-08</t>
        </is>
      </c>
      <c r="Y134" t="n">
        <v>878</v>
      </c>
      <c r="Z134" t="n">
        <v>820</v>
      </c>
      <c r="AA134" t="n">
        <v>1372</v>
      </c>
      <c r="AB134" t="n">
        <v>10</v>
      </c>
      <c r="AC134" t="n">
        <v>11</v>
      </c>
      <c r="AD134" t="n">
        <v>24</v>
      </c>
      <c r="AE134" t="n">
        <v>35</v>
      </c>
      <c r="AF134" t="n">
        <v>12</v>
      </c>
      <c r="AG134" t="n">
        <v>16</v>
      </c>
      <c r="AH134" t="n">
        <v>3</v>
      </c>
      <c r="AI134" t="n">
        <v>5</v>
      </c>
      <c r="AJ134" t="n">
        <v>6</v>
      </c>
      <c r="AK134" t="n">
        <v>15</v>
      </c>
      <c r="AL134" t="n">
        <v>6</v>
      </c>
      <c r="AM134" t="n">
        <v>6</v>
      </c>
      <c r="AN134" t="n">
        <v>0</v>
      </c>
      <c r="AO134" t="n">
        <v>0</v>
      </c>
      <c r="AP134" t="inlineStr">
        <is>
          <t>No</t>
        </is>
      </c>
      <c r="AQ134" t="inlineStr">
        <is>
          <t>Yes</t>
        </is>
      </c>
      <c r="AR134">
        <f>HYPERLINK("http://catalog.hathitrust.org/Record/005718113","HathiTrust Record")</f>
        <v/>
      </c>
      <c r="AS134">
        <f>HYPERLINK("https://creighton-primo.hosted.exlibrisgroup.com/primo-explore/search?tab=default_tab&amp;search_scope=EVERYTHING&amp;vid=01CRU&amp;lang=en_US&amp;offset=0&amp;query=any,contains,991002201589702656","Catalog Record")</f>
        <v/>
      </c>
      <c r="AT134">
        <f>HYPERLINK("http://www.worldcat.org/oclc/284481","WorldCat Record")</f>
        <v/>
      </c>
      <c r="AU134" t="inlineStr">
        <is>
          <t>1445015:eng</t>
        </is>
      </c>
      <c r="AV134" t="inlineStr">
        <is>
          <t>284481</t>
        </is>
      </c>
      <c r="AW134" t="inlineStr">
        <is>
          <t>991002201589702656</t>
        </is>
      </c>
      <c r="AX134" t="inlineStr">
        <is>
          <t>991002201589702656</t>
        </is>
      </c>
      <c r="AY134" t="inlineStr">
        <is>
          <t>2262624400002656</t>
        </is>
      </c>
      <c r="AZ134" t="inlineStr">
        <is>
          <t>BOOK</t>
        </is>
      </c>
      <c r="BC134" t="inlineStr">
        <is>
          <t>32285003032173</t>
        </is>
      </c>
      <c r="BD134" t="inlineStr">
        <is>
          <t>893439881</t>
        </is>
      </c>
    </row>
    <row r="135">
      <c r="A135" t="inlineStr">
        <is>
          <t>No</t>
        </is>
      </c>
      <c r="B135" t="inlineStr">
        <is>
          <t>NK3780 .C7</t>
        </is>
      </c>
      <c r="C135" t="inlineStr">
        <is>
          <t>0                      NK 3780000C  7</t>
        </is>
      </c>
      <c r="D135" t="inlineStr">
        <is>
          <t>The book of pottery and porcelain / by Warren E. Cox. 3000 illustrations. Pictures selected by the author. Layouts by A. M. Lounsbery.</t>
        </is>
      </c>
      <c r="E135" t="inlineStr">
        <is>
          <t>V.1</t>
        </is>
      </c>
      <c r="F135" t="inlineStr">
        <is>
          <t>Yes</t>
        </is>
      </c>
      <c r="G135" t="inlineStr">
        <is>
          <t>1</t>
        </is>
      </c>
      <c r="H135" t="inlineStr">
        <is>
          <t>No</t>
        </is>
      </c>
      <c r="I135" t="inlineStr">
        <is>
          <t>No</t>
        </is>
      </c>
      <c r="J135" t="inlineStr">
        <is>
          <t>0</t>
        </is>
      </c>
      <c r="K135" t="inlineStr">
        <is>
          <t>Cox, Warren E. (Warren Earle), 1895-1977.</t>
        </is>
      </c>
      <c r="L135" t="inlineStr">
        <is>
          <t>New York, L. Lee and Shepard co., inc.; distributed by Crown publishers [1944]</t>
        </is>
      </c>
      <c r="M135" t="inlineStr">
        <is>
          <t>1944</t>
        </is>
      </c>
      <c r="O135" t="inlineStr">
        <is>
          <t>eng</t>
        </is>
      </c>
      <c r="P135" t="inlineStr">
        <is>
          <t>nyu</t>
        </is>
      </c>
      <c r="R135" t="inlineStr">
        <is>
          <t xml:space="preserve">NK </t>
        </is>
      </c>
      <c r="S135" t="n">
        <v>0</v>
      </c>
      <c r="T135" t="n">
        <v>2</v>
      </c>
      <c r="V135" t="inlineStr">
        <is>
          <t>2004-09-27</t>
        </is>
      </c>
      <c r="W135" t="inlineStr">
        <is>
          <t>1997-08-08</t>
        </is>
      </c>
      <c r="X135" t="inlineStr">
        <is>
          <t>1997-08-08</t>
        </is>
      </c>
      <c r="Y135" t="n">
        <v>878</v>
      </c>
      <c r="Z135" t="n">
        <v>820</v>
      </c>
      <c r="AA135" t="n">
        <v>1372</v>
      </c>
      <c r="AB135" t="n">
        <v>10</v>
      </c>
      <c r="AC135" t="n">
        <v>11</v>
      </c>
      <c r="AD135" t="n">
        <v>24</v>
      </c>
      <c r="AE135" t="n">
        <v>35</v>
      </c>
      <c r="AF135" t="n">
        <v>12</v>
      </c>
      <c r="AG135" t="n">
        <v>16</v>
      </c>
      <c r="AH135" t="n">
        <v>3</v>
      </c>
      <c r="AI135" t="n">
        <v>5</v>
      </c>
      <c r="AJ135" t="n">
        <v>6</v>
      </c>
      <c r="AK135" t="n">
        <v>15</v>
      </c>
      <c r="AL135" t="n">
        <v>6</v>
      </c>
      <c r="AM135" t="n">
        <v>6</v>
      </c>
      <c r="AN135" t="n">
        <v>0</v>
      </c>
      <c r="AO135" t="n">
        <v>0</v>
      </c>
      <c r="AP135" t="inlineStr">
        <is>
          <t>No</t>
        </is>
      </c>
      <c r="AQ135" t="inlineStr">
        <is>
          <t>Yes</t>
        </is>
      </c>
      <c r="AR135">
        <f>HYPERLINK("http://catalog.hathitrust.org/Record/005718113","HathiTrust Record")</f>
        <v/>
      </c>
      <c r="AS135">
        <f>HYPERLINK("https://creighton-primo.hosted.exlibrisgroup.com/primo-explore/search?tab=default_tab&amp;search_scope=EVERYTHING&amp;vid=01CRU&amp;lang=en_US&amp;offset=0&amp;query=any,contains,991002201589702656","Catalog Record")</f>
        <v/>
      </c>
      <c r="AT135">
        <f>HYPERLINK("http://www.worldcat.org/oclc/284481","WorldCat Record")</f>
        <v/>
      </c>
      <c r="AU135" t="inlineStr">
        <is>
          <t>1445015:eng</t>
        </is>
      </c>
      <c r="AV135" t="inlineStr">
        <is>
          <t>284481</t>
        </is>
      </c>
      <c r="AW135" t="inlineStr">
        <is>
          <t>991002201589702656</t>
        </is>
      </c>
      <c r="AX135" t="inlineStr">
        <is>
          <t>991002201589702656</t>
        </is>
      </c>
      <c r="AY135" t="inlineStr">
        <is>
          <t>2262624400002656</t>
        </is>
      </c>
      <c r="AZ135" t="inlineStr">
        <is>
          <t>BOOK</t>
        </is>
      </c>
      <c r="BC135" t="inlineStr">
        <is>
          <t>32285003032165</t>
        </is>
      </c>
      <c r="BD135" t="inlineStr">
        <is>
          <t>893439880</t>
        </is>
      </c>
    </row>
    <row r="136">
      <c r="A136" t="inlineStr">
        <is>
          <t>No</t>
        </is>
      </c>
      <c r="B136" t="inlineStr">
        <is>
          <t>NK3855.P2 A713 1970</t>
        </is>
      </c>
      <c r="C136" t="inlineStr">
        <is>
          <t>0                      NK 3855000P  2                  A  713         1970</t>
        </is>
      </c>
      <c r="D136" t="inlineStr">
        <is>
          <t>Ancient pottery of the Holy Land : from its beginnings in the neolithic period to the end of the iron age / with the assistance of Pirhiya Beck and Uzza Zevulun.</t>
        </is>
      </c>
      <c r="F136" t="inlineStr">
        <is>
          <t>No</t>
        </is>
      </c>
      <c r="G136" t="inlineStr">
        <is>
          <t>1</t>
        </is>
      </c>
      <c r="H136" t="inlineStr">
        <is>
          <t>No</t>
        </is>
      </c>
      <c r="I136" t="inlineStr">
        <is>
          <t>No</t>
        </is>
      </c>
      <c r="J136" t="inlineStr">
        <is>
          <t>0</t>
        </is>
      </c>
      <c r="K136" t="inlineStr">
        <is>
          <t>Amiran, Ruth.</t>
        </is>
      </c>
      <c r="L136" t="inlineStr">
        <is>
          <t>[New Brunswick, N.J.] : Rutgers University Press, 1970 [c1969]</t>
        </is>
      </c>
      <c r="M136" t="inlineStr">
        <is>
          <t>1970</t>
        </is>
      </c>
      <c r="O136" t="inlineStr">
        <is>
          <t>eng</t>
        </is>
      </c>
      <c r="P136" t="inlineStr">
        <is>
          <t>nju</t>
        </is>
      </c>
      <c r="R136" t="inlineStr">
        <is>
          <t xml:space="preserve">NK </t>
        </is>
      </c>
      <c r="S136" t="n">
        <v>6</v>
      </c>
      <c r="T136" t="n">
        <v>6</v>
      </c>
      <c r="U136" t="inlineStr">
        <is>
          <t>2009-12-15</t>
        </is>
      </c>
      <c r="V136" t="inlineStr">
        <is>
          <t>2009-12-15</t>
        </is>
      </c>
      <c r="W136" t="inlineStr">
        <is>
          <t>1992-10-13</t>
        </is>
      </c>
      <c r="X136" t="inlineStr">
        <is>
          <t>1992-10-13</t>
        </is>
      </c>
      <c r="Y136" t="n">
        <v>623</v>
      </c>
      <c r="Z136" t="n">
        <v>518</v>
      </c>
      <c r="AA136" t="n">
        <v>577</v>
      </c>
      <c r="AB136" t="n">
        <v>3</v>
      </c>
      <c r="AC136" t="n">
        <v>3</v>
      </c>
      <c r="AD136" t="n">
        <v>20</v>
      </c>
      <c r="AE136" t="n">
        <v>21</v>
      </c>
      <c r="AF136" t="n">
        <v>7</v>
      </c>
      <c r="AG136" t="n">
        <v>7</v>
      </c>
      <c r="AH136" t="n">
        <v>6</v>
      </c>
      <c r="AI136" t="n">
        <v>6</v>
      </c>
      <c r="AJ136" t="n">
        <v>8</v>
      </c>
      <c r="AK136" t="n">
        <v>9</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HYPERLINK("https://creighton-primo.hosted.exlibrisgroup.com/primo-explore/search?tab=default_tab&amp;search_scope=EVERYTHING&amp;vid=01CRU&amp;lang=en_US&amp;offset=0&amp;query=any,contains,991001923359702656","Catalog Record")</f>
        <v/>
      </c>
      <c r="AT136">
        <f>HYPERLINK("http://www.worldcat.org/oclc/245846","WorldCat Record")</f>
        <v/>
      </c>
      <c r="AU136" t="inlineStr">
        <is>
          <t>474470:eng</t>
        </is>
      </c>
      <c r="AV136" t="inlineStr">
        <is>
          <t>245846</t>
        </is>
      </c>
      <c r="AW136" t="inlineStr">
        <is>
          <t>991001923359702656</t>
        </is>
      </c>
      <c r="AX136" t="inlineStr">
        <is>
          <t>991001923359702656</t>
        </is>
      </c>
      <c r="AY136" t="inlineStr">
        <is>
          <t>2267020940002656</t>
        </is>
      </c>
      <c r="AZ136" t="inlineStr">
        <is>
          <t>BOOK</t>
        </is>
      </c>
      <c r="BB136" t="inlineStr">
        <is>
          <t>9780813506340</t>
        </is>
      </c>
      <c r="BC136" t="inlineStr">
        <is>
          <t>32285001346443</t>
        </is>
      </c>
      <c r="BD136" t="inlineStr">
        <is>
          <t>893879306</t>
        </is>
      </c>
    </row>
    <row r="137">
      <c r="A137" t="inlineStr">
        <is>
          <t>No</t>
        </is>
      </c>
      <c r="B137" t="inlineStr">
        <is>
          <t>NK3930 .D67 1986</t>
        </is>
      </c>
      <c r="C137" t="inlineStr">
        <is>
          <t>0                      NK 3930000D  67          1986</t>
        </is>
      </c>
      <c r="D137" t="inlineStr">
        <is>
          <t>The new ceramics : trends + traditions / Peter Dormer.</t>
        </is>
      </c>
      <c r="F137" t="inlineStr">
        <is>
          <t>No</t>
        </is>
      </c>
      <c r="G137" t="inlineStr">
        <is>
          <t>1</t>
        </is>
      </c>
      <c r="H137" t="inlineStr">
        <is>
          <t>No</t>
        </is>
      </c>
      <c r="I137" t="inlineStr">
        <is>
          <t>No</t>
        </is>
      </c>
      <c r="J137" t="inlineStr">
        <is>
          <t>0</t>
        </is>
      </c>
      <c r="K137" t="inlineStr">
        <is>
          <t>Dormer, Peter.</t>
        </is>
      </c>
      <c r="L137" t="inlineStr">
        <is>
          <t>New York, N.Y. : Thames and Hudson, 1986.</t>
        </is>
      </c>
      <c r="M137" t="inlineStr">
        <is>
          <t>1986</t>
        </is>
      </c>
      <c r="O137" t="inlineStr">
        <is>
          <t>eng</t>
        </is>
      </c>
      <c r="P137" t="inlineStr">
        <is>
          <t>nyu</t>
        </is>
      </c>
      <c r="R137" t="inlineStr">
        <is>
          <t xml:space="preserve">NK </t>
        </is>
      </c>
      <c r="S137" t="n">
        <v>11</v>
      </c>
      <c r="T137" t="n">
        <v>11</v>
      </c>
      <c r="U137" t="inlineStr">
        <is>
          <t>2003-09-11</t>
        </is>
      </c>
      <c r="V137" t="inlineStr">
        <is>
          <t>2003-09-11</t>
        </is>
      </c>
      <c r="W137" t="inlineStr">
        <is>
          <t>1991-08-01</t>
        </is>
      </c>
      <c r="X137" t="inlineStr">
        <is>
          <t>1991-08-01</t>
        </is>
      </c>
      <c r="Y137" t="n">
        <v>656</v>
      </c>
      <c r="Z137" t="n">
        <v>586</v>
      </c>
      <c r="AA137" t="n">
        <v>765</v>
      </c>
      <c r="AB137" t="n">
        <v>6</v>
      </c>
      <c r="AC137" t="n">
        <v>6</v>
      </c>
      <c r="AD137" t="n">
        <v>18</v>
      </c>
      <c r="AE137" t="n">
        <v>21</v>
      </c>
      <c r="AF137" t="n">
        <v>10</v>
      </c>
      <c r="AG137" t="n">
        <v>11</v>
      </c>
      <c r="AH137" t="n">
        <v>2</v>
      </c>
      <c r="AI137" t="n">
        <v>4</v>
      </c>
      <c r="AJ137" t="n">
        <v>4</v>
      </c>
      <c r="AK137" t="n">
        <v>5</v>
      </c>
      <c r="AL137" t="n">
        <v>5</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HYPERLINK("https://creighton-primo.hosted.exlibrisgroup.com/primo-explore/search?tab=default_tab&amp;search_scope=EVERYTHING&amp;vid=01CRU&amp;lang=en_US&amp;offset=0&amp;query=any,contains,991000959949702656","Catalog Record")</f>
        <v/>
      </c>
      <c r="AT137">
        <f>HYPERLINK("http://www.worldcat.org/oclc/14816905","WorldCat Record")</f>
        <v/>
      </c>
      <c r="AU137" t="inlineStr">
        <is>
          <t>8483894:eng</t>
        </is>
      </c>
      <c r="AV137" t="inlineStr">
        <is>
          <t>14816905</t>
        </is>
      </c>
      <c r="AW137" t="inlineStr">
        <is>
          <t>991000959949702656</t>
        </is>
      </c>
      <c r="AX137" t="inlineStr">
        <is>
          <t>991000959949702656</t>
        </is>
      </c>
      <c r="AY137" t="inlineStr">
        <is>
          <t>2260742000002656</t>
        </is>
      </c>
      <c r="AZ137" t="inlineStr">
        <is>
          <t>BOOK</t>
        </is>
      </c>
      <c r="BB137" t="inlineStr">
        <is>
          <t>9780500234686</t>
        </is>
      </c>
      <c r="BC137" t="inlineStr">
        <is>
          <t>32285000663681</t>
        </is>
      </c>
      <c r="BD137" t="inlineStr">
        <is>
          <t>893702599</t>
        </is>
      </c>
    </row>
    <row r="138">
      <c r="A138" t="inlineStr">
        <is>
          <t>No</t>
        </is>
      </c>
      <c r="B138" t="inlineStr">
        <is>
          <t>NK3930 .L35 1988</t>
        </is>
      </c>
      <c r="C138" t="inlineStr">
        <is>
          <t>0                      NK 3930000L  35          1988</t>
        </is>
      </c>
      <c r="D138" t="inlineStr">
        <is>
          <t>Ceramic form : design and decoration / by Peter Lane.</t>
        </is>
      </c>
      <c r="F138" t="inlineStr">
        <is>
          <t>No</t>
        </is>
      </c>
      <c r="G138" t="inlineStr">
        <is>
          <t>1</t>
        </is>
      </c>
      <c r="H138" t="inlineStr">
        <is>
          <t>No</t>
        </is>
      </c>
      <c r="I138" t="inlineStr">
        <is>
          <t>No</t>
        </is>
      </c>
      <c r="J138" t="inlineStr">
        <is>
          <t>0</t>
        </is>
      </c>
      <c r="K138" t="inlineStr">
        <is>
          <t>Lane, Peter.</t>
        </is>
      </c>
      <c r="L138" t="inlineStr">
        <is>
          <t>New York : Rizzoli, 1988.</t>
        </is>
      </c>
      <c r="M138" t="inlineStr">
        <is>
          <t>1988</t>
        </is>
      </c>
      <c r="O138" t="inlineStr">
        <is>
          <t>eng</t>
        </is>
      </c>
      <c r="P138" t="inlineStr">
        <is>
          <t>nyu</t>
        </is>
      </c>
      <c r="R138" t="inlineStr">
        <is>
          <t xml:space="preserve">NK </t>
        </is>
      </c>
      <c r="S138" t="n">
        <v>9</v>
      </c>
      <c r="T138" t="n">
        <v>9</v>
      </c>
      <c r="U138" t="inlineStr">
        <is>
          <t>2006-09-06</t>
        </is>
      </c>
      <c r="V138" t="inlineStr">
        <is>
          <t>2006-09-06</t>
        </is>
      </c>
      <c r="W138" t="inlineStr">
        <is>
          <t>1992-08-14</t>
        </is>
      </c>
      <c r="X138" t="inlineStr">
        <is>
          <t>1992-08-14</t>
        </is>
      </c>
      <c r="Y138" t="n">
        <v>435</v>
      </c>
      <c r="Z138" t="n">
        <v>406</v>
      </c>
      <c r="AA138" t="n">
        <v>644</v>
      </c>
      <c r="AB138" t="n">
        <v>2</v>
      </c>
      <c r="AC138" t="n">
        <v>4</v>
      </c>
      <c r="AD138" t="n">
        <v>7</v>
      </c>
      <c r="AE138" t="n">
        <v>14</v>
      </c>
      <c r="AF138" t="n">
        <v>3</v>
      </c>
      <c r="AG138" t="n">
        <v>5</v>
      </c>
      <c r="AH138" t="n">
        <v>2</v>
      </c>
      <c r="AI138" t="n">
        <v>4</v>
      </c>
      <c r="AJ138" t="n">
        <v>2</v>
      </c>
      <c r="AK138" t="n">
        <v>6</v>
      </c>
      <c r="AL138" t="n">
        <v>1</v>
      </c>
      <c r="AM138" t="n">
        <v>3</v>
      </c>
      <c r="AN138" t="n">
        <v>0</v>
      </c>
      <c r="AO138" t="n">
        <v>0</v>
      </c>
      <c r="AP138" t="inlineStr">
        <is>
          <t>No</t>
        </is>
      </c>
      <c r="AQ138" t="inlineStr">
        <is>
          <t>Yes</t>
        </is>
      </c>
      <c r="AR138">
        <f>HYPERLINK("http://catalog.hathitrust.org/Record/000914256","HathiTrust Record")</f>
        <v/>
      </c>
      <c r="AS138">
        <f>HYPERLINK("https://creighton-primo.hosted.exlibrisgroup.com/primo-explore/search?tab=default_tab&amp;search_scope=EVERYTHING&amp;vid=01CRU&amp;lang=en_US&amp;offset=0&amp;query=any,contains,991001143329702656","Catalog Record")</f>
        <v/>
      </c>
      <c r="AT138">
        <f>HYPERLINK("http://www.worldcat.org/oclc/16755456","WorldCat Record")</f>
        <v/>
      </c>
      <c r="AU138" t="inlineStr">
        <is>
          <t>837050996:eng</t>
        </is>
      </c>
      <c r="AV138" t="inlineStr">
        <is>
          <t>16755456</t>
        </is>
      </c>
      <c r="AW138" t="inlineStr">
        <is>
          <t>991001143329702656</t>
        </is>
      </c>
      <c r="AX138" t="inlineStr">
        <is>
          <t>991001143329702656</t>
        </is>
      </c>
      <c r="AY138" t="inlineStr">
        <is>
          <t>2263259580002656</t>
        </is>
      </c>
      <c r="AZ138" t="inlineStr">
        <is>
          <t>BOOK</t>
        </is>
      </c>
      <c r="BB138" t="inlineStr">
        <is>
          <t>9780847808892</t>
        </is>
      </c>
      <c r="BC138" t="inlineStr">
        <is>
          <t>32285001245892</t>
        </is>
      </c>
      <c r="BD138" t="inlineStr">
        <is>
          <t>893346285</t>
        </is>
      </c>
    </row>
    <row r="139">
      <c r="A139" t="inlineStr">
        <is>
          <t>No</t>
        </is>
      </c>
      <c r="B139" t="inlineStr">
        <is>
          <t>NK3930.3.A77 M35 1995</t>
        </is>
      </c>
      <c r="C139" t="inlineStr">
        <is>
          <t>0                      NK 3930300A  77                 M  35          1995</t>
        </is>
      </c>
      <c r="D139" t="inlineStr">
        <is>
          <t>Art deco and modernist ceramics / Karen McCready ; introduction by Garth Clark.</t>
        </is>
      </c>
      <c r="F139" t="inlineStr">
        <is>
          <t>No</t>
        </is>
      </c>
      <c r="G139" t="inlineStr">
        <is>
          <t>1</t>
        </is>
      </c>
      <c r="H139" t="inlineStr">
        <is>
          <t>No</t>
        </is>
      </c>
      <c r="I139" t="inlineStr">
        <is>
          <t>No</t>
        </is>
      </c>
      <c r="J139" t="inlineStr">
        <is>
          <t>0</t>
        </is>
      </c>
      <c r="K139" t="inlineStr">
        <is>
          <t>McCready, Karen.</t>
        </is>
      </c>
      <c r="L139" t="inlineStr">
        <is>
          <t>London ; New York : Thames and Hudson, c1995.</t>
        </is>
      </c>
      <c r="M139" t="inlineStr">
        <is>
          <t>1995</t>
        </is>
      </c>
      <c r="N139" t="inlineStr">
        <is>
          <t>1st paperback ed.</t>
        </is>
      </c>
      <c r="O139" t="inlineStr">
        <is>
          <t>eng</t>
        </is>
      </c>
      <c r="P139" t="inlineStr">
        <is>
          <t>enk</t>
        </is>
      </c>
      <c r="R139" t="inlineStr">
        <is>
          <t xml:space="preserve">NK </t>
        </is>
      </c>
      <c r="S139" t="n">
        <v>5</v>
      </c>
      <c r="T139" t="n">
        <v>5</v>
      </c>
      <c r="U139" t="inlineStr">
        <is>
          <t>2006-09-16</t>
        </is>
      </c>
      <c r="V139" t="inlineStr">
        <is>
          <t>2006-09-16</t>
        </is>
      </c>
      <c r="W139" t="inlineStr">
        <is>
          <t>1997-09-30</t>
        </is>
      </c>
      <c r="X139" t="inlineStr">
        <is>
          <t>1997-09-30</t>
        </is>
      </c>
      <c r="Y139" t="n">
        <v>689</v>
      </c>
      <c r="Z139" t="n">
        <v>521</v>
      </c>
      <c r="AA139" t="n">
        <v>530</v>
      </c>
      <c r="AB139" t="n">
        <v>3</v>
      </c>
      <c r="AC139" t="n">
        <v>3</v>
      </c>
      <c r="AD139" t="n">
        <v>13</v>
      </c>
      <c r="AE139" t="n">
        <v>14</v>
      </c>
      <c r="AF139" t="n">
        <v>5</v>
      </c>
      <c r="AG139" t="n">
        <v>6</v>
      </c>
      <c r="AH139" t="n">
        <v>2</v>
      </c>
      <c r="AI139" t="n">
        <v>2</v>
      </c>
      <c r="AJ139" t="n">
        <v>6</v>
      </c>
      <c r="AK139" t="n">
        <v>6</v>
      </c>
      <c r="AL139" t="n">
        <v>2</v>
      </c>
      <c r="AM139" t="n">
        <v>2</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HYPERLINK("https://creighton-primo.hosted.exlibrisgroup.com/primo-explore/search?tab=default_tab&amp;search_scope=EVERYTHING&amp;vid=01CRU&amp;lang=en_US&amp;offset=0&amp;query=any,contains,991002736489702656","Catalog Record")</f>
        <v/>
      </c>
      <c r="AT139">
        <f>HYPERLINK("http://www.worldcat.org/oclc/33927146","WorldCat Record")</f>
        <v/>
      </c>
      <c r="AU139" t="inlineStr">
        <is>
          <t>3197597:eng</t>
        </is>
      </c>
      <c r="AV139" t="inlineStr">
        <is>
          <t>33927146</t>
        </is>
      </c>
      <c r="AW139" t="inlineStr">
        <is>
          <t>991002736489702656</t>
        </is>
      </c>
      <c r="AX139" t="inlineStr">
        <is>
          <t>991002736489702656</t>
        </is>
      </c>
      <c r="AY139" t="inlineStr">
        <is>
          <t>2260388930002656</t>
        </is>
      </c>
      <c r="AZ139" t="inlineStr">
        <is>
          <t>BOOK</t>
        </is>
      </c>
      <c r="BB139" t="inlineStr">
        <is>
          <t>9780500278253</t>
        </is>
      </c>
      <c r="BC139" t="inlineStr">
        <is>
          <t>32285003251401</t>
        </is>
      </c>
      <c r="BD139" t="inlineStr">
        <is>
          <t>893610222</t>
        </is>
      </c>
    </row>
    <row r="140">
      <c r="A140" t="inlineStr">
        <is>
          <t>No</t>
        </is>
      </c>
      <c r="B140" t="inlineStr">
        <is>
          <t>NK4005 .D66</t>
        </is>
      </c>
      <c r="C140" t="inlineStr">
        <is>
          <t>0                      NK 4005000D  66</t>
        </is>
      </c>
      <c r="D140" t="inlineStr">
        <is>
          <t>History of American ceramics : the studio potter / Paul S. Donhauser.</t>
        </is>
      </c>
      <c r="F140" t="inlineStr">
        <is>
          <t>No</t>
        </is>
      </c>
      <c r="G140" t="inlineStr">
        <is>
          <t>1</t>
        </is>
      </c>
      <c r="H140" t="inlineStr">
        <is>
          <t>No</t>
        </is>
      </c>
      <c r="I140" t="inlineStr">
        <is>
          <t>No</t>
        </is>
      </c>
      <c r="J140" t="inlineStr">
        <is>
          <t>0</t>
        </is>
      </c>
      <c r="K140" t="inlineStr">
        <is>
          <t>Donhauser, Paul S.</t>
        </is>
      </c>
      <c r="L140" t="inlineStr">
        <is>
          <t>Dubuque, Iowa : Kendall/Hunt Pub. Co., c1978.</t>
        </is>
      </c>
      <c r="M140" t="inlineStr">
        <is>
          <t>1978</t>
        </is>
      </c>
      <c r="O140" t="inlineStr">
        <is>
          <t>eng</t>
        </is>
      </c>
      <c r="P140" t="inlineStr">
        <is>
          <t>iau</t>
        </is>
      </c>
      <c r="R140" t="inlineStr">
        <is>
          <t xml:space="preserve">NK </t>
        </is>
      </c>
      <c r="S140" t="n">
        <v>5</v>
      </c>
      <c r="T140" t="n">
        <v>5</v>
      </c>
      <c r="U140" t="inlineStr">
        <is>
          <t>1998-12-30</t>
        </is>
      </c>
      <c r="V140" t="inlineStr">
        <is>
          <t>1998-12-30</t>
        </is>
      </c>
      <c r="W140" t="inlineStr">
        <is>
          <t>1992-08-31</t>
        </is>
      </c>
      <c r="X140" t="inlineStr">
        <is>
          <t>1992-08-31</t>
        </is>
      </c>
      <c r="Y140" t="n">
        <v>397</v>
      </c>
      <c r="Z140" t="n">
        <v>372</v>
      </c>
      <c r="AA140" t="n">
        <v>374</v>
      </c>
      <c r="AB140" t="n">
        <v>4</v>
      </c>
      <c r="AC140" t="n">
        <v>4</v>
      </c>
      <c r="AD140" t="n">
        <v>8</v>
      </c>
      <c r="AE140" t="n">
        <v>8</v>
      </c>
      <c r="AF140" t="n">
        <v>3</v>
      </c>
      <c r="AG140" t="n">
        <v>3</v>
      </c>
      <c r="AH140" t="n">
        <v>1</v>
      </c>
      <c r="AI140" t="n">
        <v>1</v>
      </c>
      <c r="AJ140" t="n">
        <v>3</v>
      </c>
      <c r="AK140" t="n">
        <v>3</v>
      </c>
      <c r="AL140" t="n">
        <v>3</v>
      </c>
      <c r="AM140" t="n">
        <v>3</v>
      </c>
      <c r="AN140" t="n">
        <v>0</v>
      </c>
      <c r="AO140" t="n">
        <v>0</v>
      </c>
      <c r="AP140" t="inlineStr">
        <is>
          <t>No</t>
        </is>
      </c>
      <c r="AQ140" t="inlineStr">
        <is>
          <t>Yes</t>
        </is>
      </c>
      <c r="AR140">
        <f>HYPERLINK("http://catalog.hathitrust.org/Record/000218396","HathiTrust Record")</f>
        <v/>
      </c>
      <c r="AS140">
        <f>HYPERLINK("https://creighton-primo.hosted.exlibrisgroup.com/primo-explore/search?tab=default_tab&amp;search_scope=EVERYTHING&amp;vid=01CRU&amp;lang=en_US&amp;offset=0&amp;query=any,contains,991004622599702656","Catalog Record")</f>
        <v/>
      </c>
      <c r="AT140">
        <f>HYPERLINK("http://www.worldcat.org/oclc/4309900","WorldCat Record")</f>
        <v/>
      </c>
      <c r="AU140" t="inlineStr">
        <is>
          <t>504738:eng</t>
        </is>
      </c>
      <c r="AV140" t="inlineStr">
        <is>
          <t>4309900</t>
        </is>
      </c>
      <c r="AW140" t="inlineStr">
        <is>
          <t>991004622599702656</t>
        </is>
      </c>
      <c r="AX140" t="inlineStr">
        <is>
          <t>991004622599702656</t>
        </is>
      </c>
      <c r="AY140" t="inlineStr">
        <is>
          <t>2269453700002656</t>
        </is>
      </c>
      <c r="AZ140" t="inlineStr">
        <is>
          <t>BOOK</t>
        </is>
      </c>
      <c r="BB140" t="inlineStr">
        <is>
          <t>9780840318640</t>
        </is>
      </c>
      <c r="BC140" t="inlineStr">
        <is>
          <t>32285001275337</t>
        </is>
      </c>
      <c r="BD140" t="inlineStr">
        <is>
          <t>893618877</t>
        </is>
      </c>
    </row>
    <row r="141">
      <c r="A141" t="inlineStr">
        <is>
          <t>No</t>
        </is>
      </c>
      <c r="B141" t="inlineStr">
        <is>
          <t>NK4006 .G8 1971</t>
        </is>
      </c>
      <c r="C141" t="inlineStr">
        <is>
          <t>0                      NK 4006000G  8           1971</t>
        </is>
      </c>
      <c r="D141" t="inlineStr">
        <is>
          <t>Early American folk pottery [by] Harold F. Guilland.</t>
        </is>
      </c>
      <c r="F141" t="inlineStr">
        <is>
          <t>No</t>
        </is>
      </c>
      <c r="G141" t="inlineStr">
        <is>
          <t>1</t>
        </is>
      </c>
      <c r="H141" t="inlineStr">
        <is>
          <t>No</t>
        </is>
      </c>
      <c r="I141" t="inlineStr">
        <is>
          <t>No</t>
        </is>
      </c>
      <c r="J141" t="inlineStr">
        <is>
          <t>0</t>
        </is>
      </c>
      <c r="K141" t="inlineStr">
        <is>
          <t>Guilland, Harold F.</t>
        </is>
      </c>
      <c r="L141" t="inlineStr">
        <is>
          <t>Philadelphia, Chilton Book Co. [1971]</t>
        </is>
      </c>
      <c r="M141" t="inlineStr">
        <is>
          <t>1971</t>
        </is>
      </c>
      <c r="N141" t="inlineStr">
        <is>
          <t>[1st ed.]</t>
        </is>
      </c>
      <c r="O141" t="inlineStr">
        <is>
          <t>eng</t>
        </is>
      </c>
      <c r="P141" t="inlineStr">
        <is>
          <t>pau</t>
        </is>
      </c>
      <c r="R141" t="inlineStr">
        <is>
          <t xml:space="preserve">NK </t>
        </is>
      </c>
      <c r="S141" t="n">
        <v>7</v>
      </c>
      <c r="T141" t="n">
        <v>7</v>
      </c>
      <c r="U141" t="inlineStr">
        <is>
          <t>1994-07-05</t>
        </is>
      </c>
      <c r="V141" t="inlineStr">
        <is>
          <t>1994-07-05</t>
        </is>
      </c>
      <c r="W141" t="inlineStr">
        <is>
          <t>1991-12-17</t>
        </is>
      </c>
      <c r="X141" t="inlineStr">
        <is>
          <t>1991-12-17</t>
        </is>
      </c>
      <c r="Y141" t="n">
        <v>752</v>
      </c>
      <c r="Z141" t="n">
        <v>696</v>
      </c>
      <c r="AA141" t="n">
        <v>698</v>
      </c>
      <c r="AB141" t="n">
        <v>3</v>
      </c>
      <c r="AC141" t="n">
        <v>3</v>
      </c>
      <c r="AD141" t="n">
        <v>12</v>
      </c>
      <c r="AE141" t="n">
        <v>12</v>
      </c>
      <c r="AF141" t="n">
        <v>7</v>
      </c>
      <c r="AG141" t="n">
        <v>7</v>
      </c>
      <c r="AH141" t="n">
        <v>1</v>
      </c>
      <c r="AI141" t="n">
        <v>1</v>
      </c>
      <c r="AJ141" t="n">
        <v>4</v>
      </c>
      <c r="AK141" t="n">
        <v>4</v>
      </c>
      <c r="AL141" t="n">
        <v>2</v>
      </c>
      <c r="AM141" t="n">
        <v>2</v>
      </c>
      <c r="AN141" t="n">
        <v>0</v>
      </c>
      <c r="AO141" t="n">
        <v>0</v>
      </c>
      <c r="AP141" t="inlineStr">
        <is>
          <t>No</t>
        </is>
      </c>
      <c r="AQ141" t="inlineStr">
        <is>
          <t>Yes</t>
        </is>
      </c>
      <c r="AR141">
        <f>HYPERLINK("http://catalog.hathitrust.org/Record/001471460","HathiTrust Record")</f>
        <v/>
      </c>
      <c r="AS141">
        <f>HYPERLINK("https://creighton-primo.hosted.exlibrisgroup.com/primo-explore/search?tab=default_tab&amp;search_scope=EVERYTHING&amp;vid=01CRU&amp;lang=en_US&amp;offset=0&amp;query=any,contains,991001224029702656","Catalog Record")</f>
        <v/>
      </c>
      <c r="AT141">
        <f>HYPERLINK("http://www.worldcat.org/oclc/198510","WorldCat Record")</f>
        <v/>
      </c>
      <c r="AU141" t="inlineStr">
        <is>
          <t>1376252:eng</t>
        </is>
      </c>
      <c r="AV141" t="inlineStr">
        <is>
          <t>198510</t>
        </is>
      </c>
      <c r="AW141" t="inlineStr">
        <is>
          <t>991001224029702656</t>
        </is>
      </c>
      <c r="AX141" t="inlineStr">
        <is>
          <t>991001224029702656</t>
        </is>
      </c>
      <c r="AY141" t="inlineStr">
        <is>
          <t>2271386530002656</t>
        </is>
      </c>
      <c r="AZ141" t="inlineStr">
        <is>
          <t>BOOK</t>
        </is>
      </c>
      <c r="BB141" t="inlineStr">
        <is>
          <t>9780801954368</t>
        </is>
      </c>
      <c r="BC141" t="inlineStr">
        <is>
          <t>32285000901750</t>
        </is>
      </c>
      <c r="BD141" t="inlineStr">
        <is>
          <t>893509485</t>
        </is>
      </c>
    </row>
    <row r="142">
      <c r="A142" t="inlineStr">
        <is>
          <t>No</t>
        </is>
      </c>
      <c r="B142" t="inlineStr">
        <is>
          <t>NK4007 .C56 1987</t>
        </is>
      </c>
      <c r="C142" t="inlineStr">
        <is>
          <t>0                      NK 4007000C  56          1987</t>
        </is>
      </c>
      <c r="D142" t="inlineStr">
        <is>
          <t>American ceramics, 1876 to the present / by Garth Clark.</t>
        </is>
      </c>
      <c r="F142" t="inlineStr">
        <is>
          <t>No</t>
        </is>
      </c>
      <c r="G142" t="inlineStr">
        <is>
          <t>1</t>
        </is>
      </c>
      <c r="H142" t="inlineStr">
        <is>
          <t>No</t>
        </is>
      </c>
      <c r="I142" t="inlineStr">
        <is>
          <t>No</t>
        </is>
      </c>
      <c r="J142" t="inlineStr">
        <is>
          <t>0</t>
        </is>
      </c>
      <c r="K142" t="inlineStr">
        <is>
          <t>Clark, Garth, 1947-</t>
        </is>
      </c>
      <c r="L142" t="inlineStr">
        <is>
          <t>New York : Abbeville Press, c1987.</t>
        </is>
      </c>
      <c r="M142" t="inlineStr">
        <is>
          <t>1987</t>
        </is>
      </c>
      <c r="N142" t="inlineStr">
        <is>
          <t>Rev. ed.</t>
        </is>
      </c>
      <c r="O142" t="inlineStr">
        <is>
          <t>eng</t>
        </is>
      </c>
      <c r="P142" t="inlineStr">
        <is>
          <t>nyu</t>
        </is>
      </c>
      <c r="R142" t="inlineStr">
        <is>
          <t xml:space="preserve">NK </t>
        </is>
      </c>
      <c r="S142" t="n">
        <v>2</v>
      </c>
      <c r="T142" t="n">
        <v>2</v>
      </c>
      <c r="U142" t="inlineStr">
        <is>
          <t>1994-03-31</t>
        </is>
      </c>
      <c r="V142" t="inlineStr">
        <is>
          <t>1994-03-31</t>
        </is>
      </c>
      <c r="W142" t="inlineStr">
        <is>
          <t>1992-11-03</t>
        </is>
      </c>
      <c r="X142" t="inlineStr">
        <is>
          <t>1992-11-03</t>
        </is>
      </c>
      <c r="Y142" t="n">
        <v>878</v>
      </c>
      <c r="Z142" t="n">
        <v>797</v>
      </c>
      <c r="AA142" t="n">
        <v>859</v>
      </c>
      <c r="AB142" t="n">
        <v>6</v>
      </c>
      <c r="AC142" t="n">
        <v>7</v>
      </c>
      <c r="AD142" t="n">
        <v>23</v>
      </c>
      <c r="AE142" t="n">
        <v>25</v>
      </c>
      <c r="AF142" t="n">
        <v>12</v>
      </c>
      <c r="AG142" t="n">
        <v>12</v>
      </c>
      <c r="AH142" t="n">
        <v>4</v>
      </c>
      <c r="AI142" t="n">
        <v>5</v>
      </c>
      <c r="AJ142" t="n">
        <v>10</v>
      </c>
      <c r="AK142" t="n">
        <v>11</v>
      </c>
      <c r="AL142" t="n">
        <v>4</v>
      </c>
      <c r="AM142" t="n">
        <v>5</v>
      </c>
      <c r="AN142" t="n">
        <v>0</v>
      </c>
      <c r="AO142" t="n">
        <v>0</v>
      </c>
      <c r="AP142" t="inlineStr">
        <is>
          <t>No</t>
        </is>
      </c>
      <c r="AQ142" t="inlineStr">
        <is>
          <t>Yes</t>
        </is>
      </c>
      <c r="AR142">
        <f>HYPERLINK("http://catalog.hathitrust.org/Record/000913902","HathiTrust Record")</f>
        <v/>
      </c>
      <c r="AS142">
        <f>HYPERLINK("https://creighton-primo.hosted.exlibrisgroup.com/primo-explore/search?tab=default_tab&amp;search_scope=EVERYTHING&amp;vid=01CRU&amp;lang=en_US&amp;offset=0&amp;query=any,contains,991001028919702656","Catalog Record")</f>
        <v/>
      </c>
      <c r="AT142">
        <f>HYPERLINK("http://www.worldcat.org/oclc/15489419","WorldCat Record")</f>
        <v/>
      </c>
      <c r="AU142" t="inlineStr">
        <is>
          <t>10554923:eng</t>
        </is>
      </c>
      <c r="AV142" t="inlineStr">
        <is>
          <t>15489419</t>
        </is>
      </c>
      <c r="AW142" t="inlineStr">
        <is>
          <t>991001028919702656</t>
        </is>
      </c>
      <c r="AX142" t="inlineStr">
        <is>
          <t>991001028919702656</t>
        </is>
      </c>
      <c r="AY142" t="inlineStr">
        <is>
          <t>2272475510002656</t>
        </is>
      </c>
      <c r="AZ142" t="inlineStr">
        <is>
          <t>BOOK</t>
        </is>
      </c>
      <c r="BB142" t="inlineStr">
        <is>
          <t>9780896597433</t>
        </is>
      </c>
      <c r="BC142" t="inlineStr">
        <is>
          <t>32285001381309</t>
        </is>
      </c>
      <c r="BD142" t="inlineStr">
        <is>
          <t>893589961</t>
        </is>
      </c>
    </row>
    <row r="143">
      <c r="A143" t="inlineStr">
        <is>
          <t>No</t>
        </is>
      </c>
      <c r="B143" t="inlineStr">
        <is>
          <t>NK4008 .L67 1990</t>
        </is>
      </c>
      <c r="C143" t="inlineStr">
        <is>
          <t>0                      NK 4008000L  67          1990</t>
        </is>
      </c>
      <c r="D143" t="inlineStr">
        <is>
          <t>Clay today : contemporary ceramists and their work : a catalogue of the Howard and Gwen Laurie Smits Collection at the Los Angeles County Museum of Art / Martha Drexler Lynn.</t>
        </is>
      </c>
      <c r="F143" t="inlineStr">
        <is>
          <t>No</t>
        </is>
      </c>
      <c r="G143" t="inlineStr">
        <is>
          <t>1</t>
        </is>
      </c>
      <c r="H143" t="inlineStr">
        <is>
          <t>No</t>
        </is>
      </c>
      <c r="I143" t="inlineStr">
        <is>
          <t>No</t>
        </is>
      </c>
      <c r="J143" t="inlineStr">
        <is>
          <t>0</t>
        </is>
      </c>
      <c r="K143" t="inlineStr">
        <is>
          <t>Los Angeles County Museum of Art.</t>
        </is>
      </c>
      <c r="L143" t="inlineStr">
        <is>
          <t>Los Angeles, Calif. : The Museum ; San Francisco : Chronicle Books, c1990.</t>
        </is>
      </c>
      <c r="M143" t="inlineStr">
        <is>
          <t>1990</t>
        </is>
      </c>
      <c r="O143" t="inlineStr">
        <is>
          <t>eng</t>
        </is>
      </c>
      <c r="P143" t="inlineStr">
        <is>
          <t>cau</t>
        </is>
      </c>
      <c r="R143" t="inlineStr">
        <is>
          <t xml:space="preserve">NK </t>
        </is>
      </c>
      <c r="S143" t="n">
        <v>28</v>
      </c>
      <c r="T143" t="n">
        <v>28</v>
      </c>
      <c r="U143" t="inlineStr">
        <is>
          <t>2010-07-19</t>
        </is>
      </c>
      <c r="V143" t="inlineStr">
        <is>
          <t>2010-07-19</t>
        </is>
      </c>
      <c r="W143" t="inlineStr">
        <is>
          <t>1991-06-13</t>
        </is>
      </c>
      <c r="X143" t="inlineStr">
        <is>
          <t>1991-06-13</t>
        </is>
      </c>
      <c r="Y143" t="n">
        <v>809</v>
      </c>
      <c r="Z143" t="n">
        <v>696</v>
      </c>
      <c r="AA143" t="n">
        <v>699</v>
      </c>
      <c r="AB143" t="n">
        <v>7</v>
      </c>
      <c r="AC143" t="n">
        <v>7</v>
      </c>
      <c r="AD143" t="n">
        <v>21</v>
      </c>
      <c r="AE143" t="n">
        <v>21</v>
      </c>
      <c r="AF143" t="n">
        <v>10</v>
      </c>
      <c r="AG143" t="n">
        <v>10</v>
      </c>
      <c r="AH143" t="n">
        <v>5</v>
      </c>
      <c r="AI143" t="n">
        <v>5</v>
      </c>
      <c r="AJ143" t="n">
        <v>8</v>
      </c>
      <c r="AK143" t="n">
        <v>8</v>
      </c>
      <c r="AL143" t="n">
        <v>4</v>
      </c>
      <c r="AM143" t="n">
        <v>4</v>
      </c>
      <c r="AN143" t="n">
        <v>0</v>
      </c>
      <c r="AO143" t="n">
        <v>0</v>
      </c>
      <c r="AP143" t="inlineStr">
        <is>
          <t>No</t>
        </is>
      </c>
      <c r="AQ143" t="inlineStr">
        <is>
          <t>Yes</t>
        </is>
      </c>
      <c r="AR143">
        <f>HYPERLINK("http://catalog.hathitrust.org/Record/002172035","HathiTrust Record")</f>
        <v/>
      </c>
      <c r="AS143">
        <f>HYPERLINK("https://creighton-primo.hosted.exlibrisgroup.com/primo-explore/search?tab=default_tab&amp;search_scope=EVERYTHING&amp;vid=01CRU&amp;lang=en_US&amp;offset=0&amp;query=any,contains,991001620449702656","Catalog Record")</f>
        <v/>
      </c>
      <c r="AT143">
        <f>HYPERLINK("http://www.worldcat.org/oclc/20823481","WorldCat Record")</f>
        <v/>
      </c>
      <c r="AU143" t="inlineStr">
        <is>
          <t>22382845:eng</t>
        </is>
      </c>
      <c r="AV143" t="inlineStr">
        <is>
          <t>20823481</t>
        </is>
      </c>
      <c r="AW143" t="inlineStr">
        <is>
          <t>991001620449702656</t>
        </is>
      </c>
      <c r="AX143" t="inlineStr">
        <is>
          <t>991001620449702656</t>
        </is>
      </c>
      <c r="AY143" t="inlineStr">
        <is>
          <t>2263898340002656</t>
        </is>
      </c>
      <c r="AZ143" t="inlineStr">
        <is>
          <t>BOOK</t>
        </is>
      </c>
      <c r="BB143" t="inlineStr">
        <is>
          <t>9780877017561</t>
        </is>
      </c>
      <c r="BC143" t="inlineStr">
        <is>
          <t>32285000656057</t>
        </is>
      </c>
      <c r="BD143" t="inlineStr">
        <is>
          <t>893621495</t>
        </is>
      </c>
    </row>
    <row r="144">
      <c r="A144" t="inlineStr">
        <is>
          <t>No</t>
        </is>
      </c>
      <c r="B144" t="inlineStr">
        <is>
          <t>NK4083 .H55 1999</t>
        </is>
      </c>
      <c r="C144" t="inlineStr">
        <is>
          <t>0                      NK 4083000H  55          1999</t>
        </is>
      </c>
      <c r="D144" t="inlineStr">
        <is>
          <t>European ceramics / Robin Hildyard.</t>
        </is>
      </c>
      <c r="F144" t="inlineStr">
        <is>
          <t>No</t>
        </is>
      </c>
      <c r="G144" t="inlineStr">
        <is>
          <t>1</t>
        </is>
      </c>
      <c r="H144" t="inlineStr">
        <is>
          <t>No</t>
        </is>
      </c>
      <c r="I144" t="inlineStr">
        <is>
          <t>No</t>
        </is>
      </c>
      <c r="J144" t="inlineStr">
        <is>
          <t>0</t>
        </is>
      </c>
      <c r="K144" t="inlineStr">
        <is>
          <t>Hildyard, R. J. C.</t>
        </is>
      </c>
      <c r="L144" t="inlineStr">
        <is>
          <t>Philadelphia : University of Pennsylvania Press, 1999.</t>
        </is>
      </c>
      <c r="M144" t="inlineStr">
        <is>
          <t>1999</t>
        </is>
      </c>
      <c r="O144" t="inlineStr">
        <is>
          <t>eng</t>
        </is>
      </c>
      <c r="P144" t="inlineStr">
        <is>
          <t>pau</t>
        </is>
      </c>
      <c r="R144" t="inlineStr">
        <is>
          <t xml:space="preserve">NK </t>
        </is>
      </c>
      <c r="S144" t="n">
        <v>3</v>
      </c>
      <c r="T144" t="n">
        <v>3</v>
      </c>
      <c r="U144" t="inlineStr">
        <is>
          <t>2010-07-19</t>
        </is>
      </c>
      <c r="V144" t="inlineStr">
        <is>
          <t>2010-07-19</t>
        </is>
      </c>
      <c r="W144" t="inlineStr">
        <is>
          <t>1999-10-05</t>
        </is>
      </c>
      <c r="X144" t="inlineStr">
        <is>
          <t>1999-10-05</t>
        </is>
      </c>
      <c r="Y144" t="n">
        <v>461</v>
      </c>
      <c r="Z144" t="n">
        <v>445</v>
      </c>
      <c r="AA144" t="n">
        <v>510</v>
      </c>
      <c r="AB144" t="n">
        <v>3</v>
      </c>
      <c r="AC144" t="n">
        <v>3</v>
      </c>
      <c r="AD144" t="n">
        <v>16</v>
      </c>
      <c r="AE144" t="n">
        <v>17</v>
      </c>
      <c r="AF144" t="n">
        <v>6</v>
      </c>
      <c r="AG144" t="n">
        <v>7</v>
      </c>
      <c r="AH144" t="n">
        <v>4</v>
      </c>
      <c r="AI144" t="n">
        <v>4</v>
      </c>
      <c r="AJ144" t="n">
        <v>9</v>
      </c>
      <c r="AK144" t="n">
        <v>9</v>
      </c>
      <c r="AL144" t="n">
        <v>2</v>
      </c>
      <c r="AM144" t="n">
        <v>2</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HYPERLINK("https://creighton-primo.hosted.exlibrisgroup.com/primo-explore/search?tab=default_tab&amp;search_scope=EVERYTHING&amp;vid=01CRU&amp;lang=en_US&amp;offset=0&amp;query=any,contains,991003020439702656","Catalog Record")</f>
        <v/>
      </c>
      <c r="AT144">
        <f>HYPERLINK("http://www.worldcat.org/oclc/41146518","WorldCat Record")</f>
        <v/>
      </c>
      <c r="AU144" t="inlineStr">
        <is>
          <t>26269362:eng</t>
        </is>
      </c>
      <c r="AV144" t="inlineStr">
        <is>
          <t>41146518</t>
        </is>
      </c>
      <c r="AW144" t="inlineStr">
        <is>
          <t>991003020439702656</t>
        </is>
      </c>
      <c r="AX144" t="inlineStr">
        <is>
          <t>991003020439702656</t>
        </is>
      </c>
      <c r="AY144" t="inlineStr">
        <is>
          <t>2262260610002656</t>
        </is>
      </c>
      <c r="AZ144" t="inlineStr">
        <is>
          <t>BOOK</t>
        </is>
      </c>
      <c r="BC144" t="inlineStr">
        <is>
          <t>32285003592754</t>
        </is>
      </c>
      <c r="BD144" t="inlineStr">
        <is>
          <t>893329862</t>
        </is>
      </c>
    </row>
    <row r="145">
      <c r="A145" t="inlineStr">
        <is>
          <t>No</t>
        </is>
      </c>
      <c r="B145" t="inlineStr">
        <is>
          <t>NK4167 .W56 1995</t>
        </is>
      </c>
      <c r="C145" t="inlineStr">
        <is>
          <t>0                      NK 4167000W  56          1995</t>
        </is>
      </c>
      <c r="D145" t="inlineStr">
        <is>
          <t>Inside Japanese ceramics : a primer of materials, techniques, and traditions / Richard L. Wilson.</t>
        </is>
      </c>
      <c r="F145" t="inlineStr">
        <is>
          <t>No</t>
        </is>
      </c>
      <c r="G145" t="inlineStr">
        <is>
          <t>1</t>
        </is>
      </c>
      <c r="H145" t="inlineStr">
        <is>
          <t>No</t>
        </is>
      </c>
      <c r="I145" t="inlineStr">
        <is>
          <t>No</t>
        </is>
      </c>
      <c r="J145" t="inlineStr">
        <is>
          <t>0</t>
        </is>
      </c>
      <c r="K145" t="inlineStr">
        <is>
          <t>Wilson, Richard L., 1949-</t>
        </is>
      </c>
      <c r="L145" t="inlineStr">
        <is>
          <t>New York : Weatherhill, 1995.</t>
        </is>
      </c>
      <c r="M145" t="inlineStr">
        <is>
          <t>1995</t>
        </is>
      </c>
      <c r="N145" t="inlineStr">
        <is>
          <t>1st ed.</t>
        </is>
      </c>
      <c r="O145" t="inlineStr">
        <is>
          <t>eng</t>
        </is>
      </c>
      <c r="P145" t="inlineStr">
        <is>
          <t>nyu</t>
        </is>
      </c>
      <c r="R145" t="inlineStr">
        <is>
          <t xml:space="preserve">NK </t>
        </is>
      </c>
      <c r="S145" t="n">
        <v>3</v>
      </c>
      <c r="T145" t="n">
        <v>3</v>
      </c>
      <c r="U145" t="inlineStr">
        <is>
          <t>2005-10-25</t>
        </is>
      </c>
      <c r="V145" t="inlineStr">
        <is>
          <t>2005-10-25</t>
        </is>
      </c>
      <c r="W145" t="inlineStr">
        <is>
          <t>1999-01-06</t>
        </is>
      </c>
      <c r="X145" t="inlineStr">
        <is>
          <t>1999-01-06</t>
        </is>
      </c>
      <c r="Y145" t="n">
        <v>343</v>
      </c>
      <c r="Z145" t="n">
        <v>279</v>
      </c>
      <c r="AA145" t="n">
        <v>374</v>
      </c>
      <c r="AB145" t="n">
        <v>3</v>
      </c>
      <c r="AC145" t="n">
        <v>3</v>
      </c>
      <c r="AD145" t="n">
        <v>10</v>
      </c>
      <c r="AE145" t="n">
        <v>10</v>
      </c>
      <c r="AF145" t="n">
        <v>5</v>
      </c>
      <c r="AG145" t="n">
        <v>5</v>
      </c>
      <c r="AH145" t="n">
        <v>2</v>
      </c>
      <c r="AI145" t="n">
        <v>2</v>
      </c>
      <c r="AJ145" t="n">
        <v>1</v>
      </c>
      <c r="AK145" t="n">
        <v>1</v>
      </c>
      <c r="AL145" t="n">
        <v>2</v>
      </c>
      <c r="AM145" t="n">
        <v>2</v>
      </c>
      <c r="AN145" t="n">
        <v>0</v>
      </c>
      <c r="AO145" t="n">
        <v>0</v>
      </c>
      <c r="AP145" t="inlineStr">
        <is>
          <t>No</t>
        </is>
      </c>
      <c r="AQ145" t="inlineStr">
        <is>
          <t>Yes</t>
        </is>
      </c>
      <c r="AR145">
        <f>HYPERLINK("http://catalog.hathitrust.org/Record/003038222","HathiTrust Record")</f>
        <v/>
      </c>
      <c r="AS145">
        <f>HYPERLINK("https://creighton-primo.hosted.exlibrisgroup.com/primo-explore/search?tab=default_tab&amp;search_scope=EVERYTHING&amp;vid=01CRU&amp;lang=en_US&amp;offset=0&amp;query=any,contains,991002505519702656","Catalog Record")</f>
        <v/>
      </c>
      <c r="AT145">
        <f>HYPERLINK("http://www.worldcat.org/oclc/32589793","WorldCat Record")</f>
        <v/>
      </c>
      <c r="AU145" t="inlineStr">
        <is>
          <t>34584670:eng</t>
        </is>
      </c>
      <c r="AV145" t="inlineStr">
        <is>
          <t>32589793</t>
        </is>
      </c>
      <c r="AW145" t="inlineStr">
        <is>
          <t>991002505519702656</t>
        </is>
      </c>
      <c r="AX145" t="inlineStr">
        <is>
          <t>991002505519702656</t>
        </is>
      </c>
      <c r="AY145" t="inlineStr">
        <is>
          <t>2261234270002656</t>
        </is>
      </c>
      <c r="AZ145" t="inlineStr">
        <is>
          <t>BOOK</t>
        </is>
      </c>
      <c r="BB145" t="inlineStr">
        <is>
          <t>9780834803466</t>
        </is>
      </c>
      <c r="BC145" t="inlineStr">
        <is>
          <t>32285003509634</t>
        </is>
      </c>
      <c r="BD145" t="inlineStr">
        <is>
          <t>893523695</t>
        </is>
      </c>
    </row>
    <row r="146">
      <c r="A146" t="inlineStr">
        <is>
          <t>No</t>
        </is>
      </c>
      <c r="B146" t="inlineStr">
        <is>
          <t>NK4176.75 .B37 1994</t>
        </is>
      </c>
      <c r="C146" t="inlineStr">
        <is>
          <t>0                      NK 4176750B  37          1994</t>
        </is>
      </c>
      <c r="D146" t="inlineStr">
        <is>
          <t>Smashing pots : works of clay from Africa / Nigel Barley.</t>
        </is>
      </c>
      <c r="F146" t="inlineStr">
        <is>
          <t>No</t>
        </is>
      </c>
      <c r="G146" t="inlineStr">
        <is>
          <t>1</t>
        </is>
      </c>
      <c r="H146" t="inlineStr">
        <is>
          <t>No</t>
        </is>
      </c>
      <c r="I146" t="inlineStr">
        <is>
          <t>No</t>
        </is>
      </c>
      <c r="J146" t="inlineStr">
        <is>
          <t>0</t>
        </is>
      </c>
      <c r="K146" t="inlineStr">
        <is>
          <t>Barley, Nigel.</t>
        </is>
      </c>
      <c r="L146" t="inlineStr">
        <is>
          <t>Washington, D.C. : Smithsonian Institution Press, c1994.</t>
        </is>
      </c>
      <c r="M146" t="inlineStr">
        <is>
          <t>1994</t>
        </is>
      </c>
      <c r="O146" t="inlineStr">
        <is>
          <t>eng</t>
        </is>
      </c>
      <c r="P146" t="inlineStr">
        <is>
          <t>dcu</t>
        </is>
      </c>
      <c r="R146" t="inlineStr">
        <is>
          <t xml:space="preserve">NK </t>
        </is>
      </c>
      <c r="S146" t="n">
        <v>3</v>
      </c>
      <c r="T146" t="n">
        <v>3</v>
      </c>
      <c r="U146" t="inlineStr">
        <is>
          <t>2006-01-23</t>
        </is>
      </c>
      <c r="V146" t="inlineStr">
        <is>
          <t>2006-01-23</t>
        </is>
      </c>
      <c r="W146" t="inlineStr">
        <is>
          <t>1996-05-04</t>
        </is>
      </c>
      <c r="X146" t="inlineStr">
        <is>
          <t>1996-05-04</t>
        </is>
      </c>
      <c r="Y146" t="n">
        <v>641</v>
      </c>
      <c r="Z146" t="n">
        <v>607</v>
      </c>
      <c r="AA146" t="n">
        <v>648</v>
      </c>
      <c r="AB146" t="n">
        <v>6</v>
      </c>
      <c r="AC146" t="n">
        <v>6</v>
      </c>
      <c r="AD146" t="n">
        <v>21</v>
      </c>
      <c r="AE146" t="n">
        <v>22</v>
      </c>
      <c r="AF146" t="n">
        <v>8</v>
      </c>
      <c r="AG146" t="n">
        <v>8</v>
      </c>
      <c r="AH146" t="n">
        <v>5</v>
      </c>
      <c r="AI146" t="n">
        <v>6</v>
      </c>
      <c r="AJ146" t="n">
        <v>7</v>
      </c>
      <c r="AK146" t="n">
        <v>8</v>
      </c>
      <c r="AL146" t="n">
        <v>4</v>
      </c>
      <c r="AM146" t="n">
        <v>4</v>
      </c>
      <c r="AN146" t="n">
        <v>0</v>
      </c>
      <c r="AO146" t="n">
        <v>0</v>
      </c>
      <c r="AP146" t="inlineStr">
        <is>
          <t>No</t>
        </is>
      </c>
      <c r="AQ146" t="inlineStr">
        <is>
          <t>Yes</t>
        </is>
      </c>
      <c r="AR146">
        <f>HYPERLINK("http://catalog.hathitrust.org/Record/002912562","HathiTrust Record")</f>
        <v/>
      </c>
      <c r="AS146">
        <f>HYPERLINK("https://creighton-primo.hosted.exlibrisgroup.com/primo-explore/search?tab=default_tab&amp;search_scope=EVERYTHING&amp;vid=01CRU&amp;lang=en_US&amp;offset=0&amp;query=any,contains,991002395139702656","Catalog Record")</f>
        <v/>
      </c>
      <c r="AT146">
        <f>HYPERLINK("http://www.worldcat.org/oclc/31122447","WorldCat Record")</f>
        <v/>
      </c>
      <c r="AU146" t="inlineStr">
        <is>
          <t>890439218:eng</t>
        </is>
      </c>
      <c r="AV146" t="inlineStr">
        <is>
          <t>31122447</t>
        </is>
      </c>
      <c r="AW146" t="inlineStr">
        <is>
          <t>991002395139702656</t>
        </is>
      </c>
      <c r="AX146" t="inlineStr">
        <is>
          <t>991002395139702656</t>
        </is>
      </c>
      <c r="AY146" t="inlineStr">
        <is>
          <t>2268883990002656</t>
        </is>
      </c>
      <c r="AZ146" t="inlineStr">
        <is>
          <t>BOOK</t>
        </is>
      </c>
      <c r="BB146" t="inlineStr">
        <is>
          <t>9781560984191</t>
        </is>
      </c>
      <c r="BC146" t="inlineStr">
        <is>
          <t>32285002158425</t>
        </is>
      </c>
      <c r="BD146" t="inlineStr">
        <is>
          <t>893352306</t>
        </is>
      </c>
    </row>
    <row r="147">
      <c r="A147" t="inlineStr">
        <is>
          <t>No</t>
        </is>
      </c>
      <c r="B147" t="inlineStr">
        <is>
          <t>NK4210.B4 A4 1978</t>
        </is>
      </c>
      <c r="C147" t="inlineStr">
        <is>
          <t>0                      NK 4210000B  4                  A  4           1978</t>
        </is>
      </c>
      <c r="D147" t="inlineStr">
        <is>
          <t>Belleek : the complete collector's guide and illustrated reference / Richard K. Degenhardt.</t>
        </is>
      </c>
      <c r="F147" t="inlineStr">
        <is>
          <t>No</t>
        </is>
      </c>
      <c r="G147" t="inlineStr">
        <is>
          <t>1</t>
        </is>
      </c>
      <c r="H147" t="inlineStr">
        <is>
          <t>No</t>
        </is>
      </c>
      <c r="I147" t="inlineStr">
        <is>
          <t>No</t>
        </is>
      </c>
      <c r="J147" t="inlineStr">
        <is>
          <t>0</t>
        </is>
      </c>
      <c r="K147" t="inlineStr">
        <is>
          <t>Degenhardt, Richard K.</t>
        </is>
      </c>
      <c r="L147" t="inlineStr">
        <is>
          <t>Huntington, N.Y. : Portfolio Press, c1978.</t>
        </is>
      </c>
      <c r="M147" t="inlineStr">
        <is>
          <t>1978</t>
        </is>
      </c>
      <c r="O147" t="inlineStr">
        <is>
          <t>eng</t>
        </is>
      </c>
      <c r="P147" t="inlineStr">
        <is>
          <t>nyu</t>
        </is>
      </c>
      <c r="R147" t="inlineStr">
        <is>
          <t xml:space="preserve">NK </t>
        </is>
      </c>
      <c r="S147" t="n">
        <v>3</v>
      </c>
      <c r="T147" t="n">
        <v>3</v>
      </c>
      <c r="U147" t="inlineStr">
        <is>
          <t>1993-11-29</t>
        </is>
      </c>
      <c r="V147" t="inlineStr">
        <is>
          <t>1993-11-29</t>
        </is>
      </c>
      <c r="W147" t="inlineStr">
        <is>
          <t>1992-01-10</t>
        </is>
      </c>
      <c r="X147" t="inlineStr">
        <is>
          <t>1992-01-10</t>
        </is>
      </c>
      <c r="Y147" t="n">
        <v>143</v>
      </c>
      <c r="Z147" t="n">
        <v>121</v>
      </c>
      <c r="AA147" t="n">
        <v>122</v>
      </c>
      <c r="AB147" t="n">
        <v>2</v>
      </c>
      <c r="AC147" t="n">
        <v>2</v>
      </c>
      <c r="AD147" t="n">
        <v>1</v>
      </c>
      <c r="AE147" t="n">
        <v>1</v>
      </c>
      <c r="AF147" t="n">
        <v>0</v>
      </c>
      <c r="AG147" t="n">
        <v>0</v>
      </c>
      <c r="AH147" t="n">
        <v>0</v>
      </c>
      <c r="AI147" t="n">
        <v>0</v>
      </c>
      <c r="AJ147" t="n">
        <v>0</v>
      </c>
      <c r="AK147" t="n">
        <v>0</v>
      </c>
      <c r="AL147" t="n">
        <v>1</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HYPERLINK("https://creighton-primo.hosted.exlibrisgroup.com/primo-explore/search?tab=default_tab&amp;search_scope=EVERYTHING&amp;vid=01CRU&amp;lang=en_US&amp;offset=0&amp;query=any,contains,991004682279702656","Catalog Record")</f>
        <v/>
      </c>
      <c r="AT147">
        <f>HYPERLINK("http://www.worldcat.org/oclc/4572836","WorldCat Record")</f>
        <v/>
      </c>
      <c r="AU147" t="inlineStr">
        <is>
          <t>968754511:eng</t>
        </is>
      </c>
      <c r="AV147" t="inlineStr">
        <is>
          <t>4572836</t>
        </is>
      </c>
      <c r="AW147" t="inlineStr">
        <is>
          <t>991004682279702656</t>
        </is>
      </c>
      <c r="AX147" t="inlineStr">
        <is>
          <t>991004682279702656</t>
        </is>
      </c>
      <c r="AY147" t="inlineStr">
        <is>
          <t>2259805980002656</t>
        </is>
      </c>
      <c r="AZ147" t="inlineStr">
        <is>
          <t>BOOK</t>
        </is>
      </c>
      <c r="BC147" t="inlineStr">
        <is>
          <t>32285000912468</t>
        </is>
      </c>
      <c r="BD147" t="inlineStr">
        <is>
          <t>893624964</t>
        </is>
      </c>
    </row>
    <row r="148">
      <c r="A148" t="inlineStr">
        <is>
          <t>No</t>
        </is>
      </c>
      <c r="B148" t="inlineStr">
        <is>
          <t>NK4210.H32 L4 1990</t>
        </is>
      </c>
      <c r="C148" t="inlineStr">
        <is>
          <t>0                      NK 4210000H  32                 L  4           1990</t>
        </is>
      </c>
      <c r="D148" t="inlineStr">
        <is>
          <t>Hamada, potter / by Bernard Leach ; with a new preface by Warren MacKenzie ; foreword by Janet Darnell Leach.</t>
        </is>
      </c>
      <c r="F148" t="inlineStr">
        <is>
          <t>No</t>
        </is>
      </c>
      <c r="G148" t="inlineStr">
        <is>
          <t>1</t>
        </is>
      </c>
      <c r="H148" t="inlineStr">
        <is>
          <t>No</t>
        </is>
      </c>
      <c r="I148" t="inlineStr">
        <is>
          <t>No</t>
        </is>
      </c>
      <c r="J148" t="inlineStr">
        <is>
          <t>0</t>
        </is>
      </c>
      <c r="K148" t="inlineStr">
        <is>
          <t>Leach, Bernard, 1887-1979.</t>
        </is>
      </c>
      <c r="L148" t="inlineStr">
        <is>
          <t>New York : Kodansha, 1990.</t>
        </is>
      </c>
      <c r="M148" t="inlineStr">
        <is>
          <t>1990</t>
        </is>
      </c>
      <c r="N148" t="inlineStr">
        <is>
          <t>1st pbk. ed.</t>
        </is>
      </c>
      <c r="O148" t="inlineStr">
        <is>
          <t>eng</t>
        </is>
      </c>
      <c r="P148" t="inlineStr">
        <is>
          <t>nyu</t>
        </is>
      </c>
      <c r="R148" t="inlineStr">
        <is>
          <t xml:space="preserve">NK </t>
        </is>
      </c>
      <c r="S148" t="n">
        <v>6</v>
      </c>
      <c r="T148" t="n">
        <v>6</v>
      </c>
      <c r="U148" t="inlineStr">
        <is>
          <t>1997-01-23</t>
        </is>
      </c>
      <c r="V148" t="inlineStr">
        <is>
          <t>1997-01-23</t>
        </is>
      </c>
      <c r="W148" t="inlineStr">
        <is>
          <t>1991-03-14</t>
        </is>
      </c>
      <c r="X148" t="inlineStr">
        <is>
          <t>1991-03-14</t>
        </is>
      </c>
      <c r="Y148" t="n">
        <v>323</v>
      </c>
      <c r="Z148" t="n">
        <v>276</v>
      </c>
      <c r="AA148" t="n">
        <v>837</v>
      </c>
      <c r="AB148" t="n">
        <v>5</v>
      </c>
      <c r="AC148" t="n">
        <v>6</v>
      </c>
      <c r="AD148" t="n">
        <v>9</v>
      </c>
      <c r="AE148" t="n">
        <v>21</v>
      </c>
      <c r="AF148" t="n">
        <v>4</v>
      </c>
      <c r="AG148" t="n">
        <v>10</v>
      </c>
      <c r="AH148" t="n">
        <v>0</v>
      </c>
      <c r="AI148" t="n">
        <v>5</v>
      </c>
      <c r="AJ148" t="n">
        <v>4</v>
      </c>
      <c r="AK148" t="n">
        <v>8</v>
      </c>
      <c r="AL148" t="n">
        <v>3</v>
      </c>
      <c r="AM148" t="n">
        <v>4</v>
      </c>
      <c r="AN148" t="n">
        <v>0</v>
      </c>
      <c r="AO148" t="n">
        <v>0</v>
      </c>
      <c r="AP148" t="inlineStr">
        <is>
          <t>No</t>
        </is>
      </c>
      <c r="AQ148" t="inlineStr">
        <is>
          <t>Yes</t>
        </is>
      </c>
      <c r="AR148">
        <f>HYPERLINK("http://catalog.hathitrust.org/Record/002238180","HathiTrust Record")</f>
        <v/>
      </c>
      <c r="AS148">
        <f>HYPERLINK("https://creighton-primo.hosted.exlibrisgroup.com/primo-explore/search?tab=default_tab&amp;search_scope=EVERYTHING&amp;vid=01CRU&amp;lang=en_US&amp;offset=0&amp;query=any,contains,991001671769702656","Catalog Record")</f>
        <v/>
      </c>
      <c r="AT148">
        <f>HYPERLINK("http://www.worldcat.org/oclc/21295168","WorldCat Record")</f>
        <v/>
      </c>
      <c r="AU148" t="inlineStr">
        <is>
          <t>58708323:eng</t>
        </is>
      </c>
      <c r="AV148" t="inlineStr">
        <is>
          <t>21295168</t>
        </is>
      </c>
      <c r="AW148" t="inlineStr">
        <is>
          <t>991001671769702656</t>
        </is>
      </c>
      <c r="AX148" t="inlineStr">
        <is>
          <t>991001671769702656</t>
        </is>
      </c>
      <c r="AY148" t="inlineStr">
        <is>
          <t>2267965900002656</t>
        </is>
      </c>
      <c r="AZ148" t="inlineStr">
        <is>
          <t>BOOK</t>
        </is>
      </c>
      <c r="BB148" t="inlineStr">
        <is>
          <t>9780870118289</t>
        </is>
      </c>
      <c r="BC148" t="inlineStr">
        <is>
          <t>32285000512136</t>
        </is>
      </c>
      <c r="BD148" t="inlineStr">
        <is>
          <t>893903518</t>
        </is>
      </c>
    </row>
    <row r="149">
      <c r="A149" t="inlineStr">
        <is>
          <t>No</t>
        </is>
      </c>
      <c r="B149" t="inlineStr">
        <is>
          <t>NK4210.P5 R2813 1985</t>
        </is>
      </c>
      <c r="C149" t="inlineStr">
        <is>
          <t>0                      NK 4210000P  5                  R  2813        1985</t>
        </is>
      </c>
      <c r="D149" t="inlineStr">
        <is>
          <t>Ceramics of Picasso / Georges Ramié ; translation by Kenneth Lyons.</t>
        </is>
      </c>
      <c r="F149" t="inlineStr">
        <is>
          <t>No</t>
        </is>
      </c>
      <c r="G149" t="inlineStr">
        <is>
          <t>1</t>
        </is>
      </c>
      <c r="H149" t="inlineStr">
        <is>
          <t>No</t>
        </is>
      </c>
      <c r="I149" t="inlineStr">
        <is>
          <t>No</t>
        </is>
      </c>
      <c r="J149" t="inlineStr">
        <is>
          <t>0</t>
        </is>
      </c>
      <c r="K149" t="inlineStr">
        <is>
          <t>Ramié, Georges.</t>
        </is>
      </c>
      <c r="L149" t="inlineStr">
        <is>
          <t>Barcelona : Ediciones Polígrafa, c1985.</t>
        </is>
      </c>
      <c r="M149" t="inlineStr">
        <is>
          <t>1985</t>
        </is>
      </c>
      <c r="O149" t="inlineStr">
        <is>
          <t>eng</t>
        </is>
      </c>
      <c r="P149" t="inlineStr">
        <is>
          <t xml:space="preserve">sp </t>
        </is>
      </c>
      <c r="R149" t="inlineStr">
        <is>
          <t xml:space="preserve">NK </t>
        </is>
      </c>
      <c r="S149" t="n">
        <v>8</v>
      </c>
      <c r="T149" t="n">
        <v>8</v>
      </c>
      <c r="U149" t="inlineStr">
        <is>
          <t>1999-02-07</t>
        </is>
      </c>
      <c r="V149" t="inlineStr">
        <is>
          <t>1999-02-07</t>
        </is>
      </c>
      <c r="W149" t="inlineStr">
        <is>
          <t>1992-08-14</t>
        </is>
      </c>
      <c r="X149" t="inlineStr">
        <is>
          <t>1992-08-14</t>
        </is>
      </c>
      <c r="Y149" t="n">
        <v>303</v>
      </c>
      <c r="Z149" t="n">
        <v>237</v>
      </c>
      <c r="AA149" t="n">
        <v>238</v>
      </c>
      <c r="AB149" t="n">
        <v>3</v>
      </c>
      <c r="AC149" t="n">
        <v>3</v>
      </c>
      <c r="AD149" t="n">
        <v>3</v>
      </c>
      <c r="AE149" t="n">
        <v>3</v>
      </c>
      <c r="AF149" t="n">
        <v>2</v>
      </c>
      <c r="AG149" t="n">
        <v>2</v>
      </c>
      <c r="AH149" t="n">
        <v>0</v>
      </c>
      <c r="AI149" t="n">
        <v>0</v>
      </c>
      <c r="AJ149" t="n">
        <v>1</v>
      </c>
      <c r="AK149" t="n">
        <v>1</v>
      </c>
      <c r="AL149" t="n">
        <v>1</v>
      </c>
      <c r="AM149" t="n">
        <v>1</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HYPERLINK("https://creighton-primo.hosted.exlibrisgroup.com/primo-explore/search?tab=default_tab&amp;search_scope=EVERYTHING&amp;vid=01CRU&amp;lang=en_US&amp;offset=0&amp;query=any,contains,991000747319702656","Catalog Record")</f>
        <v/>
      </c>
      <c r="AT149">
        <f>HYPERLINK("http://www.worldcat.org/oclc/12877445","WorldCat Record")</f>
        <v/>
      </c>
      <c r="AU149" t="inlineStr">
        <is>
          <t>4241266385:eng</t>
        </is>
      </c>
      <c r="AV149" t="inlineStr">
        <is>
          <t>12877445</t>
        </is>
      </c>
      <c r="AW149" t="inlineStr">
        <is>
          <t>991000747319702656</t>
        </is>
      </c>
      <c r="AX149" t="inlineStr">
        <is>
          <t>991000747319702656</t>
        </is>
      </c>
      <c r="AY149" t="inlineStr">
        <is>
          <t>2257390170002656</t>
        </is>
      </c>
      <c r="AZ149" t="inlineStr">
        <is>
          <t>BOOK</t>
        </is>
      </c>
      <c r="BB149" t="inlineStr">
        <is>
          <t>9788434304246</t>
        </is>
      </c>
      <c r="BC149" t="inlineStr">
        <is>
          <t>32285001245884</t>
        </is>
      </c>
      <c r="BD149" t="inlineStr">
        <is>
          <t>893702401</t>
        </is>
      </c>
    </row>
    <row r="150">
      <c r="A150" t="inlineStr">
        <is>
          <t>No</t>
        </is>
      </c>
      <c r="B150" t="inlineStr">
        <is>
          <t>NK4210.R5 B57 1989</t>
        </is>
      </c>
      <c r="C150" t="inlineStr">
        <is>
          <t>0                      NK 4210000R  5                  B  57          1989</t>
        </is>
      </c>
      <c r="D150" t="inlineStr">
        <is>
          <t>Lucie Rie / Tony Birks.</t>
        </is>
      </c>
      <c r="F150" t="inlineStr">
        <is>
          <t>No</t>
        </is>
      </c>
      <c r="G150" t="inlineStr">
        <is>
          <t>1</t>
        </is>
      </c>
      <c r="H150" t="inlineStr">
        <is>
          <t>No</t>
        </is>
      </c>
      <c r="I150" t="inlineStr">
        <is>
          <t>No</t>
        </is>
      </c>
      <c r="J150" t="inlineStr">
        <is>
          <t>0</t>
        </is>
      </c>
      <c r="K150" t="inlineStr">
        <is>
          <t>Birks, Tony.</t>
        </is>
      </c>
      <c r="L150" t="inlineStr">
        <is>
          <t>Radnor, Pa. : Chilton Trade Book Pub., 1989, c1987.</t>
        </is>
      </c>
      <c r="M150" t="inlineStr">
        <is>
          <t>1989</t>
        </is>
      </c>
      <c r="O150" t="inlineStr">
        <is>
          <t>eng</t>
        </is>
      </c>
      <c r="P150" t="inlineStr">
        <is>
          <t>pau</t>
        </is>
      </c>
      <c r="R150" t="inlineStr">
        <is>
          <t xml:space="preserve">NK </t>
        </is>
      </c>
      <c r="S150" t="n">
        <v>10</v>
      </c>
      <c r="T150" t="n">
        <v>10</v>
      </c>
      <c r="U150" t="inlineStr">
        <is>
          <t>2006-09-16</t>
        </is>
      </c>
      <c r="V150" t="inlineStr">
        <is>
          <t>2006-09-16</t>
        </is>
      </c>
      <c r="W150" t="inlineStr">
        <is>
          <t>1992-08-14</t>
        </is>
      </c>
      <c r="X150" t="inlineStr">
        <is>
          <t>1992-08-14</t>
        </is>
      </c>
      <c r="Y150" t="n">
        <v>276</v>
      </c>
      <c r="Z150" t="n">
        <v>267</v>
      </c>
      <c r="AA150" t="n">
        <v>268</v>
      </c>
      <c r="AB150" t="n">
        <v>2</v>
      </c>
      <c r="AC150" t="n">
        <v>2</v>
      </c>
      <c r="AD150" t="n">
        <v>4</v>
      </c>
      <c r="AE150" t="n">
        <v>4</v>
      </c>
      <c r="AF150" t="n">
        <v>2</v>
      </c>
      <c r="AG150" t="n">
        <v>2</v>
      </c>
      <c r="AH150" t="n">
        <v>2</v>
      </c>
      <c r="AI150" t="n">
        <v>2</v>
      </c>
      <c r="AJ150" t="n">
        <v>2</v>
      </c>
      <c r="AK150" t="n">
        <v>2</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HYPERLINK("https://creighton-primo.hosted.exlibrisgroup.com/primo-explore/search?tab=default_tab&amp;search_scope=EVERYTHING&amp;vid=01CRU&amp;lang=en_US&amp;offset=0&amp;query=any,contains,991001350949702656","Catalog Record")</f>
        <v/>
      </c>
      <c r="AT150">
        <f>HYPERLINK("http://www.worldcat.org/oclc/18441938","WorldCat Record")</f>
        <v/>
      </c>
      <c r="AU150" t="inlineStr">
        <is>
          <t>8907500718:eng</t>
        </is>
      </c>
      <c r="AV150" t="inlineStr">
        <is>
          <t>18441938</t>
        </is>
      </c>
      <c r="AW150" t="inlineStr">
        <is>
          <t>991001350949702656</t>
        </is>
      </c>
      <c r="AX150" t="inlineStr">
        <is>
          <t>991001350949702656</t>
        </is>
      </c>
      <c r="AY150" t="inlineStr">
        <is>
          <t>2269174020002656</t>
        </is>
      </c>
      <c r="AZ150" t="inlineStr">
        <is>
          <t>BOOK</t>
        </is>
      </c>
      <c r="BB150" t="inlineStr">
        <is>
          <t>9780801979620</t>
        </is>
      </c>
      <c r="BC150" t="inlineStr">
        <is>
          <t>32285001245876</t>
        </is>
      </c>
      <c r="BD150" t="inlineStr">
        <is>
          <t>893803564</t>
        </is>
      </c>
    </row>
    <row r="151">
      <c r="A151" t="inlineStr">
        <is>
          <t>No</t>
        </is>
      </c>
      <c r="B151" t="inlineStr">
        <is>
          <t>NK4210.W4 D65 2004</t>
        </is>
      </c>
      <c r="C151" t="inlineStr">
        <is>
          <t>0                      NK 4210000W  4                  D  65          2004</t>
        </is>
      </c>
      <c r="D151" t="inlineStr">
        <is>
          <t>Wedgwood : the first tycoon / Brian Dolan.</t>
        </is>
      </c>
      <c r="F151" t="inlineStr">
        <is>
          <t>No</t>
        </is>
      </c>
      <c r="G151" t="inlineStr">
        <is>
          <t>1</t>
        </is>
      </c>
      <c r="H151" t="inlineStr">
        <is>
          <t>No</t>
        </is>
      </c>
      <c r="I151" t="inlineStr">
        <is>
          <t>No</t>
        </is>
      </c>
      <c r="J151" t="inlineStr">
        <is>
          <t>0</t>
        </is>
      </c>
      <c r="K151" t="inlineStr">
        <is>
          <t>Dolan, Brian, 1970-</t>
        </is>
      </c>
      <c r="L151" t="inlineStr">
        <is>
          <t>New York : Viking, 2004.</t>
        </is>
      </c>
      <c r="M151" t="inlineStr">
        <is>
          <t>2004</t>
        </is>
      </c>
      <c r="O151" t="inlineStr">
        <is>
          <t>eng</t>
        </is>
      </c>
      <c r="P151" t="inlineStr">
        <is>
          <t>nyu</t>
        </is>
      </c>
      <c r="R151" t="inlineStr">
        <is>
          <t xml:space="preserve">NK </t>
        </is>
      </c>
      <c r="S151" t="n">
        <v>1</v>
      </c>
      <c r="T151" t="n">
        <v>1</v>
      </c>
      <c r="U151" t="inlineStr">
        <is>
          <t>2004-12-07</t>
        </is>
      </c>
      <c r="V151" t="inlineStr">
        <is>
          <t>2004-12-07</t>
        </is>
      </c>
      <c r="W151" t="inlineStr">
        <is>
          <t>2004-12-07</t>
        </is>
      </c>
      <c r="X151" t="inlineStr">
        <is>
          <t>2004-12-07</t>
        </is>
      </c>
      <c r="Y151" t="n">
        <v>619</v>
      </c>
      <c r="Z151" t="n">
        <v>566</v>
      </c>
      <c r="AA151" t="n">
        <v>572</v>
      </c>
      <c r="AB151" t="n">
        <v>6</v>
      </c>
      <c r="AC151" t="n">
        <v>6</v>
      </c>
      <c r="AD151" t="n">
        <v>19</v>
      </c>
      <c r="AE151" t="n">
        <v>19</v>
      </c>
      <c r="AF151" t="n">
        <v>8</v>
      </c>
      <c r="AG151" t="n">
        <v>8</v>
      </c>
      <c r="AH151" t="n">
        <v>2</v>
      </c>
      <c r="AI151" t="n">
        <v>2</v>
      </c>
      <c r="AJ151" t="n">
        <v>8</v>
      </c>
      <c r="AK151" t="n">
        <v>8</v>
      </c>
      <c r="AL151" t="n">
        <v>4</v>
      </c>
      <c r="AM151" t="n">
        <v>4</v>
      </c>
      <c r="AN151" t="n">
        <v>0</v>
      </c>
      <c r="AO151" t="n">
        <v>0</v>
      </c>
      <c r="AP151" t="inlineStr">
        <is>
          <t>No</t>
        </is>
      </c>
      <c r="AQ151" t="inlineStr">
        <is>
          <t>Yes</t>
        </is>
      </c>
      <c r="AR151">
        <f>HYPERLINK("http://catalog.hathitrust.org/Record/004912982","HathiTrust Record")</f>
        <v/>
      </c>
      <c r="AS151">
        <f>HYPERLINK("https://creighton-primo.hosted.exlibrisgroup.com/primo-explore/search?tab=default_tab&amp;search_scope=EVERYTHING&amp;vid=01CRU&amp;lang=en_US&amp;offset=0&amp;query=any,contains,991004419369702656","Catalog Record")</f>
        <v/>
      </c>
      <c r="AT151">
        <f>HYPERLINK("http://www.worldcat.org/oclc/55085826","WorldCat Record")</f>
        <v/>
      </c>
      <c r="AU151" t="inlineStr">
        <is>
          <t>291587569:eng</t>
        </is>
      </c>
      <c r="AV151" t="inlineStr">
        <is>
          <t>55085826</t>
        </is>
      </c>
      <c r="AW151" t="inlineStr">
        <is>
          <t>991004419369702656</t>
        </is>
      </c>
      <c r="AX151" t="inlineStr">
        <is>
          <t>991004419369702656</t>
        </is>
      </c>
      <c r="AY151" t="inlineStr">
        <is>
          <t>2258940000002656</t>
        </is>
      </c>
      <c r="AZ151" t="inlineStr">
        <is>
          <t>BOOK</t>
        </is>
      </c>
      <c r="BB151" t="inlineStr">
        <is>
          <t>9780670033461</t>
        </is>
      </c>
      <c r="BC151" t="inlineStr">
        <is>
          <t>32285005015507</t>
        </is>
      </c>
      <c r="BD151" t="inlineStr">
        <is>
          <t>893513215</t>
        </is>
      </c>
    </row>
    <row r="152">
      <c r="A152" t="inlineStr">
        <is>
          <t>No</t>
        </is>
      </c>
      <c r="B152" t="inlineStr">
        <is>
          <t>NK4215.C4 C6</t>
        </is>
      </c>
      <c r="C152" t="inlineStr">
        <is>
          <t>0                      NK 4215000C  4                  C  6</t>
        </is>
      </c>
      <c r="D152" t="inlineStr">
        <is>
          <t>Collectors handbook of marks &amp; monograms on pottery &amp; porcelain / by Wm. Chaffers ; edited by Frederick Lichfield ; assisted by R. L. Hobson and Justus Brinkman.</t>
        </is>
      </c>
      <c r="F152" t="inlineStr">
        <is>
          <t>No</t>
        </is>
      </c>
      <c r="G152" t="inlineStr">
        <is>
          <t>1</t>
        </is>
      </c>
      <c r="H152" t="inlineStr">
        <is>
          <t>No</t>
        </is>
      </c>
      <c r="I152" t="inlineStr">
        <is>
          <t>No</t>
        </is>
      </c>
      <c r="J152" t="inlineStr">
        <is>
          <t>0</t>
        </is>
      </c>
      <c r="K152" t="inlineStr">
        <is>
          <t>Chaffers, William, 1811-1892.</t>
        </is>
      </c>
      <c r="L152" t="inlineStr">
        <is>
          <t>Alhambra, CA ; [Los Angeles] : Borden Pub. Co., 1947.</t>
        </is>
      </c>
      <c r="M152" t="inlineStr">
        <is>
          <t>1947</t>
        </is>
      </c>
      <c r="N152" t="inlineStr">
        <is>
          <t>[New ed.]</t>
        </is>
      </c>
      <c r="O152" t="inlineStr">
        <is>
          <t>eng</t>
        </is>
      </c>
      <c r="P152" t="inlineStr">
        <is>
          <t>cau</t>
        </is>
      </c>
      <c r="R152" t="inlineStr">
        <is>
          <t xml:space="preserve">NK </t>
        </is>
      </c>
      <c r="S152" t="n">
        <v>2</v>
      </c>
      <c r="T152" t="n">
        <v>2</v>
      </c>
      <c r="U152" t="inlineStr">
        <is>
          <t>2001-06-12</t>
        </is>
      </c>
      <c r="V152" t="inlineStr">
        <is>
          <t>2001-06-12</t>
        </is>
      </c>
      <c r="W152" t="inlineStr">
        <is>
          <t>1995-05-16</t>
        </is>
      </c>
      <c r="X152" t="inlineStr">
        <is>
          <t>1995-05-16</t>
        </is>
      </c>
      <c r="Y152" t="n">
        <v>244</v>
      </c>
      <c r="Z152" t="n">
        <v>236</v>
      </c>
      <c r="AA152" t="n">
        <v>513</v>
      </c>
      <c r="AB152" t="n">
        <v>4</v>
      </c>
      <c r="AC152" t="n">
        <v>5</v>
      </c>
      <c r="AD152" t="n">
        <v>5</v>
      </c>
      <c r="AE152" t="n">
        <v>9</v>
      </c>
      <c r="AF152" t="n">
        <v>1</v>
      </c>
      <c r="AG152" t="n">
        <v>1</v>
      </c>
      <c r="AH152" t="n">
        <v>1</v>
      </c>
      <c r="AI152" t="n">
        <v>3</v>
      </c>
      <c r="AJ152" t="n">
        <v>1</v>
      </c>
      <c r="AK152" t="n">
        <v>4</v>
      </c>
      <c r="AL152" t="n">
        <v>2</v>
      </c>
      <c r="AM152" t="n">
        <v>2</v>
      </c>
      <c r="AN152" t="n">
        <v>0</v>
      </c>
      <c r="AO152" t="n">
        <v>0</v>
      </c>
      <c r="AP152" t="inlineStr">
        <is>
          <t>No</t>
        </is>
      </c>
      <c r="AQ152" t="inlineStr">
        <is>
          <t>No</t>
        </is>
      </c>
      <c r="AR152">
        <f>HYPERLINK("http://catalog.hathitrust.org/Record/102435510","HathiTrust Record")</f>
        <v/>
      </c>
      <c r="AS152">
        <f>HYPERLINK("https://creighton-primo.hosted.exlibrisgroup.com/primo-explore/search?tab=default_tab&amp;search_scope=EVERYTHING&amp;vid=01CRU&amp;lang=en_US&amp;offset=0&amp;query=any,contains,991003668909702656","Catalog Record")</f>
        <v/>
      </c>
      <c r="AT152">
        <f>HYPERLINK("http://www.worldcat.org/oclc/1285008","WorldCat Record")</f>
        <v/>
      </c>
      <c r="AU152" t="inlineStr">
        <is>
          <t>3855426499:eng</t>
        </is>
      </c>
      <c r="AV152" t="inlineStr">
        <is>
          <t>1285008</t>
        </is>
      </c>
      <c r="AW152" t="inlineStr">
        <is>
          <t>991003668909702656</t>
        </is>
      </c>
      <c r="AX152" t="inlineStr">
        <is>
          <t>991003668909702656</t>
        </is>
      </c>
      <c r="AY152" t="inlineStr">
        <is>
          <t>2265430680002656</t>
        </is>
      </c>
      <c r="AZ152" t="inlineStr">
        <is>
          <t>BOOK</t>
        </is>
      </c>
      <c r="BC152" t="inlineStr">
        <is>
          <t>32285002034238</t>
        </is>
      </c>
      <c r="BD152" t="inlineStr">
        <is>
          <t>893525082</t>
        </is>
      </c>
    </row>
    <row r="153">
      <c r="A153" t="inlineStr">
        <is>
          <t>No</t>
        </is>
      </c>
      <c r="B153" t="inlineStr">
        <is>
          <t>NK4225 .P83</t>
        </is>
      </c>
      <c r="C153" t="inlineStr">
        <is>
          <t>0                      NK 4225000P  83</t>
        </is>
      </c>
      <c r="D153" t="inlineStr">
        <is>
          <t>Ceramics, and how to decorate them.</t>
        </is>
      </c>
      <c r="F153" t="inlineStr">
        <is>
          <t>No</t>
        </is>
      </c>
      <c r="G153" t="inlineStr">
        <is>
          <t>1</t>
        </is>
      </c>
      <c r="H153" t="inlineStr">
        <is>
          <t>No</t>
        </is>
      </c>
      <c r="I153" t="inlineStr">
        <is>
          <t>No</t>
        </is>
      </c>
      <c r="J153" t="inlineStr">
        <is>
          <t>0</t>
        </is>
      </c>
      <c r="K153" t="inlineStr">
        <is>
          <t>Priolo, Joan B.</t>
        </is>
      </c>
      <c r="L153" t="inlineStr">
        <is>
          <t>New York : Sterling Pub. Co., [1958]</t>
        </is>
      </c>
      <c r="M153" t="inlineStr">
        <is>
          <t>1958</t>
        </is>
      </c>
      <c r="O153" t="inlineStr">
        <is>
          <t>eng</t>
        </is>
      </c>
      <c r="P153" t="inlineStr">
        <is>
          <t>nyu</t>
        </is>
      </c>
      <c r="R153" t="inlineStr">
        <is>
          <t xml:space="preserve">NK </t>
        </is>
      </c>
      <c r="S153" t="n">
        <v>7</v>
      </c>
      <c r="T153" t="n">
        <v>7</v>
      </c>
      <c r="U153" t="inlineStr">
        <is>
          <t>1993-12-06</t>
        </is>
      </c>
      <c r="V153" t="inlineStr">
        <is>
          <t>1993-12-06</t>
        </is>
      </c>
      <c r="W153" t="inlineStr">
        <is>
          <t>1990-02-21</t>
        </is>
      </c>
      <c r="X153" t="inlineStr">
        <is>
          <t>1990-02-21</t>
        </is>
      </c>
      <c r="Y153" t="n">
        <v>493</v>
      </c>
      <c r="Z153" t="n">
        <v>456</v>
      </c>
      <c r="AA153" t="n">
        <v>495</v>
      </c>
      <c r="AB153" t="n">
        <v>4</v>
      </c>
      <c r="AC153" t="n">
        <v>4</v>
      </c>
      <c r="AD153" t="n">
        <v>4</v>
      </c>
      <c r="AE153" t="n">
        <v>4</v>
      </c>
      <c r="AF153" t="n">
        <v>1</v>
      </c>
      <c r="AG153" t="n">
        <v>1</v>
      </c>
      <c r="AH153" t="n">
        <v>0</v>
      </c>
      <c r="AI153" t="n">
        <v>0</v>
      </c>
      <c r="AJ153" t="n">
        <v>2</v>
      </c>
      <c r="AK153" t="n">
        <v>2</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HYPERLINK("https://creighton-primo.hosted.exlibrisgroup.com/primo-explore/search?tab=default_tab&amp;search_scope=EVERYTHING&amp;vid=01CRU&amp;lang=en_US&amp;offset=0&amp;query=any,contains,991003191289702656","Catalog Record")</f>
        <v/>
      </c>
      <c r="AT153">
        <f>HYPERLINK("http://www.worldcat.org/oclc/716530","WorldCat Record")</f>
        <v/>
      </c>
      <c r="AU153" t="inlineStr">
        <is>
          <t>1687930:eng</t>
        </is>
      </c>
      <c r="AV153" t="inlineStr">
        <is>
          <t>716530</t>
        </is>
      </c>
      <c r="AW153" t="inlineStr">
        <is>
          <t>991003191289702656</t>
        </is>
      </c>
      <c r="AX153" t="inlineStr">
        <is>
          <t>991003191289702656</t>
        </is>
      </c>
      <c r="AY153" t="inlineStr">
        <is>
          <t>2259476490002656</t>
        </is>
      </c>
      <c r="AZ153" t="inlineStr">
        <is>
          <t>BOOK</t>
        </is>
      </c>
      <c r="BC153" t="inlineStr">
        <is>
          <t>32285000043975</t>
        </is>
      </c>
      <c r="BD153" t="inlineStr">
        <is>
          <t>893505298</t>
        </is>
      </c>
    </row>
    <row r="154">
      <c r="A154" t="inlineStr">
        <is>
          <t>No</t>
        </is>
      </c>
      <c r="B154" t="inlineStr">
        <is>
          <t>NK4225 .T7 1966</t>
        </is>
      </c>
      <c r="C154" t="inlineStr">
        <is>
          <t>0                      NK 4225000T  7           1966</t>
        </is>
      </c>
      <c r="D154" t="inlineStr">
        <is>
          <t>Pottery step-by-step / by Henry Trevor.</t>
        </is>
      </c>
      <c r="F154" t="inlineStr">
        <is>
          <t>No</t>
        </is>
      </c>
      <c r="G154" t="inlineStr">
        <is>
          <t>1</t>
        </is>
      </c>
      <c r="H154" t="inlineStr">
        <is>
          <t>No</t>
        </is>
      </c>
      <c r="I154" t="inlineStr">
        <is>
          <t>No</t>
        </is>
      </c>
      <c r="J154" t="inlineStr">
        <is>
          <t>0</t>
        </is>
      </c>
      <c r="K154" t="inlineStr">
        <is>
          <t>Trevor, Henry.</t>
        </is>
      </c>
      <c r="L154" t="inlineStr">
        <is>
          <t>New York : Watson-Guptill Publications, [1966]</t>
        </is>
      </c>
      <c r="M154" t="inlineStr">
        <is>
          <t>1966</t>
        </is>
      </c>
      <c r="O154" t="inlineStr">
        <is>
          <t>eng</t>
        </is>
      </c>
      <c r="P154" t="inlineStr">
        <is>
          <t>nyu</t>
        </is>
      </c>
      <c r="R154" t="inlineStr">
        <is>
          <t xml:space="preserve">NK </t>
        </is>
      </c>
      <c r="S154" t="n">
        <v>14</v>
      </c>
      <c r="T154" t="n">
        <v>14</v>
      </c>
      <c r="U154" t="inlineStr">
        <is>
          <t>2001-03-16</t>
        </is>
      </c>
      <c r="V154" t="inlineStr">
        <is>
          <t>2001-03-16</t>
        </is>
      </c>
      <c r="W154" t="inlineStr">
        <is>
          <t>1992-03-30</t>
        </is>
      </c>
      <c r="X154" t="inlineStr">
        <is>
          <t>1992-03-30</t>
        </is>
      </c>
      <c r="Y154" t="n">
        <v>715</v>
      </c>
      <c r="Z154" t="n">
        <v>688</v>
      </c>
      <c r="AA154" t="n">
        <v>700</v>
      </c>
      <c r="AB154" t="n">
        <v>6</v>
      </c>
      <c r="AC154" t="n">
        <v>6</v>
      </c>
      <c r="AD154" t="n">
        <v>8</v>
      </c>
      <c r="AE154" t="n">
        <v>8</v>
      </c>
      <c r="AF154" t="n">
        <v>4</v>
      </c>
      <c r="AG154" t="n">
        <v>4</v>
      </c>
      <c r="AH154" t="n">
        <v>1</v>
      </c>
      <c r="AI154" t="n">
        <v>1</v>
      </c>
      <c r="AJ154" t="n">
        <v>1</v>
      </c>
      <c r="AK154" t="n">
        <v>1</v>
      </c>
      <c r="AL154" t="n">
        <v>3</v>
      </c>
      <c r="AM154" t="n">
        <v>3</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HYPERLINK("https://creighton-primo.hosted.exlibrisgroup.com/primo-explore/search?tab=default_tab&amp;search_scope=EVERYTHING&amp;vid=01CRU&amp;lang=en_US&amp;offset=0&amp;query=any,contains,991002392129702656","Catalog Record")</f>
        <v/>
      </c>
      <c r="AT154">
        <f>HYPERLINK("http://www.worldcat.org/oclc/332891","WorldCat Record")</f>
        <v/>
      </c>
      <c r="AU154" t="inlineStr">
        <is>
          <t>61117569:eng</t>
        </is>
      </c>
      <c r="AV154" t="inlineStr">
        <is>
          <t>332891</t>
        </is>
      </c>
      <c r="AW154" t="inlineStr">
        <is>
          <t>991002392129702656</t>
        </is>
      </c>
      <c r="AX154" t="inlineStr">
        <is>
          <t>991002392129702656</t>
        </is>
      </c>
      <c r="AY154" t="inlineStr">
        <is>
          <t>2257884780002656</t>
        </is>
      </c>
      <c r="AZ154" t="inlineStr">
        <is>
          <t>BOOK</t>
        </is>
      </c>
      <c r="BC154" t="inlineStr">
        <is>
          <t>32285001041382</t>
        </is>
      </c>
      <c r="BD154" t="inlineStr">
        <is>
          <t>893792405</t>
        </is>
      </c>
    </row>
    <row r="155">
      <c r="A155" t="inlineStr">
        <is>
          <t>No</t>
        </is>
      </c>
      <c r="B155" t="inlineStr">
        <is>
          <t>NK4235 .F54 2005</t>
        </is>
      </c>
      <c r="C155" t="inlineStr">
        <is>
          <t>0                      NK 4235000F  54          2005</t>
        </is>
      </c>
      <c r="D155" t="inlineStr">
        <is>
          <t>The figure in clay : contemporary sculpting techniques by master artists, Arleo, Boger, Burns, González, Jeck, Novak, Smith, Takamori, Walsh / [editor, Suzanne J..E. Tourtillott].</t>
        </is>
      </c>
      <c r="F155" t="inlineStr">
        <is>
          <t>No</t>
        </is>
      </c>
      <c r="G155" t="inlineStr">
        <is>
          <t>1</t>
        </is>
      </c>
      <c r="H155" t="inlineStr">
        <is>
          <t>No</t>
        </is>
      </c>
      <c r="I155" t="inlineStr">
        <is>
          <t>No</t>
        </is>
      </c>
      <c r="J155" t="inlineStr">
        <is>
          <t>0</t>
        </is>
      </c>
      <c r="L155" t="inlineStr">
        <is>
          <t>New York : Lark Books, c2005.</t>
        </is>
      </c>
      <c r="M155" t="inlineStr">
        <is>
          <t>2005</t>
        </is>
      </c>
      <c r="N155" t="inlineStr">
        <is>
          <t>1st ed.</t>
        </is>
      </c>
      <c r="O155" t="inlineStr">
        <is>
          <t>eng</t>
        </is>
      </c>
      <c r="P155" t="inlineStr">
        <is>
          <t>nyu</t>
        </is>
      </c>
      <c r="Q155" t="inlineStr">
        <is>
          <t>A Lark ceramics book</t>
        </is>
      </c>
      <c r="R155" t="inlineStr">
        <is>
          <t xml:space="preserve">NK </t>
        </is>
      </c>
      <c r="S155" t="n">
        <v>3</v>
      </c>
      <c r="T155" t="n">
        <v>3</v>
      </c>
      <c r="U155" t="inlineStr">
        <is>
          <t>2007-08-23</t>
        </is>
      </c>
      <c r="V155" t="inlineStr">
        <is>
          <t>2007-08-23</t>
        </is>
      </c>
      <c r="W155" t="inlineStr">
        <is>
          <t>2006-02-08</t>
        </is>
      </c>
      <c r="X155" t="inlineStr">
        <is>
          <t>2006-02-08</t>
        </is>
      </c>
      <c r="Y155" t="n">
        <v>892</v>
      </c>
      <c r="Z155" t="n">
        <v>816</v>
      </c>
      <c r="AA155" t="n">
        <v>916</v>
      </c>
      <c r="AB155" t="n">
        <v>5</v>
      </c>
      <c r="AC155" t="n">
        <v>5</v>
      </c>
      <c r="AD155" t="n">
        <v>18</v>
      </c>
      <c r="AE155" t="n">
        <v>18</v>
      </c>
      <c r="AF155" t="n">
        <v>8</v>
      </c>
      <c r="AG155" t="n">
        <v>8</v>
      </c>
      <c r="AH155" t="n">
        <v>3</v>
      </c>
      <c r="AI155" t="n">
        <v>3</v>
      </c>
      <c r="AJ155" t="n">
        <v>6</v>
      </c>
      <c r="AK155" t="n">
        <v>6</v>
      </c>
      <c r="AL155" t="n">
        <v>4</v>
      </c>
      <c r="AM155" t="n">
        <v>4</v>
      </c>
      <c r="AN155" t="n">
        <v>0</v>
      </c>
      <c r="AO155" t="n">
        <v>0</v>
      </c>
      <c r="AP155" t="inlineStr">
        <is>
          <t>No</t>
        </is>
      </c>
      <c r="AQ155" t="inlineStr">
        <is>
          <t>Yes</t>
        </is>
      </c>
      <c r="AR155">
        <f>HYPERLINK("http://catalog.hathitrust.org/Record/005137095","HathiTrust Record")</f>
        <v/>
      </c>
      <c r="AS155">
        <f>HYPERLINK("https://creighton-primo.hosted.exlibrisgroup.com/primo-explore/search?tab=default_tab&amp;search_scope=EVERYTHING&amp;vid=01CRU&amp;lang=en_US&amp;offset=0&amp;query=any,contains,991004701399702656","Catalog Record")</f>
        <v/>
      </c>
      <c r="AT155">
        <f>HYPERLINK("http://www.worldcat.org/oclc/57143256","WorldCat Record")</f>
        <v/>
      </c>
      <c r="AU155" t="inlineStr">
        <is>
          <t>905740799:eng</t>
        </is>
      </c>
      <c r="AV155" t="inlineStr">
        <is>
          <t>57143256</t>
        </is>
      </c>
      <c r="AW155" t="inlineStr">
        <is>
          <t>991004701399702656</t>
        </is>
      </c>
      <c r="AX155" t="inlineStr">
        <is>
          <t>991004701399702656</t>
        </is>
      </c>
      <c r="AY155" t="inlineStr">
        <is>
          <t>2272799380002656</t>
        </is>
      </c>
      <c r="AZ155" t="inlineStr">
        <is>
          <t>BOOK</t>
        </is>
      </c>
      <c r="BB155" t="inlineStr">
        <is>
          <t>9781579906115</t>
        </is>
      </c>
      <c r="BC155" t="inlineStr">
        <is>
          <t>32285005157598</t>
        </is>
      </c>
      <c r="BD155" t="inlineStr">
        <is>
          <t>893776333</t>
        </is>
      </c>
    </row>
    <row r="156">
      <c r="A156" t="inlineStr">
        <is>
          <t>No</t>
        </is>
      </c>
      <c r="B156" t="inlineStr">
        <is>
          <t>NK4235 .K56 1986</t>
        </is>
      </c>
      <c r="C156" t="inlineStr">
        <is>
          <t>0                      NK 4235000K  56          1986</t>
        </is>
      </c>
      <c r="D156" t="inlineStr">
        <is>
          <t>Ceramic masterpieces : art, structure, and technology / W. David Kingery, Pamela B. Vandiver.</t>
        </is>
      </c>
      <c r="F156" t="inlineStr">
        <is>
          <t>No</t>
        </is>
      </c>
      <c r="G156" t="inlineStr">
        <is>
          <t>1</t>
        </is>
      </c>
      <c r="H156" t="inlineStr">
        <is>
          <t>No</t>
        </is>
      </c>
      <c r="I156" t="inlineStr">
        <is>
          <t>No</t>
        </is>
      </c>
      <c r="J156" t="inlineStr">
        <is>
          <t>0</t>
        </is>
      </c>
      <c r="K156" t="inlineStr">
        <is>
          <t>Kingery, W. D.</t>
        </is>
      </c>
      <c r="L156" t="inlineStr">
        <is>
          <t>New York : Free Press ; London : Collier Macmillan, c1986.</t>
        </is>
      </c>
      <c r="M156" t="inlineStr">
        <is>
          <t>1986</t>
        </is>
      </c>
      <c r="O156" t="inlineStr">
        <is>
          <t>eng</t>
        </is>
      </c>
      <c r="P156" t="inlineStr">
        <is>
          <t>nyu</t>
        </is>
      </c>
      <c r="R156" t="inlineStr">
        <is>
          <t xml:space="preserve">NK </t>
        </is>
      </c>
      <c r="S156" t="n">
        <v>3</v>
      </c>
      <c r="T156" t="n">
        <v>3</v>
      </c>
      <c r="U156" t="inlineStr">
        <is>
          <t>2000-05-30</t>
        </is>
      </c>
      <c r="V156" t="inlineStr">
        <is>
          <t>2000-05-30</t>
        </is>
      </c>
      <c r="W156" t="inlineStr">
        <is>
          <t>1990-02-08</t>
        </is>
      </c>
      <c r="X156" t="inlineStr">
        <is>
          <t>1990-02-08</t>
        </is>
      </c>
      <c r="Y156" t="n">
        <v>504</v>
      </c>
      <c r="Z156" t="n">
        <v>440</v>
      </c>
      <c r="AA156" t="n">
        <v>443</v>
      </c>
      <c r="AB156" t="n">
        <v>5</v>
      </c>
      <c r="AC156" t="n">
        <v>5</v>
      </c>
      <c r="AD156" t="n">
        <v>16</v>
      </c>
      <c r="AE156" t="n">
        <v>16</v>
      </c>
      <c r="AF156" t="n">
        <v>6</v>
      </c>
      <c r="AG156" t="n">
        <v>6</v>
      </c>
      <c r="AH156" t="n">
        <v>3</v>
      </c>
      <c r="AI156" t="n">
        <v>3</v>
      </c>
      <c r="AJ156" t="n">
        <v>8</v>
      </c>
      <c r="AK156" t="n">
        <v>8</v>
      </c>
      <c r="AL156" t="n">
        <v>3</v>
      </c>
      <c r="AM156" t="n">
        <v>3</v>
      </c>
      <c r="AN156" t="n">
        <v>0</v>
      </c>
      <c r="AO156" t="n">
        <v>0</v>
      </c>
      <c r="AP156" t="inlineStr">
        <is>
          <t>No</t>
        </is>
      </c>
      <c r="AQ156" t="inlineStr">
        <is>
          <t>Yes</t>
        </is>
      </c>
      <c r="AR156">
        <f>HYPERLINK("http://catalog.hathitrust.org/Record/000674124","HathiTrust Record")</f>
        <v/>
      </c>
      <c r="AS156">
        <f>HYPERLINK("https://creighton-primo.hosted.exlibrisgroup.com/primo-explore/search?tab=default_tab&amp;search_scope=EVERYTHING&amp;vid=01CRU&amp;lang=en_US&amp;offset=0&amp;query=any,contains,991005406049702656","Catalog Record")</f>
        <v/>
      </c>
      <c r="AT156">
        <f>HYPERLINK("http://www.worldcat.org/oclc/12946691","WorldCat Record")</f>
        <v/>
      </c>
      <c r="AU156" t="inlineStr">
        <is>
          <t>890444653:eng</t>
        </is>
      </c>
      <c r="AV156" t="inlineStr">
        <is>
          <t>12946691</t>
        </is>
      </c>
      <c r="AW156" t="inlineStr">
        <is>
          <t>991005406049702656</t>
        </is>
      </c>
      <c r="AX156" t="inlineStr">
        <is>
          <t>991005406049702656</t>
        </is>
      </c>
      <c r="AY156" t="inlineStr">
        <is>
          <t>2271084530002656</t>
        </is>
      </c>
      <c r="AZ156" t="inlineStr">
        <is>
          <t>BOOK</t>
        </is>
      </c>
      <c r="BB156" t="inlineStr">
        <is>
          <t>9780029184806</t>
        </is>
      </c>
      <c r="BC156" t="inlineStr">
        <is>
          <t>32285000008549</t>
        </is>
      </c>
      <c r="BD156" t="inlineStr">
        <is>
          <t>893613655</t>
        </is>
      </c>
    </row>
    <row r="157">
      <c r="A157" t="inlineStr">
        <is>
          <t>No</t>
        </is>
      </c>
      <c r="B157" t="inlineStr">
        <is>
          <t>NK4235 .R3</t>
        </is>
      </c>
      <c r="C157" t="inlineStr">
        <is>
          <t>0                      NK 4235000R  3</t>
        </is>
      </c>
      <c r="D157" t="inlineStr">
        <is>
          <t>Ceramic sculpture.</t>
        </is>
      </c>
      <c r="F157" t="inlineStr">
        <is>
          <t>No</t>
        </is>
      </c>
      <c r="G157" t="inlineStr">
        <is>
          <t>1</t>
        </is>
      </c>
      <c r="H157" t="inlineStr">
        <is>
          <t>No</t>
        </is>
      </c>
      <c r="I157" t="inlineStr">
        <is>
          <t>No</t>
        </is>
      </c>
      <c r="J157" t="inlineStr">
        <is>
          <t>0</t>
        </is>
      </c>
      <c r="K157" t="inlineStr">
        <is>
          <t>Randall, Ruth Hunie.</t>
        </is>
      </c>
      <c r="L157" t="inlineStr">
        <is>
          <t>New York : Watson-Guptill Publications, [1948]</t>
        </is>
      </c>
      <c r="M157" t="inlineStr">
        <is>
          <t>1948</t>
        </is>
      </c>
      <c r="O157" t="inlineStr">
        <is>
          <t>eng</t>
        </is>
      </c>
      <c r="P157" t="inlineStr">
        <is>
          <t xml:space="preserve">xx </t>
        </is>
      </c>
      <c r="Q157" t="inlineStr">
        <is>
          <t>Step by step series</t>
        </is>
      </c>
      <c r="R157" t="inlineStr">
        <is>
          <t xml:space="preserve">NK </t>
        </is>
      </c>
      <c r="S157" t="n">
        <v>2</v>
      </c>
      <c r="T157" t="n">
        <v>2</v>
      </c>
      <c r="U157" t="inlineStr">
        <is>
          <t>1994-09-15</t>
        </is>
      </c>
      <c r="V157" t="inlineStr">
        <is>
          <t>1994-09-15</t>
        </is>
      </c>
      <c r="W157" t="inlineStr">
        <is>
          <t>1990-12-28</t>
        </is>
      </c>
      <c r="X157" t="inlineStr">
        <is>
          <t>1990-12-28</t>
        </is>
      </c>
      <c r="Y157" t="n">
        <v>230</v>
      </c>
      <c r="Z157" t="n">
        <v>222</v>
      </c>
      <c r="AA157" t="n">
        <v>239</v>
      </c>
      <c r="AB157" t="n">
        <v>5</v>
      </c>
      <c r="AC157" t="n">
        <v>5</v>
      </c>
      <c r="AD157" t="n">
        <v>7</v>
      </c>
      <c r="AE157" t="n">
        <v>7</v>
      </c>
      <c r="AF157" t="n">
        <v>1</v>
      </c>
      <c r="AG157" t="n">
        <v>1</v>
      </c>
      <c r="AH157" t="n">
        <v>1</v>
      </c>
      <c r="AI157" t="n">
        <v>1</v>
      </c>
      <c r="AJ157" t="n">
        <v>1</v>
      </c>
      <c r="AK157" t="n">
        <v>1</v>
      </c>
      <c r="AL157" t="n">
        <v>4</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HYPERLINK("https://creighton-primo.hosted.exlibrisgroup.com/primo-explore/search?tab=default_tab&amp;search_scope=EVERYTHING&amp;vid=01CRU&amp;lang=en_US&amp;offset=0&amp;query=any,contains,991003695689702656","Catalog Record")</f>
        <v/>
      </c>
      <c r="AT157">
        <f>HYPERLINK("http://www.worldcat.org/oclc/1327784","WorldCat Record")</f>
        <v/>
      </c>
      <c r="AU157" t="inlineStr">
        <is>
          <t>2211580:eng</t>
        </is>
      </c>
      <c r="AV157" t="inlineStr">
        <is>
          <t>1327784</t>
        </is>
      </c>
      <c r="AW157" t="inlineStr">
        <is>
          <t>991003695689702656</t>
        </is>
      </c>
      <c r="AX157" t="inlineStr">
        <is>
          <t>991003695689702656</t>
        </is>
      </c>
      <c r="AY157" t="inlineStr">
        <is>
          <t>2258629140002656</t>
        </is>
      </c>
      <c r="AZ157" t="inlineStr">
        <is>
          <t>BOOK</t>
        </is>
      </c>
      <c r="BC157" t="inlineStr">
        <is>
          <t>32285000426303</t>
        </is>
      </c>
      <c r="BD157" t="inlineStr">
        <is>
          <t>893705524</t>
        </is>
      </c>
    </row>
    <row r="158">
      <c r="A158" t="inlineStr">
        <is>
          <t>No</t>
        </is>
      </c>
      <c r="B158" t="inlineStr">
        <is>
          <t>NK4235 .S6 1983</t>
        </is>
      </c>
      <c r="C158" t="inlineStr">
        <is>
          <t>0                      NK 4235000S  6           1983</t>
        </is>
      </c>
      <c r="D158" t="inlineStr">
        <is>
          <t>Images in clay sculpture : historical and contemporary techniques / Charlotte F. Speight.</t>
        </is>
      </c>
      <c r="F158" t="inlineStr">
        <is>
          <t>No</t>
        </is>
      </c>
      <c r="G158" t="inlineStr">
        <is>
          <t>1</t>
        </is>
      </c>
      <c r="H158" t="inlineStr">
        <is>
          <t>No</t>
        </is>
      </c>
      <c r="I158" t="inlineStr">
        <is>
          <t>No</t>
        </is>
      </c>
      <c r="J158" t="inlineStr">
        <is>
          <t>0</t>
        </is>
      </c>
      <c r="K158" t="inlineStr">
        <is>
          <t>Speight, Charlotte F., 1919-</t>
        </is>
      </c>
      <c r="L158" t="inlineStr">
        <is>
          <t>New York : Harper &amp; Row, c1983.</t>
        </is>
      </c>
      <c r="M158" t="inlineStr">
        <is>
          <t>1983</t>
        </is>
      </c>
      <c r="N158" t="inlineStr">
        <is>
          <t>1st ed.</t>
        </is>
      </c>
      <c r="O158" t="inlineStr">
        <is>
          <t>eng</t>
        </is>
      </c>
      <c r="P158" t="inlineStr">
        <is>
          <t>nyu</t>
        </is>
      </c>
      <c r="Q158" t="inlineStr">
        <is>
          <t>Icon editions</t>
        </is>
      </c>
      <c r="R158" t="inlineStr">
        <is>
          <t xml:space="preserve">NK </t>
        </is>
      </c>
      <c r="S158" t="n">
        <v>2</v>
      </c>
      <c r="T158" t="n">
        <v>2</v>
      </c>
      <c r="U158" t="inlineStr">
        <is>
          <t>1995-02-09</t>
        </is>
      </c>
      <c r="V158" t="inlineStr">
        <is>
          <t>1995-02-09</t>
        </is>
      </c>
      <c r="W158" t="inlineStr">
        <is>
          <t>1992-10-10</t>
        </is>
      </c>
      <c r="X158" t="inlineStr">
        <is>
          <t>1992-10-10</t>
        </is>
      </c>
      <c r="Y158" t="n">
        <v>686</v>
      </c>
      <c r="Z158" t="n">
        <v>595</v>
      </c>
      <c r="AA158" t="n">
        <v>597</v>
      </c>
      <c r="AB158" t="n">
        <v>3</v>
      </c>
      <c r="AC158" t="n">
        <v>3</v>
      </c>
      <c r="AD158" t="n">
        <v>18</v>
      </c>
      <c r="AE158" t="n">
        <v>18</v>
      </c>
      <c r="AF158" t="n">
        <v>9</v>
      </c>
      <c r="AG158" t="n">
        <v>9</v>
      </c>
      <c r="AH158" t="n">
        <v>4</v>
      </c>
      <c r="AI158" t="n">
        <v>4</v>
      </c>
      <c r="AJ158" t="n">
        <v>7</v>
      </c>
      <c r="AK158" t="n">
        <v>7</v>
      </c>
      <c r="AL158" t="n">
        <v>2</v>
      </c>
      <c r="AM158" t="n">
        <v>2</v>
      </c>
      <c r="AN158" t="n">
        <v>0</v>
      </c>
      <c r="AO158" t="n">
        <v>0</v>
      </c>
      <c r="AP158" t="inlineStr">
        <is>
          <t>No</t>
        </is>
      </c>
      <c r="AQ158" t="inlineStr">
        <is>
          <t>Yes</t>
        </is>
      </c>
      <c r="AR158">
        <f>HYPERLINK("http://catalog.hathitrust.org/Record/003501889","HathiTrust Record")</f>
        <v/>
      </c>
      <c r="AS158">
        <f>HYPERLINK("https://creighton-primo.hosted.exlibrisgroup.com/primo-explore/search?tab=default_tab&amp;search_scope=EVERYTHING&amp;vid=01CRU&amp;lang=en_US&amp;offset=0&amp;query=any,contains,991000173859702656","Catalog Record")</f>
        <v/>
      </c>
      <c r="AT158">
        <f>HYPERLINK("http://www.worldcat.org/oclc/9325270","WorldCat Record")</f>
        <v/>
      </c>
      <c r="AU158" t="inlineStr">
        <is>
          <t>836717551:eng</t>
        </is>
      </c>
      <c r="AV158" t="inlineStr">
        <is>
          <t>9325270</t>
        </is>
      </c>
      <c r="AW158" t="inlineStr">
        <is>
          <t>991000173859702656</t>
        </is>
      </c>
      <c r="AX158" t="inlineStr">
        <is>
          <t>991000173859702656</t>
        </is>
      </c>
      <c r="AY158" t="inlineStr">
        <is>
          <t>2267565150002656</t>
        </is>
      </c>
      <c r="AZ158" t="inlineStr">
        <is>
          <t>BOOK</t>
        </is>
      </c>
      <c r="BB158" t="inlineStr">
        <is>
          <t>9780064301275</t>
        </is>
      </c>
      <c r="BC158" t="inlineStr">
        <is>
          <t>32285001346435</t>
        </is>
      </c>
      <c r="BD158" t="inlineStr">
        <is>
          <t>893406998</t>
        </is>
      </c>
    </row>
    <row r="159">
      <c r="A159" t="inlineStr">
        <is>
          <t>No</t>
        </is>
      </c>
      <c r="B159" t="inlineStr">
        <is>
          <t>NK4340.S5 F8313</t>
        </is>
      </c>
      <c r="C159" t="inlineStr">
        <is>
          <t>0                      NK 4340000S  5                  F  8313</t>
        </is>
      </c>
      <c r="D159" t="inlineStr">
        <is>
          <t>Shino and Oribe ceramics / Ryoichi Fujioka ; translated and adapted by Samuel Crowell Morse. --</t>
        </is>
      </c>
      <c r="F159" t="inlineStr">
        <is>
          <t>No</t>
        </is>
      </c>
      <c r="G159" t="inlineStr">
        <is>
          <t>1</t>
        </is>
      </c>
      <c r="H159" t="inlineStr">
        <is>
          <t>No</t>
        </is>
      </c>
      <c r="I159" t="inlineStr">
        <is>
          <t>No</t>
        </is>
      </c>
      <c r="J159" t="inlineStr">
        <is>
          <t>0</t>
        </is>
      </c>
      <c r="K159" t="inlineStr">
        <is>
          <t>Fujioka, Ryōichi, 1909-</t>
        </is>
      </c>
      <c r="L159" t="inlineStr">
        <is>
          <t>Tokyo : Kodansha International ; New York : distributed through Harper &amp; Row, 1977.</t>
        </is>
      </c>
      <c r="M159" t="inlineStr">
        <is>
          <t>1977</t>
        </is>
      </c>
      <c r="N159" t="inlineStr">
        <is>
          <t>1st ed. --</t>
        </is>
      </c>
      <c r="O159" t="inlineStr">
        <is>
          <t>eng</t>
        </is>
      </c>
      <c r="P159" t="inlineStr">
        <is>
          <t xml:space="preserve">ja </t>
        </is>
      </c>
      <c r="Q159" t="inlineStr">
        <is>
          <t>Japanese arts library ; v. 1</t>
        </is>
      </c>
      <c r="R159" t="inlineStr">
        <is>
          <t xml:space="preserve">NK </t>
        </is>
      </c>
      <c r="S159" t="n">
        <v>12</v>
      </c>
      <c r="T159" t="n">
        <v>12</v>
      </c>
      <c r="U159" t="inlineStr">
        <is>
          <t>2005-10-25</t>
        </is>
      </c>
      <c r="V159" t="inlineStr">
        <is>
          <t>2005-10-25</t>
        </is>
      </c>
      <c r="W159" t="inlineStr">
        <is>
          <t>1992-03-17</t>
        </is>
      </c>
      <c r="X159" t="inlineStr">
        <is>
          <t>1992-03-17</t>
        </is>
      </c>
      <c r="Y159" t="n">
        <v>622</v>
      </c>
      <c r="Z159" t="n">
        <v>526</v>
      </c>
      <c r="AA159" t="n">
        <v>528</v>
      </c>
      <c r="AB159" t="n">
        <v>3</v>
      </c>
      <c r="AC159" t="n">
        <v>3</v>
      </c>
      <c r="AD159" t="n">
        <v>12</v>
      </c>
      <c r="AE159" t="n">
        <v>12</v>
      </c>
      <c r="AF159" t="n">
        <v>6</v>
      </c>
      <c r="AG159" t="n">
        <v>6</v>
      </c>
      <c r="AH159" t="n">
        <v>3</v>
      </c>
      <c r="AI159" t="n">
        <v>3</v>
      </c>
      <c r="AJ159" t="n">
        <v>4</v>
      </c>
      <c r="AK159" t="n">
        <v>4</v>
      </c>
      <c r="AL159" t="n">
        <v>2</v>
      </c>
      <c r="AM159" t="n">
        <v>2</v>
      </c>
      <c r="AN159" t="n">
        <v>0</v>
      </c>
      <c r="AO159" t="n">
        <v>0</v>
      </c>
      <c r="AP159" t="inlineStr">
        <is>
          <t>No</t>
        </is>
      </c>
      <c r="AQ159" t="inlineStr">
        <is>
          <t>Yes</t>
        </is>
      </c>
      <c r="AR159">
        <f>HYPERLINK("http://catalog.hathitrust.org/Record/000293824","HathiTrust Record")</f>
        <v/>
      </c>
      <c r="AS159">
        <f>HYPERLINK("https://creighton-primo.hosted.exlibrisgroup.com/primo-explore/search?tab=default_tab&amp;search_scope=EVERYTHING&amp;vid=01CRU&amp;lang=en_US&amp;offset=0&amp;query=any,contains,991004366009702656","Catalog Record")</f>
        <v/>
      </c>
      <c r="AT159">
        <f>HYPERLINK("http://www.worldcat.org/oclc/3169552","WorldCat Record")</f>
        <v/>
      </c>
      <c r="AU159" t="inlineStr">
        <is>
          <t>181243970:eng</t>
        </is>
      </c>
      <c r="AV159" t="inlineStr">
        <is>
          <t>3169552</t>
        </is>
      </c>
      <c r="AW159" t="inlineStr">
        <is>
          <t>991004366009702656</t>
        </is>
      </c>
      <c r="AX159" t="inlineStr">
        <is>
          <t>991004366009702656</t>
        </is>
      </c>
      <c r="AY159" t="inlineStr">
        <is>
          <t>2263199350002656</t>
        </is>
      </c>
      <c r="AZ159" t="inlineStr">
        <is>
          <t>BOOK</t>
        </is>
      </c>
      <c r="BB159" t="inlineStr">
        <is>
          <t>9780870112843</t>
        </is>
      </c>
      <c r="BC159" t="inlineStr">
        <is>
          <t>32285001023562</t>
        </is>
      </c>
      <c r="BD159" t="inlineStr">
        <is>
          <t>893446165</t>
        </is>
      </c>
    </row>
    <row r="160">
      <c r="A160" t="inlineStr">
        <is>
          <t>No</t>
        </is>
      </c>
      <c r="B160" t="inlineStr">
        <is>
          <t>NK4399.K87 N3413</t>
        </is>
      </c>
      <c r="C160" t="inlineStr">
        <is>
          <t>0                      NK 4399000K  87                 N  3413</t>
        </is>
      </c>
      <c r="D160" t="inlineStr">
        <is>
          <t>Kutani ware / Sensaku Nakagawa ; translated and adapted by John Bester.</t>
        </is>
      </c>
      <c r="F160" t="inlineStr">
        <is>
          <t>No</t>
        </is>
      </c>
      <c r="G160" t="inlineStr">
        <is>
          <t>1</t>
        </is>
      </c>
      <c r="H160" t="inlineStr">
        <is>
          <t>No</t>
        </is>
      </c>
      <c r="I160" t="inlineStr">
        <is>
          <t>No</t>
        </is>
      </c>
      <c r="J160" t="inlineStr">
        <is>
          <t>0</t>
        </is>
      </c>
      <c r="K160" t="inlineStr">
        <is>
          <t>Nakagawa, Sensaku, 1910-1976 or 1977.</t>
        </is>
      </c>
      <c r="L160" t="inlineStr">
        <is>
          <t>Tokyo ; New York : Kodansha International : New York : distributed in the U.S. by Kodansha International/USA through Harper &amp; Row, 1979.</t>
        </is>
      </c>
      <c r="M160" t="inlineStr">
        <is>
          <t>1979</t>
        </is>
      </c>
      <c r="N160" t="inlineStr">
        <is>
          <t>1st ed.</t>
        </is>
      </c>
      <c r="O160" t="inlineStr">
        <is>
          <t>eng</t>
        </is>
      </c>
      <c r="P160" t="inlineStr">
        <is>
          <t xml:space="preserve">ja </t>
        </is>
      </c>
      <c r="Q160" t="inlineStr">
        <is>
          <t>Japanese arts library</t>
        </is>
      </c>
      <c r="R160" t="inlineStr">
        <is>
          <t xml:space="preserve">NK </t>
        </is>
      </c>
      <c r="S160" t="n">
        <v>5</v>
      </c>
      <c r="T160" t="n">
        <v>5</v>
      </c>
      <c r="U160" t="inlineStr">
        <is>
          <t>1998-12-02</t>
        </is>
      </c>
      <c r="V160" t="inlineStr">
        <is>
          <t>1998-12-02</t>
        </is>
      </c>
      <c r="W160" t="inlineStr">
        <is>
          <t>1993-06-01</t>
        </is>
      </c>
      <c r="X160" t="inlineStr">
        <is>
          <t>1993-06-01</t>
        </is>
      </c>
      <c r="Y160" t="n">
        <v>424</v>
      </c>
      <c r="Z160" t="n">
        <v>318</v>
      </c>
      <c r="AA160" t="n">
        <v>324</v>
      </c>
      <c r="AB160" t="n">
        <v>2</v>
      </c>
      <c r="AC160" t="n">
        <v>2</v>
      </c>
      <c r="AD160" t="n">
        <v>9</v>
      </c>
      <c r="AE160" t="n">
        <v>9</v>
      </c>
      <c r="AF160" t="n">
        <v>3</v>
      </c>
      <c r="AG160" t="n">
        <v>3</v>
      </c>
      <c r="AH160" t="n">
        <v>4</v>
      </c>
      <c r="AI160" t="n">
        <v>4</v>
      </c>
      <c r="AJ160" t="n">
        <v>4</v>
      </c>
      <c r="AK160" t="n">
        <v>4</v>
      </c>
      <c r="AL160" t="n">
        <v>1</v>
      </c>
      <c r="AM160" t="n">
        <v>1</v>
      </c>
      <c r="AN160" t="n">
        <v>0</v>
      </c>
      <c r="AO160" t="n">
        <v>0</v>
      </c>
      <c r="AP160" t="inlineStr">
        <is>
          <t>No</t>
        </is>
      </c>
      <c r="AQ160" t="inlineStr">
        <is>
          <t>Yes</t>
        </is>
      </c>
      <c r="AR160">
        <f>HYPERLINK("http://catalog.hathitrust.org/Record/000743951","HathiTrust Record")</f>
        <v/>
      </c>
      <c r="AS160">
        <f>HYPERLINK("https://creighton-primo.hosted.exlibrisgroup.com/primo-explore/search?tab=default_tab&amp;search_scope=EVERYTHING&amp;vid=01CRU&amp;lang=en_US&amp;offset=0&amp;query=any,contains,991004664279702656","Catalog Record")</f>
        <v/>
      </c>
      <c r="AT160">
        <f>HYPERLINK("http://www.worldcat.org/oclc/4499851","WorldCat Record")</f>
        <v/>
      </c>
      <c r="AU160" t="inlineStr">
        <is>
          <t>3856196661:eng</t>
        </is>
      </c>
      <c r="AV160" t="inlineStr">
        <is>
          <t>4499851</t>
        </is>
      </c>
      <c r="AW160" t="inlineStr">
        <is>
          <t>991004664279702656</t>
        </is>
      </c>
      <c r="AX160" t="inlineStr">
        <is>
          <t>991004664279702656</t>
        </is>
      </c>
      <c r="AY160" t="inlineStr">
        <is>
          <t>2266009140002656</t>
        </is>
      </c>
      <c r="AZ160" t="inlineStr">
        <is>
          <t>BOOK</t>
        </is>
      </c>
      <c r="BB160" t="inlineStr">
        <is>
          <t>9780870113222</t>
        </is>
      </c>
      <c r="BC160" t="inlineStr">
        <is>
          <t>32285001716223</t>
        </is>
      </c>
      <c r="BD160" t="inlineStr">
        <is>
          <t>893869956</t>
        </is>
      </c>
    </row>
    <row r="161">
      <c r="A161" t="inlineStr">
        <is>
          <t>No</t>
        </is>
      </c>
      <c r="B161" t="inlineStr">
        <is>
          <t>NK4405 .F74 1989</t>
        </is>
      </c>
      <c r="C161" t="inlineStr">
        <is>
          <t>0                      NK 4405000F  74          1989</t>
        </is>
      </c>
      <c r="D161" t="inlineStr">
        <is>
          <t>American porcelain, 1770-1920 / Alice Cooney Frelinghuysen.</t>
        </is>
      </c>
      <c r="F161" t="inlineStr">
        <is>
          <t>No</t>
        </is>
      </c>
      <c r="G161" t="inlineStr">
        <is>
          <t>1</t>
        </is>
      </c>
      <c r="H161" t="inlineStr">
        <is>
          <t>No</t>
        </is>
      </c>
      <c r="I161" t="inlineStr">
        <is>
          <t>No</t>
        </is>
      </c>
      <c r="J161" t="inlineStr">
        <is>
          <t>0</t>
        </is>
      </c>
      <c r="K161" t="inlineStr">
        <is>
          <t>Frelinghuysen, Alice Cooney.</t>
        </is>
      </c>
      <c r="L161" t="inlineStr">
        <is>
          <t>New York : Metropolitan Museum of Art : Distributed by Harry N. Abrams, c1989.</t>
        </is>
      </c>
      <c r="M161" t="inlineStr">
        <is>
          <t>1989</t>
        </is>
      </c>
      <c r="O161" t="inlineStr">
        <is>
          <t>eng</t>
        </is>
      </c>
      <c r="P161" t="inlineStr">
        <is>
          <t>nyu</t>
        </is>
      </c>
      <c r="R161" t="inlineStr">
        <is>
          <t xml:space="preserve">NK </t>
        </is>
      </c>
      <c r="S161" t="n">
        <v>2</v>
      </c>
      <c r="T161" t="n">
        <v>2</v>
      </c>
      <c r="U161" t="inlineStr">
        <is>
          <t>1992-06-24</t>
        </is>
      </c>
      <c r="V161" t="inlineStr">
        <is>
          <t>1992-06-24</t>
        </is>
      </c>
      <c r="W161" t="inlineStr">
        <is>
          <t>1989-11-07</t>
        </is>
      </c>
      <c r="X161" t="inlineStr">
        <is>
          <t>1989-11-07</t>
        </is>
      </c>
      <c r="Y161" t="n">
        <v>518</v>
      </c>
      <c r="Z161" t="n">
        <v>473</v>
      </c>
      <c r="AA161" t="n">
        <v>527</v>
      </c>
      <c r="AB161" t="n">
        <v>2</v>
      </c>
      <c r="AC161" t="n">
        <v>3</v>
      </c>
      <c r="AD161" t="n">
        <v>11</v>
      </c>
      <c r="AE161" t="n">
        <v>12</v>
      </c>
      <c r="AF161" t="n">
        <v>4</v>
      </c>
      <c r="AG161" t="n">
        <v>4</v>
      </c>
      <c r="AH161" t="n">
        <v>3</v>
      </c>
      <c r="AI161" t="n">
        <v>3</v>
      </c>
      <c r="AJ161" t="n">
        <v>5</v>
      </c>
      <c r="AK161" t="n">
        <v>5</v>
      </c>
      <c r="AL161" t="n">
        <v>1</v>
      </c>
      <c r="AM161" t="n">
        <v>2</v>
      </c>
      <c r="AN161" t="n">
        <v>0</v>
      </c>
      <c r="AO161" t="n">
        <v>0</v>
      </c>
      <c r="AP161" t="inlineStr">
        <is>
          <t>No</t>
        </is>
      </c>
      <c r="AQ161" t="inlineStr">
        <is>
          <t>Yes</t>
        </is>
      </c>
      <c r="AR161">
        <f>HYPERLINK("http://catalog.hathitrust.org/Record/001825717","HathiTrust Record")</f>
        <v/>
      </c>
      <c r="AS161">
        <f>HYPERLINK("https://creighton-primo.hosted.exlibrisgroup.com/primo-explore/search?tab=default_tab&amp;search_scope=EVERYTHING&amp;vid=01CRU&amp;lang=en_US&amp;offset=0&amp;query=any,contains,991001419499702656","Catalog Record")</f>
        <v/>
      </c>
      <c r="AT161">
        <f>HYPERLINK("http://www.worldcat.org/oclc/18961959","WorldCat Record")</f>
        <v/>
      </c>
      <c r="AU161" t="inlineStr">
        <is>
          <t>18435976:eng</t>
        </is>
      </c>
      <c r="AV161" t="inlineStr">
        <is>
          <t>18961959</t>
        </is>
      </c>
      <c r="AW161" t="inlineStr">
        <is>
          <t>991001419499702656</t>
        </is>
      </c>
      <c r="AX161" t="inlineStr">
        <is>
          <t>991001419499702656</t>
        </is>
      </c>
      <c r="AY161" t="inlineStr">
        <is>
          <t>2263465060002656</t>
        </is>
      </c>
      <c r="AZ161" t="inlineStr">
        <is>
          <t>BOOK</t>
        </is>
      </c>
      <c r="BB161" t="inlineStr">
        <is>
          <t>9780870995415</t>
        </is>
      </c>
      <c r="BC161" t="inlineStr">
        <is>
          <t>32285000011808</t>
        </is>
      </c>
      <c r="BD161" t="inlineStr">
        <is>
          <t>893516190</t>
        </is>
      </c>
    </row>
    <row r="162">
      <c r="A162" t="inlineStr">
        <is>
          <t>No</t>
        </is>
      </c>
      <c r="B162" t="inlineStr">
        <is>
          <t>NK4408 .H47 1980</t>
        </is>
      </c>
      <c r="C162" t="inlineStr">
        <is>
          <t>0                      NK 4408000H  47          1980</t>
        </is>
      </c>
      <c r="D162" t="inlineStr">
        <is>
          <t>American porcelain : new expressions in an ancient art / Lloyd E. Herman.</t>
        </is>
      </c>
      <c r="F162" t="inlineStr">
        <is>
          <t>No</t>
        </is>
      </c>
      <c r="G162" t="inlineStr">
        <is>
          <t>1</t>
        </is>
      </c>
      <c r="H162" t="inlineStr">
        <is>
          <t>No</t>
        </is>
      </c>
      <c r="I162" t="inlineStr">
        <is>
          <t>No</t>
        </is>
      </c>
      <c r="J162" t="inlineStr">
        <is>
          <t>0</t>
        </is>
      </c>
      <c r="K162" t="inlineStr">
        <is>
          <t>Herman, Lloyd E.</t>
        </is>
      </c>
      <c r="L162" t="inlineStr">
        <is>
          <t>Forest Grove, Or. : Timber Press, c1980.</t>
        </is>
      </c>
      <c r="M162" t="inlineStr">
        <is>
          <t>1980</t>
        </is>
      </c>
      <c r="O162" t="inlineStr">
        <is>
          <t>eng</t>
        </is>
      </c>
      <c r="P162" t="inlineStr">
        <is>
          <t>oru</t>
        </is>
      </c>
      <c r="R162" t="inlineStr">
        <is>
          <t xml:space="preserve">NK </t>
        </is>
      </c>
      <c r="S162" t="n">
        <v>7</v>
      </c>
      <c r="T162" t="n">
        <v>7</v>
      </c>
      <c r="U162" t="inlineStr">
        <is>
          <t>1994-09-25</t>
        </is>
      </c>
      <c r="V162" t="inlineStr">
        <is>
          <t>1994-09-25</t>
        </is>
      </c>
      <c r="W162" t="inlineStr">
        <is>
          <t>1992-03-31</t>
        </is>
      </c>
      <c r="X162" t="inlineStr">
        <is>
          <t>1992-03-31</t>
        </is>
      </c>
      <c r="Y162" t="n">
        <v>390</v>
      </c>
      <c r="Z162" t="n">
        <v>363</v>
      </c>
      <c r="AA162" t="n">
        <v>365</v>
      </c>
      <c r="AB162" t="n">
        <v>3</v>
      </c>
      <c r="AC162" t="n">
        <v>3</v>
      </c>
      <c r="AD162" t="n">
        <v>12</v>
      </c>
      <c r="AE162" t="n">
        <v>12</v>
      </c>
      <c r="AF162" t="n">
        <v>6</v>
      </c>
      <c r="AG162" t="n">
        <v>6</v>
      </c>
      <c r="AH162" t="n">
        <v>3</v>
      </c>
      <c r="AI162" t="n">
        <v>3</v>
      </c>
      <c r="AJ162" t="n">
        <v>3</v>
      </c>
      <c r="AK162" t="n">
        <v>3</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HYPERLINK("https://creighton-primo.hosted.exlibrisgroup.com/primo-explore/search?tab=default_tab&amp;search_scope=EVERYTHING&amp;vid=01CRU&amp;lang=en_US&amp;offset=0&amp;query=any,contains,991005072309702656","Catalog Record")</f>
        <v/>
      </c>
      <c r="AT162">
        <f>HYPERLINK("http://www.worldcat.org/oclc/7048805","WorldCat Record")</f>
        <v/>
      </c>
      <c r="AU162" t="inlineStr">
        <is>
          <t>25241204:eng</t>
        </is>
      </c>
      <c r="AV162" t="inlineStr">
        <is>
          <t>7048805</t>
        </is>
      </c>
      <c r="AW162" t="inlineStr">
        <is>
          <t>991005072309702656</t>
        </is>
      </c>
      <c r="AX162" t="inlineStr">
        <is>
          <t>991005072309702656</t>
        </is>
      </c>
      <c r="AY162" t="inlineStr">
        <is>
          <t>2256478990002656</t>
        </is>
      </c>
      <c r="AZ162" t="inlineStr">
        <is>
          <t>BOOK</t>
        </is>
      </c>
      <c r="BC162" t="inlineStr">
        <is>
          <t>32285001031128</t>
        </is>
      </c>
      <c r="BD162" t="inlineStr">
        <is>
          <t>893801676</t>
        </is>
      </c>
    </row>
    <row r="163">
      <c r="A163" t="inlineStr">
        <is>
          <t>No</t>
        </is>
      </c>
      <c r="B163" t="inlineStr">
        <is>
          <t>NK4499 .S28 1958a</t>
        </is>
      </c>
      <c r="C163" t="inlineStr">
        <is>
          <t>0                      NK 4499000S  28          1958a</t>
        </is>
      </c>
      <c r="D163" t="inlineStr">
        <is>
          <t>18th-century German porcelain / Foreword by H. Weinberg.</t>
        </is>
      </c>
      <c r="F163" t="inlineStr">
        <is>
          <t>No</t>
        </is>
      </c>
      <c r="G163" t="inlineStr">
        <is>
          <t>1</t>
        </is>
      </c>
      <c r="H163" t="inlineStr">
        <is>
          <t>No</t>
        </is>
      </c>
      <c r="I163" t="inlineStr">
        <is>
          <t>No</t>
        </is>
      </c>
      <c r="J163" t="inlineStr">
        <is>
          <t>0</t>
        </is>
      </c>
      <c r="K163" t="inlineStr">
        <is>
          <t>Savage, George, 1909-1982.</t>
        </is>
      </c>
      <c r="L163" t="inlineStr">
        <is>
          <t>New York, Macmillan [1958]</t>
        </is>
      </c>
      <c r="M163" t="inlineStr">
        <is>
          <t>1958</t>
        </is>
      </c>
      <c r="O163" t="inlineStr">
        <is>
          <t>eng</t>
        </is>
      </c>
      <c r="P163" t="inlineStr">
        <is>
          <t xml:space="preserve">xx </t>
        </is>
      </c>
      <c r="R163" t="inlineStr">
        <is>
          <t xml:space="preserve">NK </t>
        </is>
      </c>
      <c r="S163" t="n">
        <v>1</v>
      </c>
      <c r="T163" t="n">
        <v>1</v>
      </c>
      <c r="U163" t="inlineStr">
        <is>
          <t>2001-06-12</t>
        </is>
      </c>
      <c r="V163" t="inlineStr">
        <is>
          <t>2001-06-12</t>
        </is>
      </c>
      <c r="W163" t="inlineStr">
        <is>
          <t>1997-08-08</t>
        </is>
      </c>
      <c r="X163" t="inlineStr">
        <is>
          <t>1997-08-08</t>
        </is>
      </c>
      <c r="Y163" t="n">
        <v>64</v>
      </c>
      <c r="Z163" t="n">
        <v>61</v>
      </c>
      <c r="AA163" t="n">
        <v>247</v>
      </c>
      <c r="AB163" t="n">
        <v>2</v>
      </c>
      <c r="AC163" t="n">
        <v>2</v>
      </c>
      <c r="AD163" t="n">
        <v>0</v>
      </c>
      <c r="AE163" t="n">
        <v>4</v>
      </c>
      <c r="AF163" t="n">
        <v>0</v>
      </c>
      <c r="AG163" t="n">
        <v>2</v>
      </c>
      <c r="AH163" t="n">
        <v>0</v>
      </c>
      <c r="AI163" t="n">
        <v>1</v>
      </c>
      <c r="AJ163" t="n">
        <v>0</v>
      </c>
      <c r="AK163" t="n">
        <v>2</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HYPERLINK("https://creighton-primo.hosted.exlibrisgroup.com/primo-explore/search?tab=default_tab&amp;search_scope=EVERYTHING&amp;vid=01CRU&amp;lang=en_US&amp;offset=0&amp;query=any,contains,991003688549702656","Catalog Record")</f>
        <v/>
      </c>
      <c r="AT163">
        <f>HYPERLINK("http://www.worldcat.org/oclc/1317640","WorldCat Record")</f>
        <v/>
      </c>
      <c r="AU163" t="inlineStr">
        <is>
          <t>131895649:eng</t>
        </is>
      </c>
      <c r="AV163" t="inlineStr">
        <is>
          <t>1317640</t>
        </is>
      </c>
      <c r="AW163" t="inlineStr">
        <is>
          <t>991003688549702656</t>
        </is>
      </c>
      <c r="AX163" t="inlineStr">
        <is>
          <t>991003688549702656</t>
        </is>
      </c>
      <c r="AY163" t="inlineStr">
        <is>
          <t>2269310670002656</t>
        </is>
      </c>
      <c r="AZ163" t="inlineStr">
        <is>
          <t>BOOK</t>
        </is>
      </c>
      <c r="BC163" t="inlineStr">
        <is>
          <t>32285003032140</t>
        </is>
      </c>
      <c r="BD163" t="inlineStr">
        <is>
          <t>893627708</t>
        </is>
      </c>
    </row>
    <row r="164">
      <c r="A164" t="inlineStr">
        <is>
          <t>No</t>
        </is>
      </c>
      <c r="B164" t="inlineStr">
        <is>
          <t>NK4567 .J4 1965a</t>
        </is>
      </c>
      <c r="C164" t="inlineStr">
        <is>
          <t>0                      NK 4567000J  4           1965a</t>
        </is>
      </c>
      <c r="D164" t="inlineStr">
        <is>
          <t>Japanese porcelain, by Soame Jenyns.</t>
        </is>
      </c>
      <c r="F164" t="inlineStr">
        <is>
          <t>No</t>
        </is>
      </c>
      <c r="G164" t="inlineStr">
        <is>
          <t>1</t>
        </is>
      </c>
      <c r="H164" t="inlineStr">
        <is>
          <t>No</t>
        </is>
      </c>
      <c r="I164" t="inlineStr">
        <is>
          <t>No</t>
        </is>
      </c>
      <c r="J164" t="inlineStr">
        <is>
          <t>0</t>
        </is>
      </c>
      <c r="K164" t="inlineStr">
        <is>
          <t>Jenyns, Soame, 1904-1976.</t>
        </is>
      </c>
      <c r="L164" t="inlineStr">
        <is>
          <t>London, Faber, 1965.</t>
        </is>
      </c>
      <c r="M164" t="inlineStr">
        <is>
          <t>1965</t>
        </is>
      </c>
      <c r="O164" t="inlineStr">
        <is>
          <t>eng</t>
        </is>
      </c>
      <c r="P164" t="inlineStr">
        <is>
          <t>enk</t>
        </is>
      </c>
      <c r="Q164" t="inlineStr">
        <is>
          <t>Faber monographs on pottery and porcelain</t>
        </is>
      </c>
      <c r="R164" t="inlineStr">
        <is>
          <t xml:space="preserve">NK </t>
        </is>
      </c>
      <c r="S164" t="n">
        <v>2</v>
      </c>
      <c r="T164" t="n">
        <v>2</v>
      </c>
      <c r="U164" t="inlineStr">
        <is>
          <t>1999-03-03</t>
        </is>
      </c>
      <c r="V164" t="inlineStr">
        <is>
          <t>1999-03-03</t>
        </is>
      </c>
      <c r="W164" t="inlineStr">
        <is>
          <t>1997-08-07</t>
        </is>
      </c>
      <c r="X164" t="inlineStr">
        <is>
          <t>1997-08-07</t>
        </is>
      </c>
      <c r="Y164" t="n">
        <v>153</v>
      </c>
      <c r="Z164" t="n">
        <v>71</v>
      </c>
      <c r="AA164" t="n">
        <v>367</v>
      </c>
      <c r="AB164" t="n">
        <v>1</v>
      </c>
      <c r="AC164" t="n">
        <v>2</v>
      </c>
      <c r="AD164" t="n">
        <v>2</v>
      </c>
      <c r="AE164" t="n">
        <v>12</v>
      </c>
      <c r="AF164" t="n">
        <v>0</v>
      </c>
      <c r="AG164" t="n">
        <v>4</v>
      </c>
      <c r="AH164" t="n">
        <v>2</v>
      </c>
      <c r="AI164" t="n">
        <v>4</v>
      </c>
      <c r="AJ164" t="n">
        <v>1</v>
      </c>
      <c r="AK164" t="n">
        <v>7</v>
      </c>
      <c r="AL164" t="n">
        <v>0</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HYPERLINK("https://creighton-primo.hosted.exlibrisgroup.com/primo-explore/search?tab=default_tab&amp;search_scope=EVERYTHING&amp;vid=01CRU&amp;lang=en_US&amp;offset=0&amp;query=any,contains,991004923869702656","Catalog Record")</f>
        <v/>
      </c>
      <c r="AT164">
        <f>HYPERLINK("http://www.worldcat.org/oclc/6069945","WorldCat Record")</f>
        <v/>
      </c>
      <c r="AU164" t="inlineStr">
        <is>
          <t>501581105:eng</t>
        </is>
      </c>
      <c r="AV164" t="inlineStr">
        <is>
          <t>6069945</t>
        </is>
      </c>
      <c r="AW164" t="inlineStr">
        <is>
          <t>991004923869702656</t>
        </is>
      </c>
      <c r="AX164" t="inlineStr">
        <is>
          <t>991004923869702656</t>
        </is>
      </c>
      <c r="AY164" t="inlineStr">
        <is>
          <t>2256545890002656</t>
        </is>
      </c>
      <c r="AZ164" t="inlineStr">
        <is>
          <t>BOOK</t>
        </is>
      </c>
      <c r="BC164" t="inlineStr">
        <is>
          <t>32285003047544</t>
        </is>
      </c>
      <c r="BD164" t="inlineStr">
        <is>
          <t>893700828</t>
        </is>
      </c>
    </row>
    <row r="165">
      <c r="A165" t="inlineStr">
        <is>
          <t>No</t>
        </is>
      </c>
      <c r="B165" t="inlineStr">
        <is>
          <t>NK4605.5.U63 C482 1996a</t>
        </is>
      </c>
      <c r="C165" t="inlineStr">
        <is>
          <t>0                      NK 4605500U  63                 C  482         1996a</t>
        </is>
      </c>
      <c r="D165" t="inlineStr">
        <is>
          <t>Sexual politics : Judy Chicago's Dinner party in feminist art history / Amelia Jones, editor ; with essays by Laura Cottingham ... [et al.].</t>
        </is>
      </c>
      <c r="F165" t="inlineStr">
        <is>
          <t>No</t>
        </is>
      </c>
      <c r="G165" t="inlineStr">
        <is>
          <t>1</t>
        </is>
      </c>
      <c r="H165" t="inlineStr">
        <is>
          <t>No</t>
        </is>
      </c>
      <c r="I165" t="inlineStr">
        <is>
          <t>No</t>
        </is>
      </c>
      <c r="J165" t="inlineStr">
        <is>
          <t>0</t>
        </is>
      </c>
      <c r="L165" t="inlineStr">
        <is>
          <t>[Los Angeles, CA] : UCLA at the Armand Hammer Museum of Art and Cultural Center in association with University of California Press, Berkeley, c1996.</t>
        </is>
      </c>
      <c r="M165" t="inlineStr">
        <is>
          <t>1996</t>
        </is>
      </c>
      <c r="O165" t="inlineStr">
        <is>
          <t>eng</t>
        </is>
      </c>
      <c r="P165" t="inlineStr">
        <is>
          <t>cau</t>
        </is>
      </c>
      <c r="R165" t="inlineStr">
        <is>
          <t xml:space="preserve">NK </t>
        </is>
      </c>
      <c r="S165" t="n">
        <v>7</v>
      </c>
      <c r="T165" t="n">
        <v>7</v>
      </c>
      <c r="U165" t="inlineStr">
        <is>
          <t>2009-04-02</t>
        </is>
      </c>
      <c r="V165" t="inlineStr">
        <is>
          <t>2009-04-02</t>
        </is>
      </c>
      <c r="W165" t="inlineStr">
        <is>
          <t>1997-05-12</t>
        </is>
      </c>
      <c r="X165" t="inlineStr">
        <is>
          <t>1997-05-12</t>
        </is>
      </c>
      <c r="Y165" t="n">
        <v>724</v>
      </c>
      <c r="Z165" t="n">
        <v>595</v>
      </c>
      <c r="AA165" t="n">
        <v>595</v>
      </c>
      <c r="AB165" t="n">
        <v>6</v>
      </c>
      <c r="AC165" t="n">
        <v>6</v>
      </c>
      <c r="AD165" t="n">
        <v>27</v>
      </c>
      <c r="AE165" t="n">
        <v>27</v>
      </c>
      <c r="AF165" t="n">
        <v>9</v>
      </c>
      <c r="AG165" t="n">
        <v>9</v>
      </c>
      <c r="AH165" t="n">
        <v>6</v>
      </c>
      <c r="AI165" t="n">
        <v>6</v>
      </c>
      <c r="AJ165" t="n">
        <v>12</v>
      </c>
      <c r="AK165" t="n">
        <v>12</v>
      </c>
      <c r="AL165" t="n">
        <v>4</v>
      </c>
      <c r="AM165" t="n">
        <v>4</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HYPERLINK("https://creighton-primo.hosted.exlibrisgroup.com/primo-explore/search?tab=default_tab&amp;search_scope=EVERYTHING&amp;vid=01CRU&amp;lang=en_US&amp;offset=0&amp;query=any,contains,991002582979702656","Catalog Record")</f>
        <v/>
      </c>
      <c r="AT165">
        <f>HYPERLINK("http://www.worldcat.org/oclc/33862729","WorldCat Record")</f>
        <v/>
      </c>
      <c r="AU165" t="inlineStr">
        <is>
          <t>837027277:eng</t>
        </is>
      </c>
      <c r="AV165" t="inlineStr">
        <is>
          <t>33862729</t>
        </is>
      </c>
      <c r="AW165" t="inlineStr">
        <is>
          <t>991002582979702656</t>
        </is>
      </c>
      <c r="AX165" t="inlineStr">
        <is>
          <t>991002582979702656</t>
        </is>
      </c>
      <c r="AY165" t="inlineStr">
        <is>
          <t>2266783790002656</t>
        </is>
      </c>
      <c r="AZ165" t="inlineStr">
        <is>
          <t>BOOK</t>
        </is>
      </c>
      <c r="BB165" t="inlineStr">
        <is>
          <t>9780520205659</t>
        </is>
      </c>
      <c r="BC165" t="inlineStr">
        <is>
          <t>32285002607199</t>
        </is>
      </c>
      <c r="BD165" t="inlineStr">
        <is>
          <t>893421564</t>
        </is>
      </c>
    </row>
    <row r="166">
      <c r="A166" t="inlineStr">
        <is>
          <t>No</t>
        </is>
      </c>
      <c r="B166" t="inlineStr">
        <is>
          <t>NK4623 .M66 1979</t>
        </is>
      </c>
      <c r="C166" t="inlineStr">
        <is>
          <t>0                      NK 4623000M  66          1979</t>
        </is>
      </c>
      <c r="D166" t="inlineStr">
        <is>
          <t>Greek vase-painting in Midwestern collections / Warren G. Moon, Louise Berge.</t>
        </is>
      </c>
      <c r="F166" t="inlineStr">
        <is>
          <t>No</t>
        </is>
      </c>
      <c r="G166" t="inlineStr">
        <is>
          <t>1</t>
        </is>
      </c>
      <c r="H166" t="inlineStr">
        <is>
          <t>No</t>
        </is>
      </c>
      <c r="I166" t="inlineStr">
        <is>
          <t>No</t>
        </is>
      </c>
      <c r="J166" t="inlineStr">
        <is>
          <t>0</t>
        </is>
      </c>
      <c r="K166" t="inlineStr">
        <is>
          <t>Moon, Warren G.</t>
        </is>
      </c>
      <c r="L166" t="inlineStr">
        <is>
          <t>Chicago : The Art Institute, c1979, 1981 printing.</t>
        </is>
      </c>
      <c r="M166" t="inlineStr">
        <is>
          <t>1979</t>
        </is>
      </c>
      <c r="O166" t="inlineStr">
        <is>
          <t>eng</t>
        </is>
      </c>
      <c r="P166" t="inlineStr">
        <is>
          <t>ilu</t>
        </is>
      </c>
      <c r="R166" t="inlineStr">
        <is>
          <t xml:space="preserve">NK </t>
        </is>
      </c>
      <c r="S166" t="n">
        <v>7</v>
      </c>
      <c r="T166" t="n">
        <v>7</v>
      </c>
      <c r="U166" t="inlineStr">
        <is>
          <t>2004-11-29</t>
        </is>
      </c>
      <c r="V166" t="inlineStr">
        <is>
          <t>2004-11-29</t>
        </is>
      </c>
      <c r="W166" t="inlineStr">
        <is>
          <t>1993-05-24</t>
        </is>
      </c>
      <c r="X166" t="inlineStr">
        <is>
          <t>1993-05-24</t>
        </is>
      </c>
      <c r="Y166" t="n">
        <v>216</v>
      </c>
      <c r="Z166" t="n">
        <v>188</v>
      </c>
      <c r="AA166" t="n">
        <v>190</v>
      </c>
      <c r="AB166" t="n">
        <v>2</v>
      </c>
      <c r="AC166" t="n">
        <v>2</v>
      </c>
      <c r="AD166" t="n">
        <v>8</v>
      </c>
      <c r="AE166" t="n">
        <v>8</v>
      </c>
      <c r="AF166" t="n">
        <v>3</v>
      </c>
      <c r="AG166" t="n">
        <v>3</v>
      </c>
      <c r="AH166" t="n">
        <v>2</v>
      </c>
      <c r="AI166" t="n">
        <v>2</v>
      </c>
      <c r="AJ166" t="n">
        <v>6</v>
      </c>
      <c r="AK166" t="n">
        <v>6</v>
      </c>
      <c r="AL166" t="n">
        <v>0</v>
      </c>
      <c r="AM166" t="n">
        <v>0</v>
      </c>
      <c r="AN166" t="n">
        <v>0</v>
      </c>
      <c r="AO166" t="n">
        <v>0</v>
      </c>
      <c r="AP166" t="inlineStr">
        <is>
          <t>No</t>
        </is>
      </c>
      <c r="AQ166" t="inlineStr">
        <is>
          <t>Yes</t>
        </is>
      </c>
      <c r="AR166">
        <f>HYPERLINK("http://catalog.hathitrust.org/Record/000431912","HathiTrust Record")</f>
        <v/>
      </c>
      <c r="AS166">
        <f>HYPERLINK("https://creighton-primo.hosted.exlibrisgroup.com/primo-explore/search?tab=default_tab&amp;search_scope=EVERYTHING&amp;vid=01CRU&amp;lang=en_US&amp;offset=0&amp;query=any,contains,991004982769702656","Catalog Record")</f>
        <v/>
      </c>
      <c r="AT166">
        <f>HYPERLINK("http://www.worldcat.org/oclc/6433970","WorldCat Record")</f>
        <v/>
      </c>
      <c r="AU166" t="inlineStr">
        <is>
          <t>1808580275:eng</t>
        </is>
      </c>
      <c r="AV166" t="inlineStr">
        <is>
          <t>6433970</t>
        </is>
      </c>
      <c r="AW166" t="inlineStr">
        <is>
          <t>991004982769702656</t>
        </is>
      </c>
      <c r="AX166" t="inlineStr">
        <is>
          <t>991004982769702656</t>
        </is>
      </c>
      <c r="AY166" t="inlineStr">
        <is>
          <t>2258579100002656</t>
        </is>
      </c>
      <c r="AZ166" t="inlineStr">
        <is>
          <t>BOOK</t>
        </is>
      </c>
      <c r="BC166" t="inlineStr">
        <is>
          <t>32285001692168</t>
        </is>
      </c>
      <c r="BD166" t="inlineStr">
        <is>
          <t>893332240</t>
        </is>
      </c>
    </row>
    <row r="167">
      <c r="A167" t="inlineStr">
        <is>
          <t>No</t>
        </is>
      </c>
      <c r="B167" t="inlineStr">
        <is>
          <t>NK4623.5.G7 L668 1985</t>
        </is>
      </c>
      <c r="C167" t="inlineStr">
        <is>
          <t>0                      NK 4623500G  7                  L  668         1985</t>
        </is>
      </c>
      <c r="D167" t="inlineStr">
        <is>
          <t>Greek vases / Dyfri Williams.</t>
        </is>
      </c>
      <c r="F167" t="inlineStr">
        <is>
          <t>No</t>
        </is>
      </c>
      <c r="G167" t="inlineStr">
        <is>
          <t>1</t>
        </is>
      </c>
      <c r="H167" t="inlineStr">
        <is>
          <t>No</t>
        </is>
      </c>
      <c r="I167" t="inlineStr">
        <is>
          <t>No</t>
        </is>
      </c>
      <c r="J167" t="inlineStr">
        <is>
          <t>0</t>
        </is>
      </c>
      <c r="K167" t="inlineStr">
        <is>
          <t>Williams, Dyfri.</t>
        </is>
      </c>
      <c r="L167" t="inlineStr">
        <is>
          <t>Cambridge, Mass. : Harvard University Press, 1985.</t>
        </is>
      </c>
      <c r="M167" t="inlineStr">
        <is>
          <t>1985</t>
        </is>
      </c>
      <c r="O167" t="inlineStr">
        <is>
          <t>eng</t>
        </is>
      </c>
      <c r="P167" t="inlineStr">
        <is>
          <t>mau</t>
        </is>
      </c>
      <c r="R167" t="inlineStr">
        <is>
          <t xml:space="preserve">NK </t>
        </is>
      </c>
      <c r="S167" t="n">
        <v>7</v>
      </c>
      <c r="T167" t="n">
        <v>7</v>
      </c>
      <c r="U167" t="inlineStr">
        <is>
          <t>2006-04-24</t>
        </is>
      </c>
      <c r="V167" t="inlineStr">
        <is>
          <t>2006-04-24</t>
        </is>
      </c>
      <c r="W167" t="inlineStr">
        <is>
          <t>1990-12-28</t>
        </is>
      </c>
      <c r="X167" t="inlineStr">
        <is>
          <t>1990-12-28</t>
        </is>
      </c>
      <c r="Y167" t="n">
        <v>322</v>
      </c>
      <c r="Z167" t="n">
        <v>292</v>
      </c>
      <c r="AA167" t="n">
        <v>368</v>
      </c>
      <c r="AB167" t="n">
        <v>2</v>
      </c>
      <c r="AC167" t="n">
        <v>3</v>
      </c>
      <c r="AD167" t="n">
        <v>13</v>
      </c>
      <c r="AE167" t="n">
        <v>16</v>
      </c>
      <c r="AF167" t="n">
        <v>8</v>
      </c>
      <c r="AG167" t="n">
        <v>8</v>
      </c>
      <c r="AH167" t="n">
        <v>3</v>
      </c>
      <c r="AI167" t="n">
        <v>3</v>
      </c>
      <c r="AJ167" t="n">
        <v>8</v>
      </c>
      <c r="AK167" t="n">
        <v>10</v>
      </c>
      <c r="AL167" t="n">
        <v>0</v>
      </c>
      <c r="AM167" t="n">
        <v>1</v>
      </c>
      <c r="AN167" t="n">
        <v>0</v>
      </c>
      <c r="AO167" t="n">
        <v>0</v>
      </c>
      <c r="AP167" t="inlineStr">
        <is>
          <t>No</t>
        </is>
      </c>
      <c r="AQ167" t="inlineStr">
        <is>
          <t>Yes</t>
        </is>
      </c>
      <c r="AR167">
        <f>HYPERLINK("http://catalog.hathitrust.org/Record/000614610","HathiTrust Record")</f>
        <v/>
      </c>
      <c r="AS167">
        <f>HYPERLINK("https://creighton-primo.hosted.exlibrisgroup.com/primo-explore/search?tab=default_tab&amp;search_scope=EVERYTHING&amp;vid=01CRU&amp;lang=en_US&amp;offset=0&amp;query=any,contains,991000756439702656","Catalog Record")</f>
        <v/>
      </c>
      <c r="AT167">
        <f>HYPERLINK("http://www.worldcat.org/oclc/12949137","WorldCat Record")</f>
        <v/>
      </c>
      <c r="AU167" t="inlineStr">
        <is>
          <t>5883067:eng</t>
        </is>
      </c>
      <c r="AV167" t="inlineStr">
        <is>
          <t>12949137</t>
        </is>
      </c>
      <c r="AW167" t="inlineStr">
        <is>
          <t>991000756439702656</t>
        </is>
      </c>
      <c r="AX167" t="inlineStr">
        <is>
          <t>991000756439702656</t>
        </is>
      </c>
      <c r="AY167" t="inlineStr">
        <is>
          <t>2254796350002656</t>
        </is>
      </c>
      <c r="AZ167" t="inlineStr">
        <is>
          <t>BOOK</t>
        </is>
      </c>
      <c r="BB167" t="inlineStr">
        <is>
          <t>9780674363151</t>
        </is>
      </c>
      <c r="BC167" t="inlineStr">
        <is>
          <t>32285000405612</t>
        </is>
      </c>
      <c r="BD167" t="inlineStr">
        <is>
          <t>893496528</t>
        </is>
      </c>
    </row>
    <row r="168">
      <c r="A168" t="inlineStr">
        <is>
          <t>No</t>
        </is>
      </c>
      <c r="B168" t="inlineStr">
        <is>
          <t>NK4623.M37 G7 1983, v...</t>
        </is>
      </c>
      <c r="C168" t="inlineStr">
        <is>
          <t>0                      NK 4623000M  37                 G  7           1983                  v...</t>
        </is>
      </c>
      <c r="D168" t="inlineStr">
        <is>
          <t>Greek vases in the J. Paul Getty Museum.</t>
        </is>
      </c>
      <c r="E168" t="inlineStr">
        <is>
          <t>V.1</t>
        </is>
      </c>
      <c r="F168" t="inlineStr">
        <is>
          <t>Yes</t>
        </is>
      </c>
      <c r="G168" t="inlineStr">
        <is>
          <t>1</t>
        </is>
      </c>
      <c r="H168" t="inlineStr">
        <is>
          <t>No</t>
        </is>
      </c>
      <c r="I168" t="inlineStr">
        <is>
          <t>No</t>
        </is>
      </c>
      <c r="J168" t="inlineStr">
        <is>
          <t>0</t>
        </is>
      </c>
      <c r="L168" t="inlineStr">
        <is>
          <t>Malibu, Calif. : The Museum, 1983-</t>
        </is>
      </c>
      <c r="M168" t="inlineStr">
        <is>
          <t>1983</t>
        </is>
      </c>
      <c r="O168" t="inlineStr">
        <is>
          <t>eng</t>
        </is>
      </c>
      <c r="P168" t="inlineStr">
        <is>
          <t>cau</t>
        </is>
      </c>
      <c r="Q168" t="inlineStr">
        <is>
          <t>Occasional papers on antiquities ; v. 1, 2, 3</t>
        </is>
      </c>
      <c r="R168" t="inlineStr">
        <is>
          <t xml:space="preserve">NK </t>
        </is>
      </c>
      <c r="S168" t="n">
        <v>4</v>
      </c>
      <c r="T168" t="n">
        <v>8</v>
      </c>
      <c r="U168" t="inlineStr">
        <is>
          <t>1992-09-13</t>
        </is>
      </c>
      <c r="V168" t="inlineStr">
        <is>
          <t>2004-10-07</t>
        </is>
      </c>
      <c r="W168" t="inlineStr">
        <is>
          <t>1992-01-21</t>
        </is>
      </c>
      <c r="X168" t="inlineStr">
        <is>
          <t>1992-09-29</t>
        </is>
      </c>
      <c r="Y168" t="n">
        <v>369</v>
      </c>
      <c r="Z168" t="n">
        <v>296</v>
      </c>
      <c r="AA168" t="n">
        <v>338</v>
      </c>
      <c r="AB168" t="n">
        <v>4</v>
      </c>
      <c r="AC168" t="n">
        <v>4</v>
      </c>
      <c r="AD168" t="n">
        <v>14</v>
      </c>
      <c r="AE168" t="n">
        <v>16</v>
      </c>
      <c r="AF168" t="n">
        <v>7</v>
      </c>
      <c r="AG168" t="n">
        <v>7</v>
      </c>
      <c r="AH168" t="n">
        <v>1</v>
      </c>
      <c r="AI168" t="n">
        <v>3</v>
      </c>
      <c r="AJ168" t="n">
        <v>8</v>
      </c>
      <c r="AK168" t="n">
        <v>9</v>
      </c>
      <c r="AL168" t="n">
        <v>2</v>
      </c>
      <c r="AM168" t="n">
        <v>2</v>
      </c>
      <c r="AN168" t="n">
        <v>0</v>
      </c>
      <c r="AO168" t="n">
        <v>0</v>
      </c>
      <c r="AP168" t="inlineStr">
        <is>
          <t>No</t>
        </is>
      </c>
      <c r="AQ168" t="inlineStr">
        <is>
          <t>Yes</t>
        </is>
      </c>
      <c r="AR168">
        <f>HYPERLINK("http://catalog.hathitrust.org/Record/000466315","HathiTrust Record")</f>
        <v/>
      </c>
      <c r="AS168">
        <f>HYPERLINK("https://creighton-primo.hosted.exlibrisgroup.com/primo-explore/search?tab=default_tab&amp;search_scope=EVERYTHING&amp;vid=01CRU&amp;lang=en_US&amp;offset=0&amp;query=any,contains,991000123029702656","Catalog Record")</f>
        <v/>
      </c>
      <c r="AT168">
        <f>HYPERLINK("http://www.worldcat.org/oclc/9081189","WorldCat Record")</f>
        <v/>
      </c>
      <c r="AU168" t="inlineStr">
        <is>
          <t>3146684277:eng</t>
        </is>
      </c>
      <c r="AV168" t="inlineStr">
        <is>
          <t>9081189</t>
        </is>
      </c>
      <c r="AW168" t="inlineStr">
        <is>
          <t>991000123029702656</t>
        </is>
      </c>
      <c r="AX168" t="inlineStr">
        <is>
          <t>991000123029702656</t>
        </is>
      </c>
      <c r="AY168" t="inlineStr">
        <is>
          <t>2255720920002656</t>
        </is>
      </c>
      <c r="AZ168" t="inlineStr">
        <is>
          <t>BOOK</t>
        </is>
      </c>
      <c r="BB168" t="inlineStr">
        <is>
          <t>9780892360581</t>
        </is>
      </c>
      <c r="BC168" t="inlineStr">
        <is>
          <t>32285000917020</t>
        </is>
      </c>
      <c r="BD168" t="inlineStr">
        <is>
          <t>893327040</t>
        </is>
      </c>
    </row>
    <row r="169">
      <c r="A169" t="inlineStr">
        <is>
          <t>No</t>
        </is>
      </c>
      <c r="B169" t="inlineStr">
        <is>
          <t>NK4623.M37 G7 1983, v...</t>
        </is>
      </c>
      <c r="C169" t="inlineStr">
        <is>
          <t>0                      NK 4623000M  37                 G  7           1983                  v...</t>
        </is>
      </c>
      <c r="D169" t="inlineStr">
        <is>
          <t>Greek vases in the J. Paul Getty Museum.</t>
        </is>
      </c>
      <c r="E169" t="inlineStr">
        <is>
          <t>V.3</t>
        </is>
      </c>
      <c r="F169" t="inlineStr">
        <is>
          <t>Yes</t>
        </is>
      </c>
      <c r="G169" t="inlineStr">
        <is>
          <t>1</t>
        </is>
      </c>
      <c r="H169" t="inlineStr">
        <is>
          <t>No</t>
        </is>
      </c>
      <c r="I169" t="inlineStr">
        <is>
          <t>No</t>
        </is>
      </c>
      <c r="J169" t="inlineStr">
        <is>
          <t>0</t>
        </is>
      </c>
      <c r="L169" t="inlineStr">
        <is>
          <t>Malibu, Calif. : The Museum, 1983-</t>
        </is>
      </c>
      <c r="M169" t="inlineStr">
        <is>
          <t>1983</t>
        </is>
      </c>
      <c r="O169" t="inlineStr">
        <is>
          <t>eng</t>
        </is>
      </c>
      <c r="P169" t="inlineStr">
        <is>
          <t>cau</t>
        </is>
      </c>
      <c r="Q169" t="inlineStr">
        <is>
          <t>Occasional papers on antiquities ; v. 1, 2, 3</t>
        </is>
      </c>
      <c r="R169" t="inlineStr">
        <is>
          <t xml:space="preserve">NK </t>
        </is>
      </c>
      <c r="S169" t="n">
        <v>2</v>
      </c>
      <c r="T169" t="n">
        <v>8</v>
      </c>
      <c r="U169" t="inlineStr">
        <is>
          <t>2004-10-07</t>
        </is>
      </c>
      <c r="V169" t="inlineStr">
        <is>
          <t>2004-10-07</t>
        </is>
      </c>
      <c r="W169" t="inlineStr">
        <is>
          <t>1992-09-29</t>
        </is>
      </c>
      <c r="X169" t="inlineStr">
        <is>
          <t>1992-09-29</t>
        </is>
      </c>
      <c r="Y169" t="n">
        <v>369</v>
      </c>
      <c r="Z169" t="n">
        <v>296</v>
      </c>
      <c r="AA169" t="n">
        <v>338</v>
      </c>
      <c r="AB169" t="n">
        <v>4</v>
      </c>
      <c r="AC169" t="n">
        <v>4</v>
      </c>
      <c r="AD169" t="n">
        <v>14</v>
      </c>
      <c r="AE169" t="n">
        <v>16</v>
      </c>
      <c r="AF169" t="n">
        <v>7</v>
      </c>
      <c r="AG169" t="n">
        <v>7</v>
      </c>
      <c r="AH169" t="n">
        <v>1</v>
      </c>
      <c r="AI169" t="n">
        <v>3</v>
      </c>
      <c r="AJ169" t="n">
        <v>8</v>
      </c>
      <c r="AK169" t="n">
        <v>9</v>
      </c>
      <c r="AL169" t="n">
        <v>2</v>
      </c>
      <c r="AM169" t="n">
        <v>2</v>
      </c>
      <c r="AN169" t="n">
        <v>0</v>
      </c>
      <c r="AO169" t="n">
        <v>0</v>
      </c>
      <c r="AP169" t="inlineStr">
        <is>
          <t>No</t>
        </is>
      </c>
      <c r="AQ169" t="inlineStr">
        <is>
          <t>Yes</t>
        </is>
      </c>
      <c r="AR169">
        <f>HYPERLINK("http://catalog.hathitrust.org/Record/000466315","HathiTrust Record")</f>
        <v/>
      </c>
      <c r="AS169">
        <f>HYPERLINK("https://creighton-primo.hosted.exlibrisgroup.com/primo-explore/search?tab=default_tab&amp;search_scope=EVERYTHING&amp;vid=01CRU&amp;lang=en_US&amp;offset=0&amp;query=any,contains,991000123029702656","Catalog Record")</f>
        <v/>
      </c>
      <c r="AT169">
        <f>HYPERLINK("http://www.worldcat.org/oclc/9081189","WorldCat Record")</f>
        <v/>
      </c>
      <c r="AU169" t="inlineStr">
        <is>
          <t>3146684277:eng</t>
        </is>
      </c>
      <c r="AV169" t="inlineStr">
        <is>
          <t>9081189</t>
        </is>
      </c>
      <c r="AW169" t="inlineStr">
        <is>
          <t>991000123029702656</t>
        </is>
      </c>
      <c r="AX169" t="inlineStr">
        <is>
          <t>991000123029702656</t>
        </is>
      </c>
      <c r="AY169" t="inlineStr">
        <is>
          <t>2255720920002656</t>
        </is>
      </c>
      <c r="AZ169" t="inlineStr">
        <is>
          <t>BOOK</t>
        </is>
      </c>
      <c r="BB169" t="inlineStr">
        <is>
          <t>9780892360581</t>
        </is>
      </c>
      <c r="BC169" t="inlineStr">
        <is>
          <t>32285001323202</t>
        </is>
      </c>
      <c r="BD169" t="inlineStr">
        <is>
          <t>893314702</t>
        </is>
      </c>
    </row>
    <row r="170">
      <c r="A170" t="inlineStr">
        <is>
          <t>No</t>
        </is>
      </c>
      <c r="B170" t="inlineStr">
        <is>
          <t>NK4623.M37 G7 1983, v...</t>
        </is>
      </c>
      <c r="C170" t="inlineStr">
        <is>
          <t>0                      NK 4623000M  37                 G  7           1983                  v...</t>
        </is>
      </c>
      <c r="D170" t="inlineStr">
        <is>
          <t>Greek vases in the J. Paul Getty Museum.</t>
        </is>
      </c>
      <c r="E170" t="inlineStr">
        <is>
          <t>V.2</t>
        </is>
      </c>
      <c r="F170" t="inlineStr">
        <is>
          <t>Yes</t>
        </is>
      </c>
      <c r="G170" t="inlineStr">
        <is>
          <t>1</t>
        </is>
      </c>
      <c r="H170" t="inlineStr">
        <is>
          <t>No</t>
        </is>
      </c>
      <c r="I170" t="inlineStr">
        <is>
          <t>No</t>
        </is>
      </c>
      <c r="J170" t="inlineStr">
        <is>
          <t>0</t>
        </is>
      </c>
      <c r="L170" t="inlineStr">
        <is>
          <t>Malibu, Calif. : The Museum, 1983-</t>
        </is>
      </c>
      <c r="M170" t="inlineStr">
        <is>
          <t>1983</t>
        </is>
      </c>
      <c r="O170" t="inlineStr">
        <is>
          <t>eng</t>
        </is>
      </c>
      <c r="P170" t="inlineStr">
        <is>
          <t>cau</t>
        </is>
      </c>
      <c r="Q170" t="inlineStr">
        <is>
          <t>Occasional papers on antiquities ; v. 1, 2, 3</t>
        </is>
      </c>
      <c r="R170" t="inlineStr">
        <is>
          <t xml:space="preserve">NK </t>
        </is>
      </c>
      <c r="S170" t="n">
        <v>2</v>
      </c>
      <c r="T170" t="n">
        <v>8</v>
      </c>
      <c r="U170" t="inlineStr">
        <is>
          <t>2003-12-01</t>
        </is>
      </c>
      <c r="V170" t="inlineStr">
        <is>
          <t>2004-10-07</t>
        </is>
      </c>
      <c r="W170" t="inlineStr">
        <is>
          <t>1992-06-10</t>
        </is>
      </c>
      <c r="X170" t="inlineStr">
        <is>
          <t>1992-09-29</t>
        </is>
      </c>
      <c r="Y170" t="n">
        <v>369</v>
      </c>
      <c r="Z170" t="n">
        <v>296</v>
      </c>
      <c r="AA170" t="n">
        <v>338</v>
      </c>
      <c r="AB170" t="n">
        <v>4</v>
      </c>
      <c r="AC170" t="n">
        <v>4</v>
      </c>
      <c r="AD170" t="n">
        <v>14</v>
      </c>
      <c r="AE170" t="n">
        <v>16</v>
      </c>
      <c r="AF170" t="n">
        <v>7</v>
      </c>
      <c r="AG170" t="n">
        <v>7</v>
      </c>
      <c r="AH170" t="n">
        <v>1</v>
      </c>
      <c r="AI170" t="n">
        <v>3</v>
      </c>
      <c r="AJ170" t="n">
        <v>8</v>
      </c>
      <c r="AK170" t="n">
        <v>9</v>
      </c>
      <c r="AL170" t="n">
        <v>2</v>
      </c>
      <c r="AM170" t="n">
        <v>2</v>
      </c>
      <c r="AN170" t="n">
        <v>0</v>
      </c>
      <c r="AO170" t="n">
        <v>0</v>
      </c>
      <c r="AP170" t="inlineStr">
        <is>
          <t>No</t>
        </is>
      </c>
      <c r="AQ170" t="inlineStr">
        <is>
          <t>Yes</t>
        </is>
      </c>
      <c r="AR170">
        <f>HYPERLINK("http://catalog.hathitrust.org/Record/000466315","HathiTrust Record")</f>
        <v/>
      </c>
      <c r="AS170">
        <f>HYPERLINK("https://creighton-primo.hosted.exlibrisgroup.com/primo-explore/search?tab=default_tab&amp;search_scope=EVERYTHING&amp;vid=01CRU&amp;lang=en_US&amp;offset=0&amp;query=any,contains,991000123029702656","Catalog Record")</f>
        <v/>
      </c>
      <c r="AT170">
        <f>HYPERLINK("http://www.worldcat.org/oclc/9081189","WorldCat Record")</f>
        <v/>
      </c>
      <c r="AU170" t="inlineStr">
        <is>
          <t>3146684277:eng</t>
        </is>
      </c>
      <c r="AV170" t="inlineStr">
        <is>
          <t>9081189</t>
        </is>
      </c>
      <c r="AW170" t="inlineStr">
        <is>
          <t>991000123029702656</t>
        </is>
      </c>
      <c r="AX170" t="inlineStr">
        <is>
          <t>991000123029702656</t>
        </is>
      </c>
      <c r="AY170" t="inlineStr">
        <is>
          <t>2255720920002656</t>
        </is>
      </c>
      <c r="AZ170" t="inlineStr">
        <is>
          <t>BOOK</t>
        </is>
      </c>
      <c r="BB170" t="inlineStr">
        <is>
          <t>9780892360581</t>
        </is>
      </c>
      <c r="BC170" t="inlineStr">
        <is>
          <t>32285001099067</t>
        </is>
      </c>
      <c r="BD170" t="inlineStr">
        <is>
          <t>893333233</t>
        </is>
      </c>
    </row>
    <row r="171">
      <c r="A171" t="inlineStr">
        <is>
          <t>No</t>
        </is>
      </c>
      <c r="B171" t="inlineStr">
        <is>
          <t>NK4645 .B42124 1989</t>
        </is>
      </c>
      <c r="C171" t="inlineStr">
        <is>
          <t>0                      NK 4645000B  42124       1989</t>
        </is>
      </c>
      <c r="D171" t="inlineStr">
        <is>
          <t>Greek vases : lectures / by J.D. Beazley ; edited by D.C. Kurtz.</t>
        </is>
      </c>
      <c r="F171" t="inlineStr">
        <is>
          <t>No</t>
        </is>
      </c>
      <c r="G171" t="inlineStr">
        <is>
          <t>1</t>
        </is>
      </c>
      <c r="H171" t="inlineStr">
        <is>
          <t>No</t>
        </is>
      </c>
      <c r="I171" t="inlineStr">
        <is>
          <t>No</t>
        </is>
      </c>
      <c r="J171" t="inlineStr">
        <is>
          <t>0</t>
        </is>
      </c>
      <c r="K171" t="inlineStr">
        <is>
          <t>Beazley, J. D. (John Davidson), 1885-1970.</t>
        </is>
      </c>
      <c r="L171" t="inlineStr">
        <is>
          <t>Oxford, England : Clarendon Press ; New York : Oxford University Press, c1989.</t>
        </is>
      </c>
      <c r="M171" t="inlineStr">
        <is>
          <t>1989</t>
        </is>
      </c>
      <c r="O171" t="inlineStr">
        <is>
          <t>eng</t>
        </is>
      </c>
      <c r="P171" t="inlineStr">
        <is>
          <t>enk</t>
        </is>
      </c>
      <c r="R171" t="inlineStr">
        <is>
          <t xml:space="preserve">NK </t>
        </is>
      </c>
      <c r="S171" t="n">
        <v>6</v>
      </c>
      <c r="T171" t="n">
        <v>6</v>
      </c>
      <c r="U171" t="inlineStr">
        <is>
          <t>2006-04-24</t>
        </is>
      </c>
      <c r="V171" t="inlineStr">
        <is>
          <t>2006-04-24</t>
        </is>
      </c>
      <c r="W171" t="inlineStr">
        <is>
          <t>1990-03-01</t>
        </is>
      </c>
      <c r="X171" t="inlineStr">
        <is>
          <t>1990-03-01</t>
        </is>
      </c>
      <c r="Y171" t="n">
        <v>272</v>
      </c>
      <c r="Z171" t="n">
        <v>187</v>
      </c>
      <c r="AA171" t="n">
        <v>188</v>
      </c>
      <c r="AB171" t="n">
        <v>3</v>
      </c>
      <c r="AC171" t="n">
        <v>3</v>
      </c>
      <c r="AD171" t="n">
        <v>7</v>
      </c>
      <c r="AE171" t="n">
        <v>7</v>
      </c>
      <c r="AF171" t="n">
        <v>3</v>
      </c>
      <c r="AG171" t="n">
        <v>3</v>
      </c>
      <c r="AH171" t="n">
        <v>0</v>
      </c>
      <c r="AI171" t="n">
        <v>0</v>
      </c>
      <c r="AJ171" t="n">
        <v>5</v>
      </c>
      <c r="AK171" t="n">
        <v>5</v>
      </c>
      <c r="AL171" t="n">
        <v>1</v>
      </c>
      <c r="AM171" t="n">
        <v>1</v>
      </c>
      <c r="AN171" t="n">
        <v>0</v>
      </c>
      <c r="AO171" t="n">
        <v>0</v>
      </c>
      <c r="AP171" t="inlineStr">
        <is>
          <t>No</t>
        </is>
      </c>
      <c r="AQ171" t="inlineStr">
        <is>
          <t>Yes</t>
        </is>
      </c>
      <c r="AR171">
        <f>HYPERLINK("http://catalog.hathitrust.org/Record/001841684","HathiTrust Record")</f>
        <v/>
      </c>
      <c r="AS171">
        <f>HYPERLINK("https://creighton-primo.hosted.exlibrisgroup.com/primo-explore/search?tab=default_tab&amp;search_scope=EVERYTHING&amp;vid=01CRU&amp;lang=en_US&amp;offset=0&amp;query=any,contains,991001433549702656","Catalog Record")</f>
        <v/>
      </c>
      <c r="AT171">
        <f>HYPERLINK("http://www.worldcat.org/oclc/19125372","WorldCat Record")</f>
        <v/>
      </c>
      <c r="AU171" t="inlineStr">
        <is>
          <t>2800025310:eng</t>
        </is>
      </c>
      <c r="AV171" t="inlineStr">
        <is>
          <t>19125372</t>
        </is>
      </c>
      <c r="AW171" t="inlineStr">
        <is>
          <t>991001433549702656</t>
        </is>
      </c>
      <c r="AX171" t="inlineStr">
        <is>
          <t>991001433549702656</t>
        </is>
      </c>
      <c r="AY171" t="inlineStr">
        <is>
          <t>2269667260002656</t>
        </is>
      </c>
      <c r="AZ171" t="inlineStr">
        <is>
          <t>BOOK</t>
        </is>
      </c>
      <c r="BB171" t="inlineStr">
        <is>
          <t>9780198134121</t>
        </is>
      </c>
      <c r="BC171" t="inlineStr">
        <is>
          <t>32285000042951</t>
        </is>
      </c>
      <c r="BD171" t="inlineStr">
        <is>
          <t>893878882</t>
        </is>
      </c>
    </row>
    <row r="172">
      <c r="A172" t="inlineStr">
        <is>
          <t>No</t>
        </is>
      </c>
      <c r="B172" t="inlineStr">
        <is>
          <t>NK4645 .C6 1972</t>
        </is>
      </c>
      <c r="C172" t="inlineStr">
        <is>
          <t>0                      NK 4645000C  6           1972</t>
        </is>
      </c>
      <c r="D172" t="inlineStr">
        <is>
          <t>Greek painted pottery / [by] R. M. Cook.</t>
        </is>
      </c>
      <c r="F172" t="inlineStr">
        <is>
          <t>No</t>
        </is>
      </c>
      <c r="G172" t="inlineStr">
        <is>
          <t>1</t>
        </is>
      </c>
      <c r="H172" t="inlineStr">
        <is>
          <t>No</t>
        </is>
      </c>
      <c r="I172" t="inlineStr">
        <is>
          <t>No</t>
        </is>
      </c>
      <c r="J172" t="inlineStr">
        <is>
          <t>0</t>
        </is>
      </c>
      <c r="K172" t="inlineStr">
        <is>
          <t>Cook, Robert Manuel.</t>
        </is>
      </c>
      <c r="L172" t="inlineStr">
        <is>
          <t>[London] : Methuen, [1972]</t>
        </is>
      </c>
      <c r="M172" t="inlineStr">
        <is>
          <t>1972</t>
        </is>
      </c>
      <c r="N172" t="inlineStr">
        <is>
          <t>2nd ed.</t>
        </is>
      </c>
      <c r="O172" t="inlineStr">
        <is>
          <t>eng</t>
        </is>
      </c>
      <c r="P172" t="inlineStr">
        <is>
          <t>enk</t>
        </is>
      </c>
      <c r="Q172" t="inlineStr">
        <is>
          <t>[Methuen's handbooks of archaeology series]</t>
        </is>
      </c>
      <c r="R172" t="inlineStr">
        <is>
          <t xml:space="preserve">NK </t>
        </is>
      </c>
      <c r="S172" t="n">
        <v>9</v>
      </c>
      <c r="T172" t="n">
        <v>9</v>
      </c>
      <c r="U172" t="inlineStr">
        <is>
          <t>2006-02-28</t>
        </is>
      </c>
      <c r="V172" t="inlineStr">
        <is>
          <t>2006-02-28</t>
        </is>
      </c>
      <c r="W172" t="inlineStr">
        <is>
          <t>1990-05-15</t>
        </is>
      </c>
      <c r="X172" t="inlineStr">
        <is>
          <t>1990-05-15</t>
        </is>
      </c>
      <c r="Y172" t="n">
        <v>433</v>
      </c>
      <c r="Z172" t="n">
        <v>308</v>
      </c>
      <c r="AA172" t="n">
        <v>754</v>
      </c>
      <c r="AB172" t="n">
        <v>4</v>
      </c>
      <c r="AC172" t="n">
        <v>4</v>
      </c>
      <c r="AD172" t="n">
        <v>15</v>
      </c>
      <c r="AE172" t="n">
        <v>40</v>
      </c>
      <c r="AF172" t="n">
        <v>5</v>
      </c>
      <c r="AG172" t="n">
        <v>17</v>
      </c>
      <c r="AH172" t="n">
        <v>3</v>
      </c>
      <c r="AI172" t="n">
        <v>9</v>
      </c>
      <c r="AJ172" t="n">
        <v>10</v>
      </c>
      <c r="AK172" t="n">
        <v>23</v>
      </c>
      <c r="AL172" t="n">
        <v>3</v>
      </c>
      <c r="AM172" t="n">
        <v>3</v>
      </c>
      <c r="AN172" t="n">
        <v>0</v>
      </c>
      <c r="AO172" t="n">
        <v>0</v>
      </c>
      <c r="AP172" t="inlineStr">
        <is>
          <t>No</t>
        </is>
      </c>
      <c r="AQ172" t="inlineStr">
        <is>
          <t>Yes</t>
        </is>
      </c>
      <c r="AR172">
        <f>HYPERLINK("http://catalog.hathitrust.org/Record/008545178","HathiTrust Record")</f>
        <v/>
      </c>
      <c r="AS172">
        <f>HYPERLINK("https://creighton-primo.hosted.exlibrisgroup.com/primo-explore/search?tab=default_tab&amp;search_scope=EVERYTHING&amp;vid=01CRU&amp;lang=en_US&amp;offset=0&amp;query=any,contains,991002657539702656","Catalog Record")</f>
        <v/>
      </c>
      <c r="AT172">
        <f>HYPERLINK("http://www.worldcat.org/oclc/390136","WorldCat Record")</f>
        <v/>
      </c>
      <c r="AU172" t="inlineStr">
        <is>
          <t>478760:eng</t>
        </is>
      </c>
      <c r="AV172" t="inlineStr">
        <is>
          <t>390136</t>
        </is>
      </c>
      <c r="AW172" t="inlineStr">
        <is>
          <t>991002657539702656</t>
        </is>
      </c>
      <c r="AX172" t="inlineStr">
        <is>
          <t>991002657539702656</t>
        </is>
      </c>
      <c r="AY172" t="inlineStr">
        <is>
          <t>2262195540002656</t>
        </is>
      </c>
      <c r="AZ172" t="inlineStr">
        <is>
          <t>BOOK</t>
        </is>
      </c>
      <c r="BB172" t="inlineStr">
        <is>
          <t>9780416761702</t>
        </is>
      </c>
      <c r="BC172" t="inlineStr">
        <is>
          <t>32285000155274</t>
        </is>
      </c>
      <c r="BD172" t="inlineStr">
        <is>
          <t>893716738</t>
        </is>
      </c>
    </row>
    <row r="173">
      <c r="A173" t="inlineStr">
        <is>
          <t>No</t>
        </is>
      </c>
      <c r="B173" t="inlineStr">
        <is>
          <t>NK4645 .F47 2002</t>
        </is>
      </c>
      <c r="C173" t="inlineStr">
        <is>
          <t>0                      NK 4645000F  47          2002</t>
        </is>
      </c>
      <c r="D173" t="inlineStr">
        <is>
          <t>Figures of speech : men and maidens in ancient Greece / Gloria Ferrari.</t>
        </is>
      </c>
      <c r="F173" t="inlineStr">
        <is>
          <t>No</t>
        </is>
      </c>
      <c r="G173" t="inlineStr">
        <is>
          <t>1</t>
        </is>
      </c>
      <c r="H173" t="inlineStr">
        <is>
          <t>No</t>
        </is>
      </c>
      <c r="I173" t="inlineStr">
        <is>
          <t>No</t>
        </is>
      </c>
      <c r="J173" t="inlineStr">
        <is>
          <t>0</t>
        </is>
      </c>
      <c r="K173" t="inlineStr">
        <is>
          <t>Ferrari, Gloria, 1941-</t>
        </is>
      </c>
      <c r="L173" t="inlineStr">
        <is>
          <t>Chicago : University of Chicago Press, 2002.</t>
        </is>
      </c>
      <c r="M173" t="inlineStr">
        <is>
          <t>2002</t>
        </is>
      </c>
      <c r="O173" t="inlineStr">
        <is>
          <t>eng</t>
        </is>
      </c>
      <c r="P173" t="inlineStr">
        <is>
          <t>ilu</t>
        </is>
      </c>
      <c r="R173" t="inlineStr">
        <is>
          <t xml:space="preserve">NK </t>
        </is>
      </c>
      <c r="S173" t="n">
        <v>7</v>
      </c>
      <c r="T173" t="n">
        <v>7</v>
      </c>
      <c r="U173" t="inlineStr">
        <is>
          <t>2006-03-21</t>
        </is>
      </c>
      <c r="V173" t="inlineStr">
        <is>
          <t>2006-03-21</t>
        </is>
      </c>
      <c r="W173" t="inlineStr">
        <is>
          <t>2003-09-29</t>
        </is>
      </c>
      <c r="X173" t="inlineStr">
        <is>
          <t>2003-09-29</t>
        </is>
      </c>
      <c r="Y173" t="n">
        <v>451</v>
      </c>
      <c r="Z173" t="n">
        <v>358</v>
      </c>
      <c r="AA173" t="n">
        <v>365</v>
      </c>
      <c r="AB173" t="n">
        <v>4</v>
      </c>
      <c r="AC173" t="n">
        <v>4</v>
      </c>
      <c r="AD173" t="n">
        <v>19</v>
      </c>
      <c r="AE173" t="n">
        <v>19</v>
      </c>
      <c r="AF173" t="n">
        <v>8</v>
      </c>
      <c r="AG173" t="n">
        <v>8</v>
      </c>
      <c r="AH173" t="n">
        <v>5</v>
      </c>
      <c r="AI173" t="n">
        <v>5</v>
      </c>
      <c r="AJ173" t="n">
        <v>10</v>
      </c>
      <c r="AK173" t="n">
        <v>10</v>
      </c>
      <c r="AL173" t="n">
        <v>3</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HYPERLINK("https://creighton-primo.hosted.exlibrisgroup.com/primo-explore/search?tab=default_tab&amp;search_scope=EVERYTHING&amp;vid=01CRU&amp;lang=en_US&amp;offset=0&amp;query=any,contains,991004108149702656","Catalog Record")</f>
        <v/>
      </c>
      <c r="AT173">
        <f>HYPERLINK("http://www.worldcat.org/oclc/49404294","WorldCat Record")</f>
        <v/>
      </c>
      <c r="AU173" t="inlineStr">
        <is>
          <t>839040102:eng</t>
        </is>
      </c>
      <c r="AV173" t="inlineStr">
        <is>
          <t>49404294</t>
        </is>
      </c>
      <c r="AW173" t="inlineStr">
        <is>
          <t>991004108149702656</t>
        </is>
      </c>
      <c r="AX173" t="inlineStr">
        <is>
          <t>991004108149702656</t>
        </is>
      </c>
      <c r="AY173" t="inlineStr">
        <is>
          <t>2258056160002656</t>
        </is>
      </c>
      <c r="AZ173" t="inlineStr">
        <is>
          <t>BOOK</t>
        </is>
      </c>
      <c r="BB173" t="inlineStr">
        <is>
          <t>9780226244365</t>
        </is>
      </c>
      <c r="BC173" t="inlineStr">
        <is>
          <t>32285004785928</t>
        </is>
      </c>
      <c r="BD173" t="inlineStr">
        <is>
          <t>893343466</t>
        </is>
      </c>
    </row>
    <row r="174">
      <c r="A174" t="inlineStr">
        <is>
          <t>No</t>
        </is>
      </c>
      <c r="B174" t="inlineStr">
        <is>
          <t>NK4645 .J63 1979</t>
        </is>
      </c>
      <c r="C174" t="inlineStr">
        <is>
          <t>0                      NK 4645000J  63          1979</t>
        </is>
      </c>
      <c r="D174" t="inlineStr">
        <is>
          <t>Trademarks on Greek vases / A.W. Johnston.</t>
        </is>
      </c>
      <c r="F174" t="inlineStr">
        <is>
          <t>No</t>
        </is>
      </c>
      <c r="G174" t="inlineStr">
        <is>
          <t>1</t>
        </is>
      </c>
      <c r="H174" t="inlineStr">
        <is>
          <t>No</t>
        </is>
      </c>
      <c r="I174" t="inlineStr">
        <is>
          <t>No</t>
        </is>
      </c>
      <c r="J174" t="inlineStr">
        <is>
          <t>0</t>
        </is>
      </c>
      <c r="K174" t="inlineStr">
        <is>
          <t>Johnston, A. W. (Alan W.)</t>
        </is>
      </c>
      <c r="L174" t="inlineStr">
        <is>
          <t>Warminster, Wiltshire, England : Aris &amp; Philips, c1979.</t>
        </is>
      </c>
      <c r="M174" t="inlineStr">
        <is>
          <t>1979</t>
        </is>
      </c>
      <c r="O174" t="inlineStr">
        <is>
          <t>eng</t>
        </is>
      </c>
      <c r="P174" t="inlineStr">
        <is>
          <t>enk</t>
        </is>
      </c>
      <c r="R174" t="inlineStr">
        <is>
          <t xml:space="preserve">NK </t>
        </is>
      </c>
      <c r="S174" t="n">
        <v>6</v>
      </c>
      <c r="T174" t="n">
        <v>6</v>
      </c>
      <c r="U174" t="inlineStr">
        <is>
          <t>2006-09-06</t>
        </is>
      </c>
      <c r="V174" t="inlineStr">
        <is>
          <t>2006-09-06</t>
        </is>
      </c>
      <c r="W174" t="inlineStr">
        <is>
          <t>1993-06-01</t>
        </is>
      </c>
      <c r="X174" t="inlineStr">
        <is>
          <t>1993-06-01</t>
        </is>
      </c>
      <c r="Y174" t="n">
        <v>195</v>
      </c>
      <c r="Z174" t="n">
        <v>102</v>
      </c>
      <c r="AA174" t="n">
        <v>102</v>
      </c>
      <c r="AB174" t="n">
        <v>2</v>
      </c>
      <c r="AC174" t="n">
        <v>2</v>
      </c>
      <c r="AD174" t="n">
        <v>5</v>
      </c>
      <c r="AE174" t="n">
        <v>5</v>
      </c>
      <c r="AF174" t="n">
        <v>2</v>
      </c>
      <c r="AG174" t="n">
        <v>2</v>
      </c>
      <c r="AH174" t="n">
        <v>0</v>
      </c>
      <c r="AI174" t="n">
        <v>0</v>
      </c>
      <c r="AJ174" t="n">
        <v>4</v>
      </c>
      <c r="AK174" t="n">
        <v>4</v>
      </c>
      <c r="AL174" t="n">
        <v>1</v>
      </c>
      <c r="AM174" t="n">
        <v>1</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HYPERLINK("https://creighton-primo.hosted.exlibrisgroup.com/primo-explore/search?tab=default_tab&amp;search_scope=EVERYTHING&amp;vid=01CRU&amp;lang=en_US&amp;offset=0&amp;query=any,contains,991004966079702656","Catalog Record")</f>
        <v/>
      </c>
      <c r="AT174">
        <f>HYPERLINK("http://www.worldcat.org/oclc/6332848","WorldCat Record")</f>
        <v/>
      </c>
      <c r="AU174" t="inlineStr">
        <is>
          <t>292369485:eng</t>
        </is>
      </c>
      <c r="AV174" t="inlineStr">
        <is>
          <t>6332848</t>
        </is>
      </c>
      <c r="AW174" t="inlineStr">
        <is>
          <t>991004966079702656</t>
        </is>
      </c>
      <c r="AX174" t="inlineStr">
        <is>
          <t>991004966079702656</t>
        </is>
      </c>
      <c r="AY174" t="inlineStr">
        <is>
          <t>2270285440002656</t>
        </is>
      </c>
      <c r="AZ174" t="inlineStr">
        <is>
          <t>BOOK</t>
        </is>
      </c>
      <c r="BB174" t="inlineStr">
        <is>
          <t>9780856681233</t>
        </is>
      </c>
      <c r="BC174" t="inlineStr">
        <is>
          <t>32285001716231</t>
        </is>
      </c>
      <c r="BD174" t="inlineStr">
        <is>
          <t>893325990</t>
        </is>
      </c>
    </row>
    <row r="175">
      <c r="A175" t="inlineStr">
        <is>
          <t>No</t>
        </is>
      </c>
      <c r="B175" t="inlineStr">
        <is>
          <t>NK4645 .S365 1999</t>
        </is>
      </c>
      <c r="C175" t="inlineStr">
        <is>
          <t>0                      NK 4645000S  365         1999</t>
        </is>
      </c>
      <c r="D175" t="inlineStr">
        <is>
          <t>Athenian vase construction : a potter's analysis / Toby Schreiber.</t>
        </is>
      </c>
      <c r="F175" t="inlineStr">
        <is>
          <t>No</t>
        </is>
      </c>
      <c r="G175" t="inlineStr">
        <is>
          <t>1</t>
        </is>
      </c>
      <c r="H175" t="inlineStr">
        <is>
          <t>No</t>
        </is>
      </c>
      <c r="I175" t="inlineStr">
        <is>
          <t>No</t>
        </is>
      </c>
      <c r="J175" t="inlineStr">
        <is>
          <t>0</t>
        </is>
      </c>
      <c r="K175" t="inlineStr">
        <is>
          <t>Schreiber, Toby, 1925-</t>
        </is>
      </c>
      <c r="L175" t="inlineStr">
        <is>
          <t>Malibu, Calif. : J. Paul Getty Museum, 1999.</t>
        </is>
      </c>
      <c r="M175" t="inlineStr">
        <is>
          <t>1999</t>
        </is>
      </c>
      <c r="O175" t="inlineStr">
        <is>
          <t>eng</t>
        </is>
      </c>
      <c r="P175" t="inlineStr">
        <is>
          <t>cau</t>
        </is>
      </c>
      <c r="R175" t="inlineStr">
        <is>
          <t xml:space="preserve">NK </t>
        </is>
      </c>
      <c r="S175" t="n">
        <v>5</v>
      </c>
      <c r="T175" t="n">
        <v>5</v>
      </c>
      <c r="U175" t="inlineStr">
        <is>
          <t>2008-06-10</t>
        </is>
      </c>
      <c r="V175" t="inlineStr">
        <is>
          <t>2008-06-10</t>
        </is>
      </c>
      <c r="W175" t="inlineStr">
        <is>
          <t>2000-02-07</t>
        </is>
      </c>
      <c r="X175" t="inlineStr">
        <is>
          <t>2000-02-07</t>
        </is>
      </c>
      <c r="Y175" t="n">
        <v>552</v>
      </c>
      <c r="Z175" t="n">
        <v>464</v>
      </c>
      <c r="AA175" t="n">
        <v>506</v>
      </c>
      <c r="AB175" t="n">
        <v>5</v>
      </c>
      <c r="AC175" t="n">
        <v>5</v>
      </c>
      <c r="AD175" t="n">
        <v>22</v>
      </c>
      <c r="AE175" t="n">
        <v>23</v>
      </c>
      <c r="AF175" t="n">
        <v>9</v>
      </c>
      <c r="AG175" t="n">
        <v>9</v>
      </c>
      <c r="AH175" t="n">
        <v>4</v>
      </c>
      <c r="AI175" t="n">
        <v>5</v>
      </c>
      <c r="AJ175" t="n">
        <v>10</v>
      </c>
      <c r="AK175" t="n">
        <v>10</v>
      </c>
      <c r="AL175" t="n">
        <v>4</v>
      </c>
      <c r="AM175" t="n">
        <v>4</v>
      </c>
      <c r="AN175" t="n">
        <v>0</v>
      </c>
      <c r="AO175" t="n">
        <v>0</v>
      </c>
      <c r="AP175" t="inlineStr">
        <is>
          <t>No</t>
        </is>
      </c>
      <c r="AQ175" t="inlineStr">
        <is>
          <t>Yes</t>
        </is>
      </c>
      <c r="AR175">
        <f>HYPERLINK("http://catalog.hathitrust.org/Record/004029691","HathiTrust Record")</f>
        <v/>
      </c>
      <c r="AS175">
        <f>HYPERLINK("https://creighton-primo.hosted.exlibrisgroup.com/primo-explore/search?tab=default_tab&amp;search_scope=EVERYTHING&amp;vid=01CRU&amp;lang=en_US&amp;offset=0&amp;query=any,contains,991002897149702656","Catalog Record")</f>
        <v/>
      </c>
      <c r="AT175">
        <f>HYPERLINK("http://www.worldcat.org/oclc/38179875","WorldCat Record")</f>
        <v/>
      </c>
      <c r="AU175" t="inlineStr">
        <is>
          <t>42158044:eng</t>
        </is>
      </c>
      <c r="AV175" t="inlineStr">
        <is>
          <t>38179875</t>
        </is>
      </c>
      <c r="AW175" t="inlineStr">
        <is>
          <t>991002897149702656</t>
        </is>
      </c>
      <c r="AX175" t="inlineStr">
        <is>
          <t>991002897149702656</t>
        </is>
      </c>
      <c r="AY175" t="inlineStr">
        <is>
          <t>2265165710002656</t>
        </is>
      </c>
      <c r="AZ175" t="inlineStr">
        <is>
          <t>BOOK</t>
        </is>
      </c>
      <c r="BB175" t="inlineStr">
        <is>
          <t>9780892364657</t>
        </is>
      </c>
      <c r="BC175" t="inlineStr">
        <is>
          <t>32285003659256</t>
        </is>
      </c>
      <c r="BD175" t="inlineStr">
        <is>
          <t>893245789</t>
        </is>
      </c>
    </row>
    <row r="176">
      <c r="A176" t="inlineStr">
        <is>
          <t>No</t>
        </is>
      </c>
      <c r="B176" t="inlineStr">
        <is>
          <t>NK4645 .S63 1998</t>
        </is>
      </c>
      <c r="C176" t="inlineStr">
        <is>
          <t>0                      NK 4645000S  63          1998</t>
        </is>
      </c>
      <c r="D176" t="inlineStr">
        <is>
          <t>Homer and the artists : text and picture in early Greek art / Anthony Snodgrass.</t>
        </is>
      </c>
      <c r="F176" t="inlineStr">
        <is>
          <t>No</t>
        </is>
      </c>
      <c r="G176" t="inlineStr">
        <is>
          <t>1</t>
        </is>
      </c>
      <c r="H176" t="inlineStr">
        <is>
          <t>No</t>
        </is>
      </c>
      <c r="I176" t="inlineStr">
        <is>
          <t>No</t>
        </is>
      </c>
      <c r="J176" t="inlineStr">
        <is>
          <t>0</t>
        </is>
      </c>
      <c r="K176" t="inlineStr">
        <is>
          <t>Snodgrass, Anthony M.</t>
        </is>
      </c>
      <c r="L176" t="inlineStr">
        <is>
          <t>Cambridge ; New York : Cambridge University Press, 1998.</t>
        </is>
      </c>
      <c r="M176" t="inlineStr">
        <is>
          <t>1998</t>
        </is>
      </c>
      <c r="O176" t="inlineStr">
        <is>
          <t>eng</t>
        </is>
      </c>
      <c r="P176" t="inlineStr">
        <is>
          <t>enk</t>
        </is>
      </c>
      <c r="R176" t="inlineStr">
        <is>
          <t xml:space="preserve">NK </t>
        </is>
      </c>
      <c r="S176" t="n">
        <v>1</v>
      </c>
      <c r="T176" t="n">
        <v>1</v>
      </c>
      <c r="U176" t="inlineStr">
        <is>
          <t>2004-11-29</t>
        </is>
      </c>
      <c r="V176" t="inlineStr">
        <is>
          <t>2004-11-29</t>
        </is>
      </c>
      <c r="W176" t="inlineStr">
        <is>
          <t>1999-12-15</t>
        </is>
      </c>
      <c r="X176" t="inlineStr">
        <is>
          <t>1999-12-15</t>
        </is>
      </c>
      <c r="Y176" t="n">
        <v>456</v>
      </c>
      <c r="Z176" t="n">
        <v>310</v>
      </c>
      <c r="AA176" t="n">
        <v>310</v>
      </c>
      <c r="AB176" t="n">
        <v>4</v>
      </c>
      <c r="AC176" t="n">
        <v>4</v>
      </c>
      <c r="AD176" t="n">
        <v>23</v>
      </c>
      <c r="AE176" t="n">
        <v>23</v>
      </c>
      <c r="AF176" t="n">
        <v>9</v>
      </c>
      <c r="AG176" t="n">
        <v>9</v>
      </c>
      <c r="AH176" t="n">
        <v>5</v>
      </c>
      <c r="AI176" t="n">
        <v>5</v>
      </c>
      <c r="AJ176" t="n">
        <v>13</v>
      </c>
      <c r="AK176" t="n">
        <v>13</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HYPERLINK("https://creighton-primo.hosted.exlibrisgroup.com/primo-explore/search?tab=default_tab&amp;search_scope=EVERYTHING&amp;vid=01CRU&amp;lang=en_US&amp;offset=0&amp;query=any,contains,991002916899702656","Catalog Record")</f>
        <v/>
      </c>
      <c r="AT176">
        <f>HYPERLINK("http://www.worldcat.org/oclc/38566435","WorldCat Record")</f>
        <v/>
      </c>
      <c r="AU176" t="inlineStr">
        <is>
          <t>795129071:eng</t>
        </is>
      </c>
      <c r="AV176" t="inlineStr">
        <is>
          <t>38566435</t>
        </is>
      </c>
      <c r="AW176" t="inlineStr">
        <is>
          <t>991002916899702656</t>
        </is>
      </c>
      <c r="AX176" t="inlineStr">
        <is>
          <t>991002916899702656</t>
        </is>
      </c>
      <c r="AY176" t="inlineStr">
        <is>
          <t>2260910710002656</t>
        </is>
      </c>
      <c r="AZ176" t="inlineStr">
        <is>
          <t>BOOK</t>
        </is>
      </c>
      <c r="BB176" t="inlineStr">
        <is>
          <t>9780521620222</t>
        </is>
      </c>
      <c r="BC176" t="inlineStr">
        <is>
          <t>32285003633939</t>
        </is>
      </c>
      <c r="BD176" t="inlineStr">
        <is>
          <t>893874175</t>
        </is>
      </c>
    </row>
    <row r="177">
      <c r="A177" t="inlineStr">
        <is>
          <t>No</t>
        </is>
      </c>
      <c r="B177" t="inlineStr">
        <is>
          <t>NK4648 .C27 1986</t>
        </is>
      </c>
      <c r="C177" t="inlineStr">
        <is>
          <t>0                      NK 4648000C  27          1986</t>
        </is>
      </c>
      <c r="D177" t="inlineStr">
        <is>
          <t>Dionysian imagery in archaic Greek art : its development in black-figure vase painting / Thomas H. Carpenter.</t>
        </is>
      </c>
      <c r="F177" t="inlineStr">
        <is>
          <t>No</t>
        </is>
      </c>
      <c r="G177" t="inlineStr">
        <is>
          <t>1</t>
        </is>
      </c>
      <c r="H177" t="inlineStr">
        <is>
          <t>No</t>
        </is>
      </c>
      <c r="I177" t="inlineStr">
        <is>
          <t>No</t>
        </is>
      </c>
      <c r="J177" t="inlineStr">
        <is>
          <t>0</t>
        </is>
      </c>
      <c r="K177" t="inlineStr">
        <is>
          <t>Carpenter, Thomas H.</t>
        </is>
      </c>
      <c r="L177" t="inlineStr">
        <is>
          <t>Oxford [Oxfordshire] ; New York : Clarendon Press, 1986.</t>
        </is>
      </c>
      <c r="M177" t="inlineStr">
        <is>
          <t>1985</t>
        </is>
      </c>
      <c r="O177" t="inlineStr">
        <is>
          <t>eng</t>
        </is>
      </c>
      <c r="P177" t="inlineStr">
        <is>
          <t>enk</t>
        </is>
      </c>
      <c r="Q177" t="inlineStr">
        <is>
          <t>Oxford monographs on classical archaeology</t>
        </is>
      </c>
      <c r="R177" t="inlineStr">
        <is>
          <t xml:space="preserve">NK </t>
        </is>
      </c>
      <c r="S177" t="n">
        <v>12</v>
      </c>
      <c r="T177" t="n">
        <v>12</v>
      </c>
      <c r="U177" t="inlineStr">
        <is>
          <t>2009-04-17</t>
        </is>
      </c>
      <c r="V177" t="inlineStr">
        <is>
          <t>2009-04-17</t>
        </is>
      </c>
      <c r="W177" t="inlineStr">
        <is>
          <t>1992-02-07</t>
        </is>
      </c>
      <c r="X177" t="inlineStr">
        <is>
          <t>1992-02-07</t>
        </is>
      </c>
      <c r="Y177" t="n">
        <v>425</v>
      </c>
      <c r="Z177" t="n">
        <v>316</v>
      </c>
      <c r="AA177" t="n">
        <v>320</v>
      </c>
      <c r="AB177" t="n">
        <v>3</v>
      </c>
      <c r="AC177" t="n">
        <v>3</v>
      </c>
      <c r="AD177" t="n">
        <v>22</v>
      </c>
      <c r="AE177" t="n">
        <v>22</v>
      </c>
      <c r="AF177" t="n">
        <v>10</v>
      </c>
      <c r="AG177" t="n">
        <v>10</v>
      </c>
      <c r="AH177" t="n">
        <v>6</v>
      </c>
      <c r="AI177" t="n">
        <v>6</v>
      </c>
      <c r="AJ177" t="n">
        <v>13</v>
      </c>
      <c r="AK177" t="n">
        <v>13</v>
      </c>
      <c r="AL177" t="n">
        <v>2</v>
      </c>
      <c r="AM177" t="n">
        <v>2</v>
      </c>
      <c r="AN177" t="n">
        <v>0</v>
      </c>
      <c r="AO177" t="n">
        <v>0</v>
      </c>
      <c r="AP177" t="inlineStr">
        <is>
          <t>No</t>
        </is>
      </c>
      <c r="AQ177" t="inlineStr">
        <is>
          <t>Yes</t>
        </is>
      </c>
      <c r="AR177">
        <f>HYPERLINK("http://catalog.hathitrust.org/Record/000433183","HathiTrust Record")</f>
        <v/>
      </c>
      <c r="AS177">
        <f>HYPERLINK("https://creighton-primo.hosted.exlibrisgroup.com/primo-explore/search?tab=default_tab&amp;search_scope=EVERYTHING&amp;vid=01CRU&amp;lang=en_US&amp;offset=0&amp;query=any,contains,991000677069702656","Catalog Record")</f>
        <v/>
      </c>
      <c r="AT177">
        <f>HYPERLINK("http://www.worldcat.org/oclc/12369952","WorldCat Record")</f>
        <v/>
      </c>
      <c r="AU177" t="inlineStr">
        <is>
          <t>5016820:eng</t>
        </is>
      </c>
      <c r="AV177" t="inlineStr">
        <is>
          <t>12369952</t>
        </is>
      </c>
      <c r="AW177" t="inlineStr">
        <is>
          <t>991000677069702656</t>
        </is>
      </c>
      <c r="AX177" t="inlineStr">
        <is>
          <t>991000677069702656</t>
        </is>
      </c>
      <c r="AY177" t="inlineStr">
        <is>
          <t>2269151260002656</t>
        </is>
      </c>
      <c r="AZ177" t="inlineStr">
        <is>
          <t>BOOK</t>
        </is>
      </c>
      <c r="BB177" t="inlineStr">
        <is>
          <t>9780198132226</t>
        </is>
      </c>
      <c r="BC177" t="inlineStr">
        <is>
          <t>32285000950641</t>
        </is>
      </c>
      <c r="BD177" t="inlineStr">
        <is>
          <t>893237521</t>
        </is>
      </c>
    </row>
    <row r="178">
      <c r="A178" t="inlineStr">
        <is>
          <t>No</t>
        </is>
      </c>
      <c r="B178" t="inlineStr">
        <is>
          <t>NK4649 .B625 1989</t>
        </is>
      </c>
      <c r="C178" t="inlineStr">
        <is>
          <t>0                      NK 4649000B  625         1989</t>
        </is>
      </c>
      <c r="D178" t="inlineStr">
        <is>
          <t>Athenian red figure vases : the classical period : a handbook / John Boardman.</t>
        </is>
      </c>
      <c r="F178" t="inlineStr">
        <is>
          <t>No</t>
        </is>
      </c>
      <c r="G178" t="inlineStr">
        <is>
          <t>1</t>
        </is>
      </c>
      <c r="H178" t="inlineStr">
        <is>
          <t>No</t>
        </is>
      </c>
      <c r="I178" t="inlineStr">
        <is>
          <t>No</t>
        </is>
      </c>
      <c r="J178" t="inlineStr">
        <is>
          <t>0</t>
        </is>
      </c>
      <c r="K178" t="inlineStr">
        <is>
          <t>Boardman, John, 1927-</t>
        </is>
      </c>
      <c r="L178" t="inlineStr">
        <is>
          <t>New York : Thames and Hudson, 1989.</t>
        </is>
      </c>
      <c r="M178" t="inlineStr">
        <is>
          <t>1989</t>
        </is>
      </c>
      <c r="O178" t="inlineStr">
        <is>
          <t>eng</t>
        </is>
      </c>
      <c r="P178" t="inlineStr">
        <is>
          <t>nyu</t>
        </is>
      </c>
      <c r="Q178" t="inlineStr">
        <is>
          <t>World of art</t>
        </is>
      </c>
      <c r="R178" t="inlineStr">
        <is>
          <t xml:space="preserve">NK </t>
        </is>
      </c>
      <c r="S178" t="n">
        <v>28</v>
      </c>
      <c r="T178" t="n">
        <v>28</v>
      </c>
      <c r="U178" t="inlineStr">
        <is>
          <t>2010-03-04</t>
        </is>
      </c>
      <c r="V178" t="inlineStr">
        <is>
          <t>2010-03-04</t>
        </is>
      </c>
      <c r="W178" t="inlineStr">
        <is>
          <t>1990-11-13</t>
        </is>
      </c>
      <c r="X178" t="inlineStr">
        <is>
          <t>1990-11-13</t>
        </is>
      </c>
      <c r="Y178" t="n">
        <v>548</v>
      </c>
      <c r="Z178" t="n">
        <v>437</v>
      </c>
      <c r="AA178" t="n">
        <v>459</v>
      </c>
      <c r="AB178" t="n">
        <v>5</v>
      </c>
      <c r="AC178" t="n">
        <v>5</v>
      </c>
      <c r="AD178" t="n">
        <v>24</v>
      </c>
      <c r="AE178" t="n">
        <v>24</v>
      </c>
      <c r="AF178" t="n">
        <v>10</v>
      </c>
      <c r="AG178" t="n">
        <v>10</v>
      </c>
      <c r="AH178" t="n">
        <v>4</v>
      </c>
      <c r="AI178" t="n">
        <v>4</v>
      </c>
      <c r="AJ178" t="n">
        <v>13</v>
      </c>
      <c r="AK178" t="n">
        <v>13</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HYPERLINK("https://creighton-primo.hosted.exlibrisgroup.com/primo-explore/search?tab=default_tab&amp;search_scope=EVERYTHING&amp;vid=01CRU&amp;lang=en_US&amp;offset=0&amp;query=any,contains,991005411839702656","Catalog Record")</f>
        <v/>
      </c>
      <c r="AT178">
        <f>HYPERLINK("http://www.worldcat.org/oclc/20865937","WorldCat Record")</f>
        <v/>
      </c>
      <c r="AU178" t="inlineStr">
        <is>
          <t>5583111607:eng</t>
        </is>
      </c>
      <c r="AV178" t="inlineStr">
        <is>
          <t>20865937</t>
        </is>
      </c>
      <c r="AW178" t="inlineStr">
        <is>
          <t>991005411839702656</t>
        </is>
      </c>
      <c r="AX178" t="inlineStr">
        <is>
          <t>991005411839702656</t>
        </is>
      </c>
      <c r="AY178" t="inlineStr">
        <is>
          <t>2265626920002656</t>
        </is>
      </c>
      <c r="AZ178" t="inlineStr">
        <is>
          <t>BOOK</t>
        </is>
      </c>
      <c r="BB178" t="inlineStr">
        <is>
          <t>9780500202449</t>
        </is>
      </c>
      <c r="BC178" t="inlineStr">
        <is>
          <t>32285000314772</t>
        </is>
      </c>
      <c r="BD178" t="inlineStr">
        <is>
          <t>893607348</t>
        </is>
      </c>
    </row>
    <row r="179">
      <c r="A179" t="inlineStr">
        <is>
          <t>No</t>
        </is>
      </c>
      <c r="B179" t="inlineStr">
        <is>
          <t>NK4649 .F64</t>
        </is>
      </c>
      <c r="C179" t="inlineStr">
        <is>
          <t>0                      NK 4649000F  64</t>
        </is>
      </c>
      <c r="D179" t="inlineStr">
        <is>
          <t>Attic red-figured pottery / by Robert S. Folsom.</t>
        </is>
      </c>
      <c r="F179" t="inlineStr">
        <is>
          <t>No</t>
        </is>
      </c>
      <c r="G179" t="inlineStr">
        <is>
          <t>1</t>
        </is>
      </c>
      <c r="H179" t="inlineStr">
        <is>
          <t>No</t>
        </is>
      </c>
      <c r="I179" t="inlineStr">
        <is>
          <t>No</t>
        </is>
      </c>
      <c r="J179" t="inlineStr">
        <is>
          <t>0</t>
        </is>
      </c>
      <c r="K179" t="inlineStr">
        <is>
          <t>Folsom, Robert Slade.</t>
        </is>
      </c>
      <c r="L179" t="inlineStr">
        <is>
          <t>Park Ridge, N.J. : Noyes Press, c1976.</t>
        </is>
      </c>
      <c r="M179" t="inlineStr">
        <is>
          <t>1976</t>
        </is>
      </c>
      <c r="O179" t="inlineStr">
        <is>
          <t>eng</t>
        </is>
      </c>
      <c r="P179" t="inlineStr">
        <is>
          <t>nju</t>
        </is>
      </c>
      <c r="Q179" t="inlineStr">
        <is>
          <t>Noyes classical studies</t>
        </is>
      </c>
      <c r="R179" t="inlineStr">
        <is>
          <t xml:space="preserve">NK </t>
        </is>
      </c>
      <c r="S179" t="n">
        <v>3</v>
      </c>
      <c r="T179" t="n">
        <v>3</v>
      </c>
      <c r="U179" t="inlineStr">
        <is>
          <t>2006-04-24</t>
        </is>
      </c>
      <c r="V179" t="inlineStr">
        <is>
          <t>2006-04-24</t>
        </is>
      </c>
      <c r="W179" t="inlineStr">
        <is>
          <t>1990-05-09</t>
        </is>
      </c>
      <c r="X179" t="inlineStr">
        <is>
          <t>1990-05-09</t>
        </is>
      </c>
      <c r="Y179" t="n">
        <v>427</v>
      </c>
      <c r="Z179" t="n">
        <v>349</v>
      </c>
      <c r="AA179" t="n">
        <v>352</v>
      </c>
      <c r="AB179" t="n">
        <v>3</v>
      </c>
      <c r="AC179" t="n">
        <v>3</v>
      </c>
      <c r="AD179" t="n">
        <v>19</v>
      </c>
      <c r="AE179" t="n">
        <v>19</v>
      </c>
      <c r="AF179" t="n">
        <v>6</v>
      </c>
      <c r="AG179" t="n">
        <v>6</v>
      </c>
      <c r="AH179" t="n">
        <v>6</v>
      </c>
      <c r="AI179" t="n">
        <v>6</v>
      </c>
      <c r="AJ179" t="n">
        <v>13</v>
      </c>
      <c r="AK179" t="n">
        <v>13</v>
      </c>
      <c r="AL179" t="n">
        <v>2</v>
      </c>
      <c r="AM179" t="n">
        <v>2</v>
      </c>
      <c r="AN179" t="n">
        <v>0</v>
      </c>
      <c r="AO179" t="n">
        <v>0</v>
      </c>
      <c r="AP179" t="inlineStr">
        <is>
          <t>No</t>
        </is>
      </c>
      <c r="AQ179" t="inlineStr">
        <is>
          <t>Yes</t>
        </is>
      </c>
      <c r="AR179">
        <f>HYPERLINK("http://catalog.hathitrust.org/Record/008545154","HathiTrust Record")</f>
        <v/>
      </c>
      <c r="AS179">
        <f>HYPERLINK("https://creighton-primo.hosted.exlibrisgroup.com/primo-explore/search?tab=default_tab&amp;search_scope=EVERYTHING&amp;vid=01CRU&amp;lang=en_US&amp;offset=0&amp;query=any,contains,991004144879702656","Catalog Record")</f>
        <v/>
      </c>
      <c r="AT179">
        <f>HYPERLINK("http://www.worldcat.org/oclc/2507957","WorldCat Record")</f>
        <v/>
      </c>
      <c r="AU179" t="inlineStr">
        <is>
          <t>5181524:eng</t>
        </is>
      </c>
      <c r="AV179" t="inlineStr">
        <is>
          <t>2507957</t>
        </is>
      </c>
      <c r="AW179" t="inlineStr">
        <is>
          <t>991004144879702656</t>
        </is>
      </c>
      <c r="AX179" t="inlineStr">
        <is>
          <t>991004144879702656</t>
        </is>
      </c>
      <c r="AY179" t="inlineStr">
        <is>
          <t>2255229430002656</t>
        </is>
      </c>
      <c r="AZ179" t="inlineStr">
        <is>
          <t>BOOK</t>
        </is>
      </c>
      <c r="BB179" t="inlineStr">
        <is>
          <t>9780815550495</t>
        </is>
      </c>
      <c r="BC179" t="inlineStr">
        <is>
          <t>32285000136886</t>
        </is>
      </c>
      <c r="BD179" t="inlineStr">
        <is>
          <t>893331245</t>
        </is>
      </c>
    </row>
    <row r="180">
      <c r="A180" t="inlineStr">
        <is>
          <t>No</t>
        </is>
      </c>
      <c r="B180" t="inlineStr">
        <is>
          <t>NK4649 .T72</t>
        </is>
      </c>
      <c r="C180" t="inlineStr">
        <is>
          <t>0                      NK 4649000T  72</t>
        </is>
      </c>
      <c r="D180" t="inlineStr">
        <is>
          <t>The red-figured vases of Lucania, Campania and Sicily / by A.D. Trendall.</t>
        </is>
      </c>
      <c r="E180" t="inlineStr">
        <is>
          <t>V.1</t>
        </is>
      </c>
      <c r="F180" t="inlineStr">
        <is>
          <t>Yes</t>
        </is>
      </c>
      <c r="G180" t="inlineStr">
        <is>
          <t>1</t>
        </is>
      </c>
      <c r="H180" t="inlineStr">
        <is>
          <t>No</t>
        </is>
      </c>
      <c r="I180" t="inlineStr">
        <is>
          <t>No</t>
        </is>
      </c>
      <c r="J180" t="inlineStr">
        <is>
          <t>0</t>
        </is>
      </c>
      <c r="K180" t="inlineStr">
        <is>
          <t>Trendall, A. D. (Arthur Dale), 1909-1995.</t>
        </is>
      </c>
      <c r="L180" t="inlineStr">
        <is>
          <t>Oxford : Clarendon P., 1967.</t>
        </is>
      </c>
      <c r="M180" t="inlineStr">
        <is>
          <t>1967</t>
        </is>
      </c>
      <c r="O180" t="inlineStr">
        <is>
          <t>eng</t>
        </is>
      </c>
      <c r="P180" t="inlineStr">
        <is>
          <t>enk</t>
        </is>
      </c>
      <c r="Q180" t="inlineStr">
        <is>
          <t>Oxford monographs on classical archaeology</t>
        </is>
      </c>
      <c r="R180" t="inlineStr">
        <is>
          <t xml:space="preserve">NK </t>
        </is>
      </c>
      <c r="S180" t="n">
        <v>4</v>
      </c>
      <c r="T180" t="n">
        <v>8</v>
      </c>
      <c r="U180" t="inlineStr">
        <is>
          <t>1995-11-02</t>
        </is>
      </c>
      <c r="V180" t="inlineStr">
        <is>
          <t>1995-11-02</t>
        </is>
      </c>
      <c r="W180" t="inlineStr">
        <is>
          <t>1993-10-19</t>
        </is>
      </c>
      <c r="X180" t="inlineStr">
        <is>
          <t>1993-10-19</t>
        </is>
      </c>
      <c r="Y180" t="n">
        <v>288</v>
      </c>
      <c r="Z180" t="n">
        <v>195</v>
      </c>
      <c r="AA180" t="n">
        <v>197</v>
      </c>
      <c r="AB180" t="n">
        <v>2</v>
      </c>
      <c r="AC180" t="n">
        <v>2</v>
      </c>
      <c r="AD180" t="n">
        <v>9</v>
      </c>
      <c r="AE180" t="n">
        <v>9</v>
      </c>
      <c r="AF180" t="n">
        <v>1</v>
      </c>
      <c r="AG180" t="n">
        <v>1</v>
      </c>
      <c r="AH180" t="n">
        <v>3</v>
      </c>
      <c r="AI180" t="n">
        <v>3</v>
      </c>
      <c r="AJ180" t="n">
        <v>7</v>
      </c>
      <c r="AK180" t="n">
        <v>7</v>
      </c>
      <c r="AL180" t="n">
        <v>1</v>
      </c>
      <c r="AM180" t="n">
        <v>1</v>
      </c>
      <c r="AN180" t="n">
        <v>0</v>
      </c>
      <c r="AO180" t="n">
        <v>0</v>
      </c>
      <c r="AP180" t="inlineStr">
        <is>
          <t>No</t>
        </is>
      </c>
      <c r="AQ180" t="inlineStr">
        <is>
          <t>Yes</t>
        </is>
      </c>
      <c r="AR180">
        <f>HYPERLINK("http://catalog.hathitrust.org/Record/001471923","HathiTrust Record")</f>
        <v/>
      </c>
      <c r="AS180">
        <f>HYPERLINK("https://creighton-primo.hosted.exlibrisgroup.com/primo-explore/search?tab=default_tab&amp;search_scope=EVERYTHING&amp;vid=01CRU&amp;lang=en_US&amp;offset=0&amp;query=any,contains,991003063379702656","Catalog Record")</f>
        <v/>
      </c>
      <c r="AT180">
        <f>HYPERLINK("http://www.worldcat.org/oclc/620034","WorldCat Record")</f>
        <v/>
      </c>
      <c r="AU180" t="inlineStr">
        <is>
          <t>4451980484:eng</t>
        </is>
      </c>
      <c r="AV180" t="inlineStr">
        <is>
          <t>620034</t>
        </is>
      </c>
      <c r="AW180" t="inlineStr">
        <is>
          <t>991003063379702656</t>
        </is>
      </c>
      <c r="AX180" t="inlineStr">
        <is>
          <t>991003063379702656</t>
        </is>
      </c>
      <c r="AY180" t="inlineStr">
        <is>
          <t>2254724100002656</t>
        </is>
      </c>
      <c r="AZ180" t="inlineStr">
        <is>
          <t>BOOK</t>
        </is>
      </c>
      <c r="BC180" t="inlineStr">
        <is>
          <t>32285001794121</t>
        </is>
      </c>
      <c r="BD180" t="inlineStr">
        <is>
          <t>893805391</t>
        </is>
      </c>
    </row>
    <row r="181">
      <c r="A181" t="inlineStr">
        <is>
          <t>No</t>
        </is>
      </c>
      <c r="B181" t="inlineStr">
        <is>
          <t>NK4649 .T72</t>
        </is>
      </c>
      <c r="C181" t="inlineStr">
        <is>
          <t>0                      NK 4649000T  72</t>
        </is>
      </c>
      <c r="D181" t="inlineStr">
        <is>
          <t>The red-figured vases of Lucania, Campania and Sicily / by A.D. Trendall.</t>
        </is>
      </c>
      <c r="E181" t="inlineStr">
        <is>
          <t>V.2</t>
        </is>
      </c>
      <c r="F181" t="inlineStr">
        <is>
          <t>Yes</t>
        </is>
      </c>
      <c r="G181" t="inlineStr">
        <is>
          <t>1</t>
        </is>
      </c>
      <c r="H181" t="inlineStr">
        <is>
          <t>No</t>
        </is>
      </c>
      <c r="I181" t="inlineStr">
        <is>
          <t>No</t>
        </is>
      </c>
      <c r="J181" t="inlineStr">
        <is>
          <t>0</t>
        </is>
      </c>
      <c r="K181" t="inlineStr">
        <is>
          <t>Trendall, A. D. (Arthur Dale), 1909-1995.</t>
        </is>
      </c>
      <c r="L181" t="inlineStr">
        <is>
          <t>Oxford : Clarendon P., 1967.</t>
        </is>
      </c>
      <c r="M181" t="inlineStr">
        <is>
          <t>1967</t>
        </is>
      </c>
      <c r="O181" t="inlineStr">
        <is>
          <t>eng</t>
        </is>
      </c>
      <c r="P181" t="inlineStr">
        <is>
          <t>enk</t>
        </is>
      </c>
      <c r="Q181" t="inlineStr">
        <is>
          <t>Oxford monographs on classical archaeology</t>
        </is>
      </c>
      <c r="R181" t="inlineStr">
        <is>
          <t xml:space="preserve">NK </t>
        </is>
      </c>
      <c r="S181" t="n">
        <v>4</v>
      </c>
      <c r="T181" t="n">
        <v>8</v>
      </c>
      <c r="U181" t="inlineStr">
        <is>
          <t>1995-11-02</t>
        </is>
      </c>
      <c r="V181" t="inlineStr">
        <is>
          <t>1995-11-02</t>
        </is>
      </c>
      <c r="W181" t="inlineStr">
        <is>
          <t>1993-10-19</t>
        </is>
      </c>
      <c r="X181" t="inlineStr">
        <is>
          <t>1993-10-19</t>
        </is>
      </c>
      <c r="Y181" t="n">
        <v>288</v>
      </c>
      <c r="Z181" t="n">
        <v>195</v>
      </c>
      <c r="AA181" t="n">
        <v>197</v>
      </c>
      <c r="AB181" t="n">
        <v>2</v>
      </c>
      <c r="AC181" t="n">
        <v>2</v>
      </c>
      <c r="AD181" t="n">
        <v>9</v>
      </c>
      <c r="AE181" t="n">
        <v>9</v>
      </c>
      <c r="AF181" t="n">
        <v>1</v>
      </c>
      <c r="AG181" t="n">
        <v>1</v>
      </c>
      <c r="AH181" t="n">
        <v>3</v>
      </c>
      <c r="AI181" t="n">
        <v>3</v>
      </c>
      <c r="AJ181" t="n">
        <v>7</v>
      </c>
      <c r="AK181" t="n">
        <v>7</v>
      </c>
      <c r="AL181" t="n">
        <v>1</v>
      </c>
      <c r="AM181" t="n">
        <v>1</v>
      </c>
      <c r="AN181" t="n">
        <v>0</v>
      </c>
      <c r="AO181" t="n">
        <v>0</v>
      </c>
      <c r="AP181" t="inlineStr">
        <is>
          <t>No</t>
        </is>
      </c>
      <c r="AQ181" t="inlineStr">
        <is>
          <t>Yes</t>
        </is>
      </c>
      <c r="AR181">
        <f>HYPERLINK("http://catalog.hathitrust.org/Record/001471923","HathiTrust Record")</f>
        <v/>
      </c>
      <c r="AS181">
        <f>HYPERLINK("https://creighton-primo.hosted.exlibrisgroup.com/primo-explore/search?tab=default_tab&amp;search_scope=EVERYTHING&amp;vid=01CRU&amp;lang=en_US&amp;offset=0&amp;query=any,contains,991003063379702656","Catalog Record")</f>
        <v/>
      </c>
      <c r="AT181">
        <f>HYPERLINK("http://www.worldcat.org/oclc/620034","WorldCat Record")</f>
        <v/>
      </c>
      <c r="AU181" t="inlineStr">
        <is>
          <t>4451980484:eng</t>
        </is>
      </c>
      <c r="AV181" t="inlineStr">
        <is>
          <t>620034</t>
        </is>
      </c>
      <c r="AW181" t="inlineStr">
        <is>
          <t>991003063379702656</t>
        </is>
      </c>
      <c r="AX181" t="inlineStr">
        <is>
          <t>991003063379702656</t>
        </is>
      </c>
      <c r="AY181" t="inlineStr">
        <is>
          <t>2254724100002656</t>
        </is>
      </c>
      <c r="AZ181" t="inlineStr">
        <is>
          <t>BOOK</t>
        </is>
      </c>
      <c r="BC181" t="inlineStr">
        <is>
          <t>32285001794139</t>
        </is>
      </c>
      <c r="BD181" t="inlineStr">
        <is>
          <t>893774356</t>
        </is>
      </c>
    </row>
    <row r="182">
      <c r="A182" t="inlineStr">
        <is>
          <t>No</t>
        </is>
      </c>
      <c r="B182" t="inlineStr">
        <is>
          <t>NK4654 .B36 1976</t>
        </is>
      </c>
      <c r="C182" t="inlineStr">
        <is>
          <t>0                      NK 4654000B  36          1976</t>
        </is>
      </c>
      <c r="D182" t="inlineStr">
        <is>
          <t>Etruscan vase painting / by J. D. Beazley.</t>
        </is>
      </c>
      <c r="F182" t="inlineStr">
        <is>
          <t>No</t>
        </is>
      </c>
      <c r="G182" t="inlineStr">
        <is>
          <t>1</t>
        </is>
      </c>
      <c r="H182" t="inlineStr">
        <is>
          <t>No</t>
        </is>
      </c>
      <c r="I182" t="inlineStr">
        <is>
          <t>No</t>
        </is>
      </c>
      <c r="J182" t="inlineStr">
        <is>
          <t>0</t>
        </is>
      </c>
      <c r="K182" t="inlineStr">
        <is>
          <t>Beazley, J. D. (John Davidson), 1885-1970.</t>
        </is>
      </c>
      <c r="L182" t="inlineStr">
        <is>
          <t>New York : Hacker Art Books, 1976.</t>
        </is>
      </c>
      <c r="M182" t="inlineStr">
        <is>
          <t>1976</t>
        </is>
      </c>
      <c r="O182" t="inlineStr">
        <is>
          <t>eng</t>
        </is>
      </c>
      <c r="P182" t="inlineStr">
        <is>
          <t>nyu</t>
        </is>
      </c>
      <c r="R182" t="inlineStr">
        <is>
          <t xml:space="preserve">NK </t>
        </is>
      </c>
      <c r="S182" t="n">
        <v>4</v>
      </c>
      <c r="T182" t="n">
        <v>4</v>
      </c>
      <c r="U182" t="inlineStr">
        <is>
          <t>1995-11-02</t>
        </is>
      </c>
      <c r="V182" t="inlineStr">
        <is>
          <t>1995-11-02</t>
        </is>
      </c>
      <c r="W182" t="inlineStr">
        <is>
          <t>1993-06-01</t>
        </is>
      </c>
      <c r="X182" t="inlineStr">
        <is>
          <t>1993-06-01</t>
        </is>
      </c>
      <c r="Y182" t="n">
        <v>176</v>
      </c>
      <c r="Z182" t="n">
        <v>152</v>
      </c>
      <c r="AA182" t="n">
        <v>427</v>
      </c>
      <c r="AB182" t="n">
        <v>1</v>
      </c>
      <c r="AC182" t="n">
        <v>2</v>
      </c>
      <c r="AD182" t="n">
        <v>9</v>
      </c>
      <c r="AE182" t="n">
        <v>16</v>
      </c>
      <c r="AF182" t="n">
        <v>4</v>
      </c>
      <c r="AG182" t="n">
        <v>5</v>
      </c>
      <c r="AH182" t="n">
        <v>4</v>
      </c>
      <c r="AI182" t="n">
        <v>6</v>
      </c>
      <c r="AJ182" t="n">
        <v>7</v>
      </c>
      <c r="AK182" t="n">
        <v>11</v>
      </c>
      <c r="AL182" t="n">
        <v>0</v>
      </c>
      <c r="AM182" t="n">
        <v>1</v>
      </c>
      <c r="AN182" t="n">
        <v>0</v>
      </c>
      <c r="AO182" t="n">
        <v>0</v>
      </c>
      <c r="AP182" t="inlineStr">
        <is>
          <t>No</t>
        </is>
      </c>
      <c r="AQ182" t="inlineStr">
        <is>
          <t>Yes</t>
        </is>
      </c>
      <c r="AR182">
        <f>HYPERLINK("http://catalog.hathitrust.org/Record/004505839","HathiTrust Record")</f>
        <v/>
      </c>
      <c r="AS182">
        <f>HYPERLINK("https://creighton-primo.hosted.exlibrisgroup.com/primo-explore/search?tab=default_tab&amp;search_scope=EVERYTHING&amp;vid=01CRU&amp;lang=en_US&amp;offset=0&amp;query=any,contains,991004195209702656","Catalog Record")</f>
        <v/>
      </c>
      <c r="AT182">
        <f>HYPERLINK("http://www.worldcat.org/oclc/2644152","WorldCat Record")</f>
        <v/>
      </c>
      <c r="AU182" t="inlineStr">
        <is>
          <t>1532779:eng</t>
        </is>
      </c>
      <c r="AV182" t="inlineStr">
        <is>
          <t>2644152</t>
        </is>
      </c>
      <c r="AW182" t="inlineStr">
        <is>
          <t>991004195209702656</t>
        </is>
      </c>
      <c r="AX182" t="inlineStr">
        <is>
          <t>991004195209702656</t>
        </is>
      </c>
      <c r="AY182" t="inlineStr">
        <is>
          <t>2255553660002656</t>
        </is>
      </c>
      <c r="AZ182" t="inlineStr">
        <is>
          <t>BOOK</t>
        </is>
      </c>
      <c r="BB182" t="inlineStr">
        <is>
          <t>9780878171828</t>
        </is>
      </c>
      <c r="BC182" t="inlineStr">
        <is>
          <t>32285001716272</t>
        </is>
      </c>
      <c r="BD182" t="inlineStr">
        <is>
          <t>893894685</t>
        </is>
      </c>
    </row>
    <row r="183">
      <c r="A183" t="inlineStr">
        <is>
          <t>No</t>
        </is>
      </c>
      <c r="B183" t="inlineStr">
        <is>
          <t>NK4670 .F85</t>
        </is>
      </c>
      <c r="C183" t="inlineStr">
        <is>
          <t>0                      NK 4670000F  85</t>
        </is>
      </c>
      <c r="D183" t="inlineStr">
        <is>
          <t>Tile panels of Spain, 1500-1650.</t>
        </is>
      </c>
      <c r="F183" t="inlineStr">
        <is>
          <t>No</t>
        </is>
      </c>
      <c r="G183" t="inlineStr">
        <is>
          <t>1</t>
        </is>
      </c>
      <c r="H183" t="inlineStr">
        <is>
          <t>No</t>
        </is>
      </c>
      <c r="I183" t="inlineStr">
        <is>
          <t>No</t>
        </is>
      </c>
      <c r="J183" t="inlineStr">
        <is>
          <t>0</t>
        </is>
      </c>
      <c r="K183" t="inlineStr">
        <is>
          <t>Frothingham, Alice Wilson.</t>
        </is>
      </c>
      <c r="L183" t="inlineStr">
        <is>
          <t>New York, Printed by order of the trustees, Hispanic Society of America, 1969.</t>
        </is>
      </c>
      <c r="M183" t="inlineStr">
        <is>
          <t>1969</t>
        </is>
      </c>
      <c r="O183" t="inlineStr">
        <is>
          <t>eng</t>
        </is>
      </c>
      <c r="P183" t="inlineStr">
        <is>
          <t>nyu</t>
        </is>
      </c>
      <c r="Q183" t="inlineStr">
        <is>
          <t>Hispanic notes &amp; monographs. Peninsular series</t>
        </is>
      </c>
      <c r="R183" t="inlineStr">
        <is>
          <t xml:space="preserve">NK </t>
        </is>
      </c>
      <c r="S183" t="n">
        <v>2</v>
      </c>
      <c r="T183" t="n">
        <v>2</v>
      </c>
      <c r="U183" t="inlineStr">
        <is>
          <t>1999-11-30</t>
        </is>
      </c>
      <c r="V183" t="inlineStr">
        <is>
          <t>1999-11-30</t>
        </is>
      </c>
      <c r="W183" t="inlineStr">
        <is>
          <t>1997-08-07</t>
        </is>
      </c>
      <c r="X183" t="inlineStr">
        <is>
          <t>1997-08-07</t>
        </is>
      </c>
      <c r="Y183" t="n">
        <v>215</v>
      </c>
      <c r="Z183" t="n">
        <v>192</v>
      </c>
      <c r="AA183" t="n">
        <v>195</v>
      </c>
      <c r="AB183" t="n">
        <v>2</v>
      </c>
      <c r="AC183" t="n">
        <v>2</v>
      </c>
      <c r="AD183" t="n">
        <v>6</v>
      </c>
      <c r="AE183" t="n">
        <v>6</v>
      </c>
      <c r="AF183" t="n">
        <v>2</v>
      </c>
      <c r="AG183" t="n">
        <v>2</v>
      </c>
      <c r="AH183" t="n">
        <v>1</v>
      </c>
      <c r="AI183" t="n">
        <v>1</v>
      </c>
      <c r="AJ183" t="n">
        <v>2</v>
      </c>
      <c r="AK183" t="n">
        <v>2</v>
      </c>
      <c r="AL183" t="n">
        <v>1</v>
      </c>
      <c r="AM183" t="n">
        <v>1</v>
      </c>
      <c r="AN183" t="n">
        <v>0</v>
      </c>
      <c r="AO183" t="n">
        <v>0</v>
      </c>
      <c r="AP183" t="inlineStr">
        <is>
          <t>No</t>
        </is>
      </c>
      <c r="AQ183" t="inlineStr">
        <is>
          <t>Yes</t>
        </is>
      </c>
      <c r="AR183">
        <f>HYPERLINK("http://catalog.hathitrust.org/Record/007905055","HathiTrust Record")</f>
        <v/>
      </c>
      <c r="AS183">
        <f>HYPERLINK("https://creighton-primo.hosted.exlibrisgroup.com/primo-explore/search?tab=default_tab&amp;search_scope=EVERYTHING&amp;vid=01CRU&amp;lang=en_US&amp;offset=0&amp;query=any,contains,991000063289702656","Catalog Record")</f>
        <v/>
      </c>
      <c r="AT183">
        <f>HYPERLINK("http://www.worldcat.org/oclc/25930","WorldCat Record")</f>
        <v/>
      </c>
      <c r="AU183" t="inlineStr">
        <is>
          <t>1165439:eng</t>
        </is>
      </c>
      <c r="AV183" t="inlineStr">
        <is>
          <t>25930</t>
        </is>
      </c>
      <c r="AW183" t="inlineStr">
        <is>
          <t>991000063289702656</t>
        </is>
      </c>
      <c r="AX183" t="inlineStr">
        <is>
          <t>991000063289702656</t>
        </is>
      </c>
      <c r="AY183" t="inlineStr">
        <is>
          <t>2268701570002656</t>
        </is>
      </c>
      <c r="AZ183" t="inlineStr">
        <is>
          <t>BOOK</t>
        </is>
      </c>
      <c r="BC183" t="inlineStr">
        <is>
          <t>32285003047593</t>
        </is>
      </c>
      <c r="BD183" t="inlineStr">
        <is>
          <t>893431643</t>
        </is>
      </c>
    </row>
    <row r="184">
      <c r="A184" t="inlineStr">
        <is>
          <t>No</t>
        </is>
      </c>
      <c r="B184" t="inlineStr">
        <is>
          <t>NK4670.7.G7 A8 1981</t>
        </is>
      </c>
      <c r="C184" t="inlineStr">
        <is>
          <t>0                      NK 4670700G  7                  A  8           1981</t>
        </is>
      </c>
      <c r="D184" t="inlineStr">
        <is>
          <t>The decorated tile : an illustrated history of English tile-making and design / J &amp; B Austwick.</t>
        </is>
      </c>
      <c r="F184" t="inlineStr">
        <is>
          <t>No</t>
        </is>
      </c>
      <c r="G184" t="inlineStr">
        <is>
          <t>1</t>
        </is>
      </c>
      <c r="H184" t="inlineStr">
        <is>
          <t>No</t>
        </is>
      </c>
      <c r="I184" t="inlineStr">
        <is>
          <t>No</t>
        </is>
      </c>
      <c r="J184" t="inlineStr">
        <is>
          <t>0</t>
        </is>
      </c>
      <c r="K184" t="inlineStr">
        <is>
          <t>Austwick, J. (Jill)</t>
        </is>
      </c>
      <c r="L184" t="inlineStr">
        <is>
          <t>New York : Scribner, 1981, c1980.</t>
        </is>
      </c>
      <c r="M184" t="inlineStr">
        <is>
          <t>1981</t>
        </is>
      </c>
      <c r="N184" t="inlineStr">
        <is>
          <t>1st U.S. ed.</t>
        </is>
      </c>
      <c r="O184" t="inlineStr">
        <is>
          <t>eng</t>
        </is>
      </c>
      <c r="P184" t="inlineStr">
        <is>
          <t>nyu</t>
        </is>
      </c>
      <c r="R184" t="inlineStr">
        <is>
          <t xml:space="preserve">NK </t>
        </is>
      </c>
      <c r="S184" t="n">
        <v>7</v>
      </c>
      <c r="T184" t="n">
        <v>7</v>
      </c>
      <c r="U184" t="inlineStr">
        <is>
          <t>1996-03-06</t>
        </is>
      </c>
      <c r="V184" t="inlineStr">
        <is>
          <t>1996-03-06</t>
        </is>
      </c>
      <c r="W184" t="inlineStr">
        <is>
          <t>1993-06-01</t>
        </is>
      </c>
      <c r="X184" t="inlineStr">
        <is>
          <t>1993-06-01</t>
        </is>
      </c>
      <c r="Y184" t="n">
        <v>309</v>
      </c>
      <c r="Z184" t="n">
        <v>267</v>
      </c>
      <c r="AA184" t="n">
        <v>381</v>
      </c>
      <c r="AB184" t="n">
        <v>1</v>
      </c>
      <c r="AC184" t="n">
        <v>2</v>
      </c>
      <c r="AD184" t="n">
        <v>2</v>
      </c>
      <c r="AE184" t="n">
        <v>6</v>
      </c>
      <c r="AF184" t="n">
        <v>1</v>
      </c>
      <c r="AG184" t="n">
        <v>4</v>
      </c>
      <c r="AH184" t="n">
        <v>0</v>
      </c>
      <c r="AI184" t="n">
        <v>0</v>
      </c>
      <c r="AJ184" t="n">
        <v>1</v>
      </c>
      <c r="AK184" t="n">
        <v>2</v>
      </c>
      <c r="AL184" t="n">
        <v>0</v>
      </c>
      <c r="AM184" t="n">
        <v>1</v>
      </c>
      <c r="AN184" t="n">
        <v>0</v>
      </c>
      <c r="AO184" t="n">
        <v>0</v>
      </c>
      <c r="AP184" t="inlineStr">
        <is>
          <t>No</t>
        </is>
      </c>
      <c r="AQ184" t="inlineStr">
        <is>
          <t>Yes</t>
        </is>
      </c>
      <c r="AR184">
        <f>HYPERLINK("http://catalog.hathitrust.org/Record/007478965","HathiTrust Record")</f>
        <v/>
      </c>
      <c r="AS184">
        <f>HYPERLINK("https://creighton-primo.hosted.exlibrisgroup.com/primo-explore/search?tab=default_tab&amp;search_scope=EVERYTHING&amp;vid=01CRU&amp;lang=en_US&amp;offset=0&amp;query=any,contains,991005103659702656","Catalog Record")</f>
        <v/>
      </c>
      <c r="AT184">
        <f>HYPERLINK("http://www.worldcat.org/oclc/7310406","WorldCat Record")</f>
        <v/>
      </c>
      <c r="AU184" t="inlineStr">
        <is>
          <t>890729602:eng</t>
        </is>
      </c>
      <c r="AV184" t="inlineStr">
        <is>
          <t>7310406</t>
        </is>
      </c>
      <c r="AW184" t="inlineStr">
        <is>
          <t>991005103659702656</t>
        </is>
      </c>
      <c r="AX184" t="inlineStr">
        <is>
          <t>991005103659702656</t>
        </is>
      </c>
      <c r="AY184" t="inlineStr">
        <is>
          <t>2265723810002656</t>
        </is>
      </c>
      <c r="AZ184" t="inlineStr">
        <is>
          <t>BOOK</t>
        </is>
      </c>
      <c r="BB184" t="inlineStr">
        <is>
          <t>9780684167619</t>
        </is>
      </c>
      <c r="BC184" t="inlineStr">
        <is>
          <t>32285001716280</t>
        </is>
      </c>
      <c r="BD184" t="inlineStr">
        <is>
          <t>893350717</t>
        </is>
      </c>
    </row>
    <row r="185">
      <c r="A185" t="inlineStr">
        <is>
          <t>No</t>
        </is>
      </c>
      <c r="B185" t="inlineStr">
        <is>
          <t>NK5109.85.A7 A78 1987</t>
        </is>
      </c>
      <c r="C185" t="inlineStr">
        <is>
          <t>0                      NK 5109850A  7                  A  78          1987</t>
        </is>
      </c>
      <c r="D185" t="inlineStr">
        <is>
          <t>Glass : art nouveau to art deco / Victor Arwas.</t>
        </is>
      </c>
      <c r="F185" t="inlineStr">
        <is>
          <t>No</t>
        </is>
      </c>
      <c r="G185" t="inlineStr">
        <is>
          <t>1</t>
        </is>
      </c>
      <c r="H185" t="inlineStr">
        <is>
          <t>No</t>
        </is>
      </c>
      <c r="I185" t="inlineStr">
        <is>
          <t>No</t>
        </is>
      </c>
      <c r="J185" t="inlineStr">
        <is>
          <t>0</t>
        </is>
      </c>
      <c r="K185" t="inlineStr">
        <is>
          <t>Arwas, Victor.</t>
        </is>
      </c>
      <c r="L185" t="inlineStr">
        <is>
          <t>New York, N.Y. : H.N. Abrams, 1987.</t>
        </is>
      </c>
      <c r="M185" t="inlineStr">
        <is>
          <t>1987</t>
        </is>
      </c>
      <c r="O185" t="inlineStr">
        <is>
          <t>eng</t>
        </is>
      </c>
      <c r="P185" t="inlineStr">
        <is>
          <t>nyu</t>
        </is>
      </c>
      <c r="R185" t="inlineStr">
        <is>
          <t xml:space="preserve">NK </t>
        </is>
      </c>
      <c r="S185" t="n">
        <v>10</v>
      </c>
      <c r="T185" t="n">
        <v>10</v>
      </c>
      <c r="U185" t="inlineStr">
        <is>
          <t>2006-04-17</t>
        </is>
      </c>
      <c r="V185" t="inlineStr">
        <is>
          <t>2006-04-17</t>
        </is>
      </c>
      <c r="W185" t="inlineStr">
        <is>
          <t>1990-07-02</t>
        </is>
      </c>
      <c r="X185" t="inlineStr">
        <is>
          <t>1990-07-02</t>
        </is>
      </c>
      <c r="Y185" t="n">
        <v>386</v>
      </c>
      <c r="Z185" t="n">
        <v>345</v>
      </c>
      <c r="AA185" t="n">
        <v>663</v>
      </c>
      <c r="AB185" t="n">
        <v>3</v>
      </c>
      <c r="AC185" t="n">
        <v>4</v>
      </c>
      <c r="AD185" t="n">
        <v>6</v>
      </c>
      <c r="AE185" t="n">
        <v>14</v>
      </c>
      <c r="AF185" t="n">
        <v>1</v>
      </c>
      <c r="AG185" t="n">
        <v>6</v>
      </c>
      <c r="AH185" t="n">
        <v>2</v>
      </c>
      <c r="AI185" t="n">
        <v>3</v>
      </c>
      <c r="AJ185" t="n">
        <v>3</v>
      </c>
      <c r="AK185" t="n">
        <v>8</v>
      </c>
      <c r="AL185" t="n">
        <v>1</v>
      </c>
      <c r="AM185" t="n">
        <v>2</v>
      </c>
      <c r="AN185" t="n">
        <v>0</v>
      </c>
      <c r="AO185" t="n">
        <v>0</v>
      </c>
      <c r="AP185" t="inlineStr">
        <is>
          <t>No</t>
        </is>
      </c>
      <c r="AQ185" t="inlineStr">
        <is>
          <t>Yes</t>
        </is>
      </c>
      <c r="AR185">
        <f>HYPERLINK("http://catalog.hathitrust.org/Record/102094377","HathiTrust Record")</f>
        <v/>
      </c>
      <c r="AS185">
        <f>HYPERLINK("https://creighton-primo.hosted.exlibrisgroup.com/primo-explore/search?tab=default_tab&amp;search_scope=EVERYTHING&amp;vid=01CRU&amp;lang=en_US&amp;offset=0&amp;query=any,contains,991001009729702656","Catalog Record")</f>
        <v/>
      </c>
      <c r="AT185">
        <f>HYPERLINK("http://www.worldcat.org/oclc/15280942","WorldCat Record")</f>
        <v/>
      </c>
      <c r="AU185" t="inlineStr">
        <is>
          <t>10409392:eng</t>
        </is>
      </c>
      <c r="AV185" t="inlineStr">
        <is>
          <t>15280942</t>
        </is>
      </c>
      <c r="AW185" t="inlineStr">
        <is>
          <t>991001009729702656</t>
        </is>
      </c>
      <c r="AX185" t="inlineStr">
        <is>
          <t>991001009729702656</t>
        </is>
      </c>
      <c r="AY185" t="inlineStr">
        <is>
          <t>2262738250002656</t>
        </is>
      </c>
      <c r="AZ185" t="inlineStr">
        <is>
          <t>BOOK</t>
        </is>
      </c>
      <c r="BB185" t="inlineStr">
        <is>
          <t>9780810910287</t>
        </is>
      </c>
      <c r="BC185" t="inlineStr">
        <is>
          <t>32285005247050</t>
        </is>
      </c>
      <c r="BD185" t="inlineStr">
        <is>
          <t>893696382</t>
        </is>
      </c>
    </row>
    <row r="186">
      <c r="A186" t="inlineStr">
        <is>
          <t>No</t>
        </is>
      </c>
      <c r="B186" t="inlineStr">
        <is>
          <t>NK5110 .G413 1982</t>
        </is>
      </c>
      <c r="C186" t="inlineStr">
        <is>
          <t>0                      NK 5110000G  413         1982</t>
        </is>
      </c>
      <c r="D186" t="inlineStr">
        <is>
          <t>Contemporary studio glass : an international collection / edited by The National Museum of Modern Art, Kyoto ; photography by Harumi Konishi.</t>
        </is>
      </c>
      <c r="F186" t="inlineStr">
        <is>
          <t>No</t>
        </is>
      </c>
      <c r="G186" t="inlineStr">
        <is>
          <t>1</t>
        </is>
      </c>
      <c r="H186" t="inlineStr">
        <is>
          <t>No</t>
        </is>
      </c>
      <c r="I186" t="inlineStr">
        <is>
          <t>No</t>
        </is>
      </c>
      <c r="J186" t="inlineStr">
        <is>
          <t>0</t>
        </is>
      </c>
      <c r="K186" t="inlineStr">
        <is>
          <t>Gendai sekai no garasu. English.</t>
        </is>
      </c>
      <c r="L186" t="inlineStr">
        <is>
          <t>New York : Weatherhill ; Kyoto : Tankosha, 1982, c1981.</t>
        </is>
      </c>
      <c r="M186" t="inlineStr">
        <is>
          <t>1982</t>
        </is>
      </c>
      <c r="N186" t="inlineStr">
        <is>
          <t>1st ed.</t>
        </is>
      </c>
      <c r="O186" t="inlineStr">
        <is>
          <t>eng</t>
        </is>
      </c>
      <c r="P186" t="inlineStr">
        <is>
          <t>nyu</t>
        </is>
      </c>
      <c r="R186" t="inlineStr">
        <is>
          <t xml:space="preserve">NK </t>
        </is>
      </c>
      <c r="S186" t="n">
        <v>18</v>
      </c>
      <c r="T186" t="n">
        <v>18</v>
      </c>
      <c r="U186" t="inlineStr">
        <is>
          <t>2006-04-17</t>
        </is>
      </c>
      <c r="V186" t="inlineStr">
        <is>
          <t>2006-04-17</t>
        </is>
      </c>
      <c r="W186" t="inlineStr">
        <is>
          <t>1994-06-06</t>
        </is>
      </c>
      <c r="X186" t="inlineStr">
        <is>
          <t>1994-06-06</t>
        </is>
      </c>
      <c r="Y186" t="n">
        <v>124</v>
      </c>
      <c r="Z186" t="n">
        <v>87</v>
      </c>
      <c r="AA186" t="n">
        <v>87</v>
      </c>
      <c r="AB186" t="n">
        <v>2</v>
      </c>
      <c r="AC186" t="n">
        <v>2</v>
      </c>
      <c r="AD186" t="n">
        <v>2</v>
      </c>
      <c r="AE186" t="n">
        <v>2</v>
      </c>
      <c r="AF186" t="n">
        <v>1</v>
      </c>
      <c r="AG186" t="n">
        <v>1</v>
      </c>
      <c r="AH186" t="n">
        <v>0</v>
      </c>
      <c r="AI186" t="n">
        <v>0</v>
      </c>
      <c r="AJ186" t="n">
        <v>1</v>
      </c>
      <c r="AK186" t="n">
        <v>1</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HYPERLINK("https://creighton-primo.hosted.exlibrisgroup.com/primo-explore/search?tab=default_tab&amp;search_scope=EVERYTHING&amp;vid=01CRU&amp;lang=en_US&amp;offset=0&amp;query=any,contains,991005394989702656","Catalog Record")</f>
        <v/>
      </c>
      <c r="AT186">
        <f>HYPERLINK("http://www.worldcat.org/oclc/8306430","WorldCat Record")</f>
        <v/>
      </c>
      <c r="AU186" t="inlineStr">
        <is>
          <t>3857288324:eng</t>
        </is>
      </c>
      <c r="AV186" t="inlineStr">
        <is>
          <t>8306430</t>
        </is>
      </c>
      <c r="AW186" t="inlineStr">
        <is>
          <t>991005394989702656</t>
        </is>
      </c>
      <c r="AX186" t="inlineStr">
        <is>
          <t>991005394989702656</t>
        </is>
      </c>
      <c r="AY186" t="inlineStr">
        <is>
          <t>2269210800002656</t>
        </is>
      </c>
      <c r="AZ186" t="inlineStr">
        <is>
          <t>BOOK</t>
        </is>
      </c>
      <c r="BB186" t="inlineStr">
        <is>
          <t>9780834815254</t>
        </is>
      </c>
      <c r="BC186" t="inlineStr">
        <is>
          <t>32285001921401</t>
        </is>
      </c>
      <c r="BD186" t="inlineStr">
        <is>
          <t>893707846</t>
        </is>
      </c>
    </row>
    <row r="187">
      <c r="A187" t="inlineStr">
        <is>
          <t>No</t>
        </is>
      </c>
      <c r="B187" t="inlineStr">
        <is>
          <t>NK5112 .R4</t>
        </is>
      </c>
      <c r="C187" t="inlineStr">
        <is>
          <t>0                      NK 5112000R  4</t>
        </is>
      </c>
      <c r="D187" t="inlineStr">
        <is>
          <t>American pressed glass and figure bottles.</t>
        </is>
      </c>
      <c r="F187" t="inlineStr">
        <is>
          <t>No</t>
        </is>
      </c>
      <c r="G187" t="inlineStr">
        <is>
          <t>1</t>
        </is>
      </c>
      <c r="H187" t="inlineStr">
        <is>
          <t>No</t>
        </is>
      </c>
      <c r="I187" t="inlineStr">
        <is>
          <t>No</t>
        </is>
      </c>
      <c r="J187" t="inlineStr">
        <is>
          <t>0</t>
        </is>
      </c>
      <c r="K187" t="inlineStr">
        <is>
          <t>Revi, Albert Christian.</t>
        </is>
      </c>
      <c r="L187" t="inlineStr">
        <is>
          <t>New York, Nelson [1964]</t>
        </is>
      </c>
      <c r="M187" t="inlineStr">
        <is>
          <t>1964</t>
        </is>
      </c>
      <c r="O187" t="inlineStr">
        <is>
          <t>eng</t>
        </is>
      </c>
      <c r="P187" t="inlineStr">
        <is>
          <t>nyu</t>
        </is>
      </c>
      <c r="R187" t="inlineStr">
        <is>
          <t xml:space="preserve">NK </t>
        </is>
      </c>
      <c r="S187" t="n">
        <v>1</v>
      </c>
      <c r="T187" t="n">
        <v>1</v>
      </c>
      <c r="U187" t="inlineStr">
        <is>
          <t>2010-07-06</t>
        </is>
      </c>
      <c r="V187" t="inlineStr">
        <is>
          <t>2010-07-06</t>
        </is>
      </c>
      <c r="W187" t="inlineStr">
        <is>
          <t>1997-08-08</t>
        </is>
      </c>
      <c r="X187" t="inlineStr">
        <is>
          <t>1997-08-08</t>
        </is>
      </c>
      <c r="Y187" t="n">
        <v>606</v>
      </c>
      <c r="Z187" t="n">
        <v>569</v>
      </c>
      <c r="AA187" t="n">
        <v>575</v>
      </c>
      <c r="AB187" t="n">
        <v>5</v>
      </c>
      <c r="AC187" t="n">
        <v>5</v>
      </c>
      <c r="AD187" t="n">
        <v>3</v>
      </c>
      <c r="AE187" t="n">
        <v>3</v>
      </c>
      <c r="AF187" t="n">
        <v>0</v>
      </c>
      <c r="AG187" t="n">
        <v>0</v>
      </c>
      <c r="AH187" t="n">
        <v>0</v>
      </c>
      <c r="AI187" t="n">
        <v>0</v>
      </c>
      <c r="AJ187" t="n">
        <v>1</v>
      </c>
      <c r="AK187" t="n">
        <v>1</v>
      </c>
      <c r="AL187" t="n">
        <v>2</v>
      </c>
      <c r="AM187" t="n">
        <v>2</v>
      </c>
      <c r="AN187" t="n">
        <v>0</v>
      </c>
      <c r="AO187" t="n">
        <v>0</v>
      </c>
      <c r="AP187" t="inlineStr">
        <is>
          <t>No</t>
        </is>
      </c>
      <c r="AQ187" t="inlineStr">
        <is>
          <t>Yes</t>
        </is>
      </c>
      <c r="AR187">
        <f>HYPERLINK("http://catalog.hathitrust.org/Record/005923070","HathiTrust Record")</f>
        <v/>
      </c>
      <c r="AS187">
        <f>HYPERLINK("https://creighton-primo.hosted.exlibrisgroup.com/primo-explore/search?tab=default_tab&amp;search_scope=EVERYTHING&amp;vid=01CRU&amp;lang=en_US&amp;offset=0&amp;query=any,contains,991003431259702656","Catalog Record")</f>
        <v/>
      </c>
      <c r="AT187">
        <f>HYPERLINK("http://www.worldcat.org/oclc/965803","WorldCat Record")</f>
        <v/>
      </c>
      <c r="AU187" t="inlineStr">
        <is>
          <t>1920332:eng</t>
        </is>
      </c>
      <c r="AV187" t="inlineStr">
        <is>
          <t>965803</t>
        </is>
      </c>
      <c r="AW187" t="inlineStr">
        <is>
          <t>991003431259702656</t>
        </is>
      </c>
      <c r="AX187" t="inlineStr">
        <is>
          <t>991003431259702656</t>
        </is>
      </c>
      <c r="AY187" t="inlineStr">
        <is>
          <t>2261155540002656</t>
        </is>
      </c>
      <c r="AZ187" t="inlineStr">
        <is>
          <t>BOOK</t>
        </is>
      </c>
      <c r="BC187" t="inlineStr">
        <is>
          <t>32285003047726</t>
        </is>
      </c>
      <c r="BD187" t="inlineStr">
        <is>
          <t>893698999</t>
        </is>
      </c>
    </row>
    <row r="188">
      <c r="A188" t="inlineStr">
        <is>
          <t>No</t>
        </is>
      </c>
      <c r="B188" t="inlineStr">
        <is>
          <t>NK5143 .D3</t>
        </is>
      </c>
      <c r="C188" t="inlineStr">
        <is>
          <t>0                      NK 5143000D  3</t>
        </is>
      </c>
      <c r="D188" t="inlineStr">
        <is>
          <t>English and Irish antique glass / [by] Derek C. Davis.</t>
        </is>
      </c>
      <c r="F188" t="inlineStr">
        <is>
          <t>No</t>
        </is>
      </c>
      <c r="G188" t="inlineStr">
        <is>
          <t>1</t>
        </is>
      </c>
      <c r="H188" t="inlineStr">
        <is>
          <t>No</t>
        </is>
      </c>
      <c r="I188" t="inlineStr">
        <is>
          <t>No</t>
        </is>
      </c>
      <c r="J188" t="inlineStr">
        <is>
          <t>0</t>
        </is>
      </c>
      <c r="K188" t="inlineStr">
        <is>
          <t>Davis, Derek C.</t>
        </is>
      </c>
      <c r="L188" t="inlineStr">
        <is>
          <t>New York : Praeger, [1965]</t>
        </is>
      </c>
      <c r="M188" t="inlineStr">
        <is>
          <t>1965</t>
        </is>
      </c>
      <c r="O188" t="inlineStr">
        <is>
          <t>eng</t>
        </is>
      </c>
      <c r="P188" t="inlineStr">
        <is>
          <t>nyu</t>
        </is>
      </c>
      <c r="R188" t="inlineStr">
        <is>
          <t xml:space="preserve">NK </t>
        </is>
      </c>
      <c r="S188" t="n">
        <v>3</v>
      </c>
      <c r="T188" t="n">
        <v>3</v>
      </c>
      <c r="U188" t="inlineStr">
        <is>
          <t>1996-09-06</t>
        </is>
      </c>
      <c r="V188" t="inlineStr">
        <is>
          <t>1996-09-06</t>
        </is>
      </c>
      <c r="W188" t="inlineStr">
        <is>
          <t>1995-08-08</t>
        </is>
      </c>
      <c r="X188" t="inlineStr">
        <is>
          <t>1995-08-08</t>
        </is>
      </c>
      <c r="Y188" t="n">
        <v>187</v>
      </c>
      <c r="Z188" t="n">
        <v>186</v>
      </c>
      <c r="AA188" t="n">
        <v>225</v>
      </c>
      <c r="AB188" t="n">
        <v>2</v>
      </c>
      <c r="AC188" t="n">
        <v>2</v>
      </c>
      <c r="AD188" t="n">
        <v>3</v>
      </c>
      <c r="AE188" t="n">
        <v>3</v>
      </c>
      <c r="AF188" t="n">
        <v>0</v>
      </c>
      <c r="AG188" t="n">
        <v>0</v>
      </c>
      <c r="AH188" t="n">
        <v>1</v>
      </c>
      <c r="AI188" t="n">
        <v>1</v>
      </c>
      <c r="AJ188" t="n">
        <v>1</v>
      </c>
      <c r="AK188" t="n">
        <v>1</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HYPERLINK("https://creighton-primo.hosted.exlibrisgroup.com/primo-explore/search?tab=default_tab&amp;search_scope=EVERYTHING&amp;vid=01CRU&amp;lang=en_US&amp;offset=0&amp;query=any,contains,991003773269702656","Catalog Record")</f>
        <v/>
      </c>
      <c r="AT188">
        <f>HYPERLINK("http://www.worldcat.org/oclc/1476053","WorldCat Record")</f>
        <v/>
      </c>
      <c r="AU188" t="inlineStr">
        <is>
          <t>2364722:eng</t>
        </is>
      </c>
      <c r="AV188" t="inlineStr">
        <is>
          <t>1476053</t>
        </is>
      </c>
      <c r="AW188" t="inlineStr">
        <is>
          <t>991003773269702656</t>
        </is>
      </c>
      <c r="AX188" t="inlineStr">
        <is>
          <t>991003773269702656</t>
        </is>
      </c>
      <c r="AY188" t="inlineStr">
        <is>
          <t>2257578470002656</t>
        </is>
      </c>
      <c r="AZ188" t="inlineStr">
        <is>
          <t>BOOK</t>
        </is>
      </c>
      <c r="BC188" t="inlineStr">
        <is>
          <t>32285002062627</t>
        </is>
      </c>
      <c r="BD188" t="inlineStr">
        <is>
          <t>893353029</t>
        </is>
      </c>
    </row>
    <row r="189">
      <c r="A189" t="inlineStr">
        <is>
          <t>No</t>
        </is>
      </c>
      <c r="B189" t="inlineStr">
        <is>
          <t>NK5183.A1 B76 1990</t>
        </is>
      </c>
      <c r="C189" t="inlineStr">
        <is>
          <t>0                      NK 5183000A  1                  B  76          1990</t>
        </is>
      </c>
      <c r="D189" t="inlineStr">
        <is>
          <t>Clear as crystal, red as flame : later Chinese glass / Claudia Brown and Donald Rabiner.</t>
        </is>
      </c>
      <c r="F189" t="inlineStr">
        <is>
          <t>No</t>
        </is>
      </c>
      <c r="G189" t="inlineStr">
        <is>
          <t>1</t>
        </is>
      </c>
      <c r="H189" t="inlineStr">
        <is>
          <t>No</t>
        </is>
      </c>
      <c r="I189" t="inlineStr">
        <is>
          <t>No</t>
        </is>
      </c>
      <c r="J189" t="inlineStr">
        <is>
          <t>0</t>
        </is>
      </c>
      <c r="K189" t="inlineStr">
        <is>
          <t>Brown, Claudia, 1950-</t>
        </is>
      </c>
      <c r="L189" t="inlineStr">
        <is>
          <t>New York City : China House Gallery, China Institute in America, 1990.</t>
        </is>
      </c>
      <c r="M189" t="inlineStr">
        <is>
          <t>1990</t>
        </is>
      </c>
      <c r="O189" t="inlineStr">
        <is>
          <t>eng</t>
        </is>
      </c>
      <c r="P189" t="inlineStr">
        <is>
          <t>nyu</t>
        </is>
      </c>
      <c r="R189" t="inlineStr">
        <is>
          <t xml:space="preserve">NK </t>
        </is>
      </c>
      <c r="S189" t="n">
        <v>5</v>
      </c>
      <c r="T189" t="n">
        <v>5</v>
      </c>
      <c r="U189" t="inlineStr">
        <is>
          <t>1998-02-13</t>
        </is>
      </c>
      <c r="V189" t="inlineStr">
        <is>
          <t>1998-02-13</t>
        </is>
      </c>
      <c r="W189" t="inlineStr">
        <is>
          <t>1992-04-08</t>
        </is>
      </c>
      <c r="X189" t="inlineStr">
        <is>
          <t>1992-04-08</t>
        </is>
      </c>
      <c r="Y189" t="n">
        <v>181</v>
      </c>
      <c r="Z189" t="n">
        <v>151</v>
      </c>
      <c r="AA189" t="n">
        <v>152</v>
      </c>
      <c r="AB189" t="n">
        <v>2</v>
      </c>
      <c r="AC189" t="n">
        <v>2</v>
      </c>
      <c r="AD189" t="n">
        <v>5</v>
      </c>
      <c r="AE189" t="n">
        <v>5</v>
      </c>
      <c r="AF189" t="n">
        <v>1</v>
      </c>
      <c r="AG189" t="n">
        <v>1</v>
      </c>
      <c r="AH189" t="n">
        <v>2</v>
      </c>
      <c r="AI189" t="n">
        <v>2</v>
      </c>
      <c r="AJ189" t="n">
        <v>3</v>
      </c>
      <c r="AK189" t="n">
        <v>3</v>
      </c>
      <c r="AL189" t="n">
        <v>1</v>
      </c>
      <c r="AM189" t="n">
        <v>1</v>
      </c>
      <c r="AN189" t="n">
        <v>0</v>
      </c>
      <c r="AO189" t="n">
        <v>0</v>
      </c>
      <c r="AP189" t="inlineStr">
        <is>
          <t>No</t>
        </is>
      </c>
      <c r="AQ189" t="inlineStr">
        <is>
          <t>Yes</t>
        </is>
      </c>
      <c r="AR189">
        <f>HYPERLINK("http://catalog.hathitrust.org/Record/002430968","HathiTrust Record")</f>
        <v/>
      </c>
      <c r="AS189">
        <f>HYPERLINK("https://creighton-primo.hosted.exlibrisgroup.com/primo-explore/search?tab=default_tab&amp;search_scope=EVERYTHING&amp;vid=01CRU&amp;lang=en_US&amp;offset=0&amp;query=any,contains,991001681719702656","Catalog Record")</f>
        <v/>
      </c>
      <c r="AT189">
        <f>HYPERLINK("http://www.worldcat.org/oclc/21357028","WorldCat Record")</f>
        <v/>
      </c>
      <c r="AU189" t="inlineStr">
        <is>
          <t>1807209206:eng</t>
        </is>
      </c>
      <c r="AV189" t="inlineStr">
        <is>
          <t>21357028</t>
        </is>
      </c>
      <c r="AW189" t="inlineStr">
        <is>
          <t>991001681719702656</t>
        </is>
      </c>
      <c r="AX189" t="inlineStr">
        <is>
          <t>991001681719702656</t>
        </is>
      </c>
      <c r="AY189" t="inlineStr">
        <is>
          <t>2261326530002656</t>
        </is>
      </c>
      <c r="AZ189" t="inlineStr">
        <is>
          <t>BOOK</t>
        </is>
      </c>
      <c r="BC189" t="inlineStr">
        <is>
          <t>32285001008902</t>
        </is>
      </c>
      <c r="BD189" t="inlineStr">
        <is>
          <t>893256406</t>
        </is>
      </c>
    </row>
    <row r="190">
      <c r="A190" t="inlineStr">
        <is>
          <t>No</t>
        </is>
      </c>
      <c r="B190" t="inlineStr">
        <is>
          <t>NK5198.C43 A4 1992</t>
        </is>
      </c>
      <c r="C190" t="inlineStr">
        <is>
          <t>0                      NK 5198000C  43                 A  4           1992</t>
        </is>
      </c>
      <c r="D190" t="inlineStr">
        <is>
          <t>Dale Chihuly : installations, 1964-1992 / Patterson Sims.</t>
        </is>
      </c>
      <c r="F190" t="inlineStr">
        <is>
          <t>No</t>
        </is>
      </c>
      <c r="G190" t="inlineStr">
        <is>
          <t>1</t>
        </is>
      </c>
      <c r="H190" t="inlineStr">
        <is>
          <t>No</t>
        </is>
      </c>
      <c r="I190" t="inlineStr">
        <is>
          <t>No</t>
        </is>
      </c>
      <c r="J190" t="inlineStr">
        <is>
          <t>0</t>
        </is>
      </c>
      <c r="K190" t="inlineStr">
        <is>
          <t>Chihuly, Dale, 1941-</t>
        </is>
      </c>
      <c r="L190" t="inlineStr">
        <is>
          <t>[Seattle, Wash.] : Seattle Art Museum, 1992.</t>
        </is>
      </c>
      <c r="M190" t="inlineStr">
        <is>
          <t>1992</t>
        </is>
      </c>
      <c r="O190" t="inlineStr">
        <is>
          <t>eng</t>
        </is>
      </c>
      <c r="P190" t="inlineStr">
        <is>
          <t>wau</t>
        </is>
      </c>
      <c r="R190" t="inlineStr">
        <is>
          <t xml:space="preserve">NK </t>
        </is>
      </c>
      <c r="S190" t="n">
        <v>10</v>
      </c>
      <c r="T190" t="n">
        <v>10</v>
      </c>
      <c r="U190" t="inlineStr">
        <is>
          <t>2000-11-25</t>
        </is>
      </c>
      <c r="V190" t="inlineStr">
        <is>
          <t>2000-11-25</t>
        </is>
      </c>
      <c r="W190" t="inlineStr">
        <is>
          <t>1994-06-29</t>
        </is>
      </c>
      <c r="X190" t="inlineStr">
        <is>
          <t>1994-06-29</t>
        </is>
      </c>
      <c r="Y190" t="n">
        <v>394</v>
      </c>
      <c r="Z190" t="n">
        <v>350</v>
      </c>
      <c r="AA190" t="n">
        <v>352</v>
      </c>
      <c r="AB190" t="n">
        <v>4</v>
      </c>
      <c r="AC190" t="n">
        <v>4</v>
      </c>
      <c r="AD190" t="n">
        <v>8</v>
      </c>
      <c r="AE190" t="n">
        <v>8</v>
      </c>
      <c r="AF190" t="n">
        <v>2</v>
      </c>
      <c r="AG190" t="n">
        <v>2</v>
      </c>
      <c r="AH190" t="n">
        <v>2</v>
      </c>
      <c r="AI190" t="n">
        <v>2</v>
      </c>
      <c r="AJ190" t="n">
        <v>4</v>
      </c>
      <c r="AK190" t="n">
        <v>4</v>
      </c>
      <c r="AL190" t="n">
        <v>2</v>
      </c>
      <c r="AM190" t="n">
        <v>2</v>
      </c>
      <c r="AN190" t="n">
        <v>0</v>
      </c>
      <c r="AO190" t="n">
        <v>0</v>
      </c>
      <c r="AP190" t="inlineStr">
        <is>
          <t>No</t>
        </is>
      </c>
      <c r="AQ190" t="inlineStr">
        <is>
          <t>Yes</t>
        </is>
      </c>
      <c r="AR190">
        <f>HYPERLINK("http://catalog.hathitrust.org/Record/002645421","HathiTrust Record")</f>
        <v/>
      </c>
      <c r="AS190">
        <f>HYPERLINK("https://creighton-primo.hosted.exlibrisgroup.com/primo-explore/search?tab=default_tab&amp;search_scope=EVERYTHING&amp;vid=01CRU&amp;lang=en_US&amp;offset=0&amp;query=any,contains,991002096359702656","Catalog Record")</f>
        <v/>
      </c>
      <c r="AT190">
        <f>HYPERLINK("http://www.worldcat.org/oclc/26870999","WorldCat Record")</f>
        <v/>
      </c>
      <c r="AU190" t="inlineStr">
        <is>
          <t>382359:eng</t>
        </is>
      </c>
      <c r="AV190" t="inlineStr">
        <is>
          <t>26870999</t>
        </is>
      </c>
      <c r="AW190" t="inlineStr">
        <is>
          <t>991002096359702656</t>
        </is>
      </c>
      <c r="AX190" t="inlineStr">
        <is>
          <t>991002096359702656</t>
        </is>
      </c>
      <c r="AY190" t="inlineStr">
        <is>
          <t>2263862060002656</t>
        </is>
      </c>
      <c r="AZ190" t="inlineStr">
        <is>
          <t>BOOK</t>
        </is>
      </c>
      <c r="BB190" t="inlineStr">
        <is>
          <t>9780932216410</t>
        </is>
      </c>
      <c r="BC190" t="inlineStr">
        <is>
          <t>32285001930188</t>
        </is>
      </c>
      <c r="BD190" t="inlineStr">
        <is>
          <t>893609459</t>
        </is>
      </c>
    </row>
    <row r="191">
      <c r="A191" t="inlineStr">
        <is>
          <t>No</t>
        </is>
      </c>
      <c r="B191" t="inlineStr">
        <is>
          <t>NK5198.C43 A4 1993</t>
        </is>
      </c>
      <c r="C191" t="inlineStr">
        <is>
          <t>0                      NK 5198000C  43                 A  4           1993</t>
        </is>
      </c>
      <c r="D191" t="inlineStr">
        <is>
          <t>Chihuly : form from fire / essays by Walter Darby Bannard, Henry Geldzahler.</t>
        </is>
      </c>
      <c r="F191" t="inlineStr">
        <is>
          <t>No</t>
        </is>
      </c>
      <c r="G191" t="inlineStr">
        <is>
          <t>1</t>
        </is>
      </c>
      <c r="H191" t="inlineStr">
        <is>
          <t>No</t>
        </is>
      </c>
      <c r="I191" t="inlineStr">
        <is>
          <t>No</t>
        </is>
      </c>
      <c r="J191" t="inlineStr">
        <is>
          <t>0</t>
        </is>
      </c>
      <c r="K191" t="inlineStr">
        <is>
          <t>Chihuly, Dale, 1941-</t>
        </is>
      </c>
      <c r="L191" t="inlineStr">
        <is>
          <t>Daytona Beach : Museum of Arts and Sciences ; [Seattle] : University of Washington Press, c1993.</t>
        </is>
      </c>
      <c r="M191" t="inlineStr">
        <is>
          <t>1993</t>
        </is>
      </c>
      <c r="O191" t="inlineStr">
        <is>
          <t>eng</t>
        </is>
      </c>
      <c r="P191" t="inlineStr">
        <is>
          <t>flu</t>
        </is>
      </c>
      <c r="R191" t="inlineStr">
        <is>
          <t xml:space="preserve">NK </t>
        </is>
      </c>
      <c r="S191" t="n">
        <v>10</v>
      </c>
      <c r="T191" t="n">
        <v>10</v>
      </c>
      <c r="U191" t="inlineStr">
        <is>
          <t>2006-04-17</t>
        </is>
      </c>
      <c r="V191" t="inlineStr">
        <is>
          <t>2006-04-17</t>
        </is>
      </c>
      <c r="W191" t="inlineStr">
        <is>
          <t>1994-06-20</t>
        </is>
      </c>
      <c r="X191" t="inlineStr">
        <is>
          <t>1994-06-20</t>
        </is>
      </c>
      <c r="Y191" t="n">
        <v>700</v>
      </c>
      <c r="Z191" t="n">
        <v>646</v>
      </c>
      <c r="AA191" t="n">
        <v>649</v>
      </c>
      <c r="AB191" t="n">
        <v>6</v>
      </c>
      <c r="AC191" t="n">
        <v>6</v>
      </c>
      <c r="AD191" t="n">
        <v>20</v>
      </c>
      <c r="AE191" t="n">
        <v>20</v>
      </c>
      <c r="AF191" t="n">
        <v>9</v>
      </c>
      <c r="AG191" t="n">
        <v>9</v>
      </c>
      <c r="AH191" t="n">
        <v>4</v>
      </c>
      <c r="AI191" t="n">
        <v>4</v>
      </c>
      <c r="AJ191" t="n">
        <v>7</v>
      </c>
      <c r="AK191" t="n">
        <v>7</v>
      </c>
      <c r="AL191" t="n">
        <v>4</v>
      </c>
      <c r="AM191" t="n">
        <v>4</v>
      </c>
      <c r="AN191" t="n">
        <v>0</v>
      </c>
      <c r="AO191" t="n">
        <v>0</v>
      </c>
      <c r="AP191" t="inlineStr">
        <is>
          <t>No</t>
        </is>
      </c>
      <c r="AQ191" t="inlineStr">
        <is>
          <t>Yes</t>
        </is>
      </c>
      <c r="AR191">
        <f>HYPERLINK("http://catalog.hathitrust.org/Record/002795434","HathiTrust Record")</f>
        <v/>
      </c>
      <c r="AS191">
        <f>HYPERLINK("https://creighton-primo.hosted.exlibrisgroup.com/primo-explore/search?tab=default_tab&amp;search_scope=EVERYTHING&amp;vid=01CRU&amp;lang=en_US&amp;offset=0&amp;query=any,contains,991002212629702656","Catalog Record")</f>
        <v/>
      </c>
      <c r="AT191">
        <f>HYPERLINK("http://www.worldcat.org/oclc/28488516","WorldCat Record")</f>
        <v/>
      </c>
      <c r="AU191" t="inlineStr">
        <is>
          <t>30905934:eng</t>
        </is>
      </c>
      <c r="AV191" t="inlineStr">
        <is>
          <t>28488516</t>
        </is>
      </c>
      <c r="AW191" t="inlineStr">
        <is>
          <t>991002212629702656</t>
        </is>
      </c>
      <c r="AX191" t="inlineStr">
        <is>
          <t>991002212629702656</t>
        </is>
      </c>
      <c r="AY191" t="inlineStr">
        <is>
          <t>2268286460002656</t>
        </is>
      </c>
      <c r="AZ191" t="inlineStr">
        <is>
          <t>BOOK</t>
        </is>
      </c>
      <c r="BB191" t="inlineStr">
        <is>
          <t>9780933053069</t>
        </is>
      </c>
      <c r="BC191" t="inlineStr">
        <is>
          <t>32285001923407</t>
        </is>
      </c>
      <c r="BD191" t="inlineStr">
        <is>
          <t>893773351</t>
        </is>
      </c>
    </row>
    <row r="192">
      <c r="A192" t="inlineStr">
        <is>
          <t>No</t>
        </is>
      </c>
      <c r="B192" t="inlineStr">
        <is>
          <t>NK5198.C43 A4 1999</t>
        </is>
      </c>
      <c r="C192" t="inlineStr">
        <is>
          <t>0                      NK 5198000C  43                 A  4           1999</t>
        </is>
      </c>
      <c r="D192" t="inlineStr">
        <is>
          <t>Chihuly : Taos Pueblo / essay by Lloyd Kiva New.</t>
        </is>
      </c>
      <c r="F192" t="inlineStr">
        <is>
          <t>No</t>
        </is>
      </c>
      <c r="G192" t="inlineStr">
        <is>
          <t>1</t>
        </is>
      </c>
      <c r="H192" t="inlineStr">
        <is>
          <t>No</t>
        </is>
      </c>
      <c r="I192" t="inlineStr">
        <is>
          <t>No</t>
        </is>
      </c>
      <c r="J192" t="inlineStr">
        <is>
          <t>0</t>
        </is>
      </c>
      <c r="L192" t="inlineStr">
        <is>
          <t>Seattle, Wash. : Portland Press, c1999.</t>
        </is>
      </c>
      <c r="M192" t="inlineStr">
        <is>
          <t>1999</t>
        </is>
      </c>
      <c r="N192" t="inlineStr">
        <is>
          <t>1st ed.</t>
        </is>
      </c>
      <c r="O192" t="inlineStr">
        <is>
          <t>eng</t>
        </is>
      </c>
      <c r="P192" t="inlineStr">
        <is>
          <t>wau</t>
        </is>
      </c>
      <c r="R192" t="inlineStr">
        <is>
          <t xml:space="preserve">NK </t>
        </is>
      </c>
      <c r="S192" t="n">
        <v>2</v>
      </c>
      <c r="T192" t="n">
        <v>2</v>
      </c>
      <c r="U192" t="inlineStr">
        <is>
          <t>2002-08-14</t>
        </is>
      </c>
      <c r="V192" t="inlineStr">
        <is>
          <t>2002-08-14</t>
        </is>
      </c>
      <c r="W192" t="inlineStr">
        <is>
          <t>2002-04-18</t>
        </is>
      </c>
      <c r="X192" t="inlineStr">
        <is>
          <t>2002-04-18</t>
        </is>
      </c>
      <c r="Y192" t="n">
        <v>90</v>
      </c>
      <c r="Z192" t="n">
        <v>82</v>
      </c>
      <c r="AA192" t="n">
        <v>82</v>
      </c>
      <c r="AB192" t="n">
        <v>2</v>
      </c>
      <c r="AC192" t="n">
        <v>2</v>
      </c>
      <c r="AD192" t="n">
        <v>1</v>
      </c>
      <c r="AE192" t="n">
        <v>1</v>
      </c>
      <c r="AF192" t="n">
        <v>0</v>
      </c>
      <c r="AG192" t="n">
        <v>0</v>
      </c>
      <c r="AH192" t="n">
        <v>0</v>
      </c>
      <c r="AI192" t="n">
        <v>0</v>
      </c>
      <c r="AJ192" t="n">
        <v>1</v>
      </c>
      <c r="AK192" t="n">
        <v>1</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HYPERLINK("https://creighton-primo.hosted.exlibrisgroup.com/primo-explore/search?tab=default_tab&amp;search_scope=EVERYTHING&amp;vid=01CRU&amp;lang=en_US&amp;offset=0&amp;query=any,contains,991003794239702656","Catalog Record")</f>
        <v/>
      </c>
      <c r="AT192">
        <f>HYPERLINK("http://www.worldcat.org/oclc/43794859","WorldCat Record")</f>
        <v/>
      </c>
      <c r="AU192" t="inlineStr">
        <is>
          <t>44096686:eng</t>
        </is>
      </c>
      <c r="AV192" t="inlineStr">
        <is>
          <t>43794859</t>
        </is>
      </c>
      <c r="AW192" t="inlineStr">
        <is>
          <t>991003794239702656</t>
        </is>
      </c>
      <c r="AX192" t="inlineStr">
        <is>
          <t>991003794239702656</t>
        </is>
      </c>
      <c r="AY192" t="inlineStr">
        <is>
          <t>2255197330002656</t>
        </is>
      </c>
      <c r="AZ192" t="inlineStr">
        <is>
          <t>BOOK</t>
        </is>
      </c>
      <c r="BB192" t="inlineStr">
        <is>
          <t>9781576840122</t>
        </is>
      </c>
      <c r="BC192" t="inlineStr">
        <is>
          <t>32285004481460</t>
        </is>
      </c>
      <c r="BD192" t="inlineStr">
        <is>
          <t>893525232</t>
        </is>
      </c>
    </row>
    <row r="193">
      <c r="A193" t="inlineStr">
        <is>
          <t>No</t>
        </is>
      </c>
      <c r="B193" t="inlineStr">
        <is>
          <t>NK5198.T5 D86 1992</t>
        </is>
      </c>
      <c r="C193" t="inlineStr">
        <is>
          <t>0                      NK 5198000T  5                  D  86          1992</t>
        </is>
      </c>
      <c r="D193" t="inlineStr">
        <is>
          <t>Louis Comfort Tiffany / Alastair Duncan.</t>
        </is>
      </c>
      <c r="F193" t="inlineStr">
        <is>
          <t>No</t>
        </is>
      </c>
      <c r="G193" t="inlineStr">
        <is>
          <t>1</t>
        </is>
      </c>
      <c r="H193" t="inlineStr">
        <is>
          <t>No</t>
        </is>
      </c>
      <c r="I193" t="inlineStr">
        <is>
          <t>No</t>
        </is>
      </c>
      <c r="J193" t="inlineStr">
        <is>
          <t>0</t>
        </is>
      </c>
      <c r="K193" t="inlineStr">
        <is>
          <t>Duncan, Alastair, 1942-</t>
        </is>
      </c>
      <c r="L193" t="inlineStr">
        <is>
          <t>New York : H.N. Abrams in association with the National Museum of American Art, Smithsonian Institution, c1992.</t>
        </is>
      </c>
      <c r="M193" t="inlineStr">
        <is>
          <t>1992</t>
        </is>
      </c>
      <c r="O193" t="inlineStr">
        <is>
          <t>eng</t>
        </is>
      </c>
      <c r="P193" t="inlineStr">
        <is>
          <t>nyu</t>
        </is>
      </c>
      <c r="Q193" t="inlineStr">
        <is>
          <t>Library of American art</t>
        </is>
      </c>
      <c r="R193" t="inlineStr">
        <is>
          <t xml:space="preserve">NK </t>
        </is>
      </c>
      <c r="S193" t="n">
        <v>3</v>
      </c>
      <c r="T193" t="n">
        <v>3</v>
      </c>
      <c r="U193" t="inlineStr">
        <is>
          <t>2006-04-17</t>
        </is>
      </c>
      <c r="V193" t="inlineStr">
        <is>
          <t>2006-04-17</t>
        </is>
      </c>
      <c r="W193" t="inlineStr">
        <is>
          <t>1993-11-30</t>
        </is>
      </c>
      <c r="X193" t="inlineStr">
        <is>
          <t>1993-11-30</t>
        </is>
      </c>
      <c r="Y193" t="n">
        <v>563</v>
      </c>
      <c r="Z193" t="n">
        <v>504</v>
      </c>
      <c r="AA193" t="n">
        <v>511</v>
      </c>
      <c r="AB193" t="n">
        <v>6</v>
      </c>
      <c r="AC193" t="n">
        <v>6</v>
      </c>
      <c r="AD193" t="n">
        <v>11</v>
      </c>
      <c r="AE193" t="n">
        <v>11</v>
      </c>
      <c r="AF193" t="n">
        <v>3</v>
      </c>
      <c r="AG193" t="n">
        <v>3</v>
      </c>
      <c r="AH193" t="n">
        <v>3</v>
      </c>
      <c r="AI193" t="n">
        <v>3</v>
      </c>
      <c r="AJ193" t="n">
        <v>6</v>
      </c>
      <c r="AK193" t="n">
        <v>6</v>
      </c>
      <c r="AL193" t="n">
        <v>2</v>
      </c>
      <c r="AM193" t="n">
        <v>2</v>
      </c>
      <c r="AN193" t="n">
        <v>0</v>
      </c>
      <c r="AO193" t="n">
        <v>0</v>
      </c>
      <c r="AP193" t="inlineStr">
        <is>
          <t>No</t>
        </is>
      </c>
      <c r="AQ193" t="inlineStr">
        <is>
          <t>Yes</t>
        </is>
      </c>
      <c r="AR193">
        <f>HYPERLINK("http://catalog.hathitrust.org/Record/002609911","HathiTrust Record")</f>
        <v/>
      </c>
      <c r="AS193">
        <f>HYPERLINK("https://creighton-primo.hosted.exlibrisgroup.com/primo-explore/search?tab=default_tab&amp;search_scope=EVERYTHING&amp;vid=01CRU&amp;lang=en_US&amp;offset=0&amp;query=any,contains,991001998259702656","Catalog Record")</f>
        <v/>
      </c>
      <c r="AT193">
        <f>HYPERLINK("http://www.worldcat.org/oclc/25409223","WorldCat Record")</f>
        <v/>
      </c>
      <c r="AU193" t="inlineStr">
        <is>
          <t>1152231701:eng</t>
        </is>
      </c>
      <c r="AV193" t="inlineStr">
        <is>
          <t>25409223</t>
        </is>
      </c>
      <c r="AW193" t="inlineStr">
        <is>
          <t>991001998259702656</t>
        </is>
      </c>
      <c r="AX193" t="inlineStr">
        <is>
          <t>991001998259702656</t>
        </is>
      </c>
      <c r="AY193" t="inlineStr">
        <is>
          <t>2266610210002656</t>
        </is>
      </c>
      <c r="AZ193" t="inlineStr">
        <is>
          <t>BOOK</t>
        </is>
      </c>
      <c r="BB193" t="inlineStr">
        <is>
          <t>9780810938625</t>
        </is>
      </c>
      <c r="BC193" t="inlineStr">
        <is>
          <t>32285001813764</t>
        </is>
      </c>
      <c r="BD193" t="inlineStr">
        <is>
          <t>893603087</t>
        </is>
      </c>
    </row>
    <row r="194">
      <c r="A194" t="inlineStr">
        <is>
          <t>No</t>
        </is>
      </c>
      <c r="B194" t="inlineStr">
        <is>
          <t>NK5205.W28 G74 1981</t>
        </is>
      </c>
      <c r="C194" t="inlineStr">
        <is>
          <t>0                      NK 5205000W  28                 G  74          1981</t>
        </is>
      </c>
      <c r="D194" t="inlineStr">
        <is>
          <t>Waterford : an Irish art / text, Ida Grehan ; principal photography, Terry Murphy &amp; David Howe, additional photography, Walter Pfeiffer &amp; Louis Peterse ; illustrations, Noel Cusack ; project coordinator, Rose Mary Craig ; creative consultant, Harry Pesin ; research consultant, Angie Miller.</t>
        </is>
      </c>
      <c r="F194" t="inlineStr">
        <is>
          <t>No</t>
        </is>
      </c>
      <c r="G194" t="inlineStr">
        <is>
          <t>1</t>
        </is>
      </c>
      <c r="H194" t="inlineStr">
        <is>
          <t>No</t>
        </is>
      </c>
      <c r="I194" t="inlineStr">
        <is>
          <t>No</t>
        </is>
      </c>
      <c r="J194" t="inlineStr">
        <is>
          <t>0</t>
        </is>
      </c>
      <c r="K194" t="inlineStr">
        <is>
          <t>Grehan, Ida.</t>
        </is>
      </c>
      <c r="L194" t="inlineStr">
        <is>
          <t>Huntington, N.Y. : Portfolio Press, c1981.</t>
        </is>
      </c>
      <c r="M194" t="inlineStr">
        <is>
          <t>1981</t>
        </is>
      </c>
      <c r="O194" t="inlineStr">
        <is>
          <t>eng</t>
        </is>
      </c>
      <c r="P194" t="inlineStr">
        <is>
          <t>nyu</t>
        </is>
      </c>
      <c r="R194" t="inlineStr">
        <is>
          <t xml:space="preserve">NK </t>
        </is>
      </c>
      <c r="S194" t="n">
        <v>2</v>
      </c>
      <c r="T194" t="n">
        <v>2</v>
      </c>
      <c r="U194" t="inlineStr">
        <is>
          <t>2010-07-06</t>
        </is>
      </c>
      <c r="V194" t="inlineStr">
        <is>
          <t>2010-07-06</t>
        </is>
      </c>
      <c r="W194" t="inlineStr">
        <is>
          <t>2007-02-05</t>
        </is>
      </c>
      <c r="X194" t="inlineStr">
        <is>
          <t>2007-02-05</t>
        </is>
      </c>
      <c r="Y194" t="n">
        <v>250</v>
      </c>
      <c r="Z194" t="n">
        <v>220</v>
      </c>
      <c r="AA194" t="n">
        <v>220</v>
      </c>
      <c r="AB194" t="n">
        <v>2</v>
      </c>
      <c r="AC194" t="n">
        <v>2</v>
      </c>
      <c r="AD194" t="n">
        <v>5</v>
      </c>
      <c r="AE194" t="n">
        <v>5</v>
      </c>
      <c r="AF194" t="n">
        <v>3</v>
      </c>
      <c r="AG194" t="n">
        <v>3</v>
      </c>
      <c r="AH194" t="n">
        <v>1</v>
      </c>
      <c r="AI194" t="n">
        <v>1</v>
      </c>
      <c r="AJ194" t="n">
        <v>3</v>
      </c>
      <c r="AK194" t="n">
        <v>3</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HYPERLINK("https://creighton-primo.hosted.exlibrisgroup.com/primo-explore/search?tab=default_tab&amp;search_scope=EVERYTHING&amp;vid=01CRU&amp;lang=en_US&amp;offset=0&amp;query=any,contains,991005008859702656","Catalog Record")</f>
        <v/>
      </c>
      <c r="AT194">
        <f>HYPERLINK("http://www.worldcat.org/oclc/8059030","WorldCat Record")</f>
        <v/>
      </c>
      <c r="AU194" t="inlineStr">
        <is>
          <t>918064367:eng</t>
        </is>
      </c>
      <c r="AV194" t="inlineStr">
        <is>
          <t>8059030</t>
        </is>
      </c>
      <c r="AW194" t="inlineStr">
        <is>
          <t>991005008859702656</t>
        </is>
      </c>
      <c r="AX194" t="inlineStr">
        <is>
          <t>991005008859702656</t>
        </is>
      </c>
      <c r="AY194" t="inlineStr">
        <is>
          <t>2256758830002656</t>
        </is>
      </c>
      <c r="AZ194" t="inlineStr">
        <is>
          <t>BOOK</t>
        </is>
      </c>
      <c r="BC194" t="inlineStr">
        <is>
          <t>32285005274815</t>
        </is>
      </c>
      <c r="BD194" t="inlineStr">
        <is>
          <t>893254319</t>
        </is>
      </c>
    </row>
    <row r="195">
      <c r="A195" t="inlineStr">
        <is>
          <t>No</t>
        </is>
      </c>
      <c r="B195" t="inlineStr">
        <is>
          <t>NK5304 .S69 1965b</t>
        </is>
      </c>
      <c r="C195" t="inlineStr">
        <is>
          <t>0                      NK 5304000S  69          1965b</t>
        </is>
      </c>
      <c r="D195" t="inlineStr">
        <is>
          <t>Stained glass : an architectural art.</t>
        </is>
      </c>
      <c r="F195" t="inlineStr">
        <is>
          <t>No</t>
        </is>
      </c>
      <c r="G195" t="inlineStr">
        <is>
          <t>1</t>
        </is>
      </c>
      <c r="H195" t="inlineStr">
        <is>
          <t>No</t>
        </is>
      </c>
      <c r="I195" t="inlineStr">
        <is>
          <t>No</t>
        </is>
      </c>
      <c r="J195" t="inlineStr">
        <is>
          <t>0</t>
        </is>
      </c>
      <c r="K195" t="inlineStr">
        <is>
          <t>Sowers, Robert.</t>
        </is>
      </c>
      <c r="L195" t="inlineStr">
        <is>
          <t>London : A. Zwemmer, [1965]</t>
        </is>
      </c>
      <c r="M195" t="inlineStr">
        <is>
          <t>1965</t>
        </is>
      </c>
      <c r="O195" t="inlineStr">
        <is>
          <t>eng</t>
        </is>
      </c>
      <c r="P195" t="inlineStr">
        <is>
          <t>enk</t>
        </is>
      </c>
      <c r="R195" t="inlineStr">
        <is>
          <t xml:space="preserve">NK </t>
        </is>
      </c>
      <c r="S195" t="n">
        <v>5</v>
      </c>
      <c r="T195" t="n">
        <v>5</v>
      </c>
      <c r="U195" t="inlineStr">
        <is>
          <t>1999-11-08</t>
        </is>
      </c>
      <c r="V195" t="inlineStr">
        <is>
          <t>1999-11-08</t>
        </is>
      </c>
      <c r="W195" t="inlineStr">
        <is>
          <t>1994-01-27</t>
        </is>
      </c>
      <c r="X195" t="inlineStr">
        <is>
          <t>1994-01-27</t>
        </is>
      </c>
      <c r="Y195" t="n">
        <v>84</v>
      </c>
      <c r="Z195" t="n">
        <v>25</v>
      </c>
      <c r="AA195" t="n">
        <v>394</v>
      </c>
      <c r="AB195" t="n">
        <v>1</v>
      </c>
      <c r="AC195" t="n">
        <v>5</v>
      </c>
      <c r="AD195" t="n">
        <v>1</v>
      </c>
      <c r="AE195" t="n">
        <v>14</v>
      </c>
      <c r="AF195" t="n">
        <v>0</v>
      </c>
      <c r="AG195" t="n">
        <v>5</v>
      </c>
      <c r="AH195" t="n">
        <v>0</v>
      </c>
      <c r="AI195" t="n">
        <v>3</v>
      </c>
      <c r="AJ195" t="n">
        <v>1</v>
      </c>
      <c r="AK195" t="n">
        <v>4</v>
      </c>
      <c r="AL195" t="n">
        <v>0</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HYPERLINK("https://creighton-primo.hosted.exlibrisgroup.com/primo-explore/search?tab=default_tab&amp;search_scope=EVERYTHING&amp;vid=01CRU&amp;lang=en_US&amp;offset=0&amp;query=any,contains,991004640839702656","Catalog Record")</f>
        <v/>
      </c>
      <c r="AT195">
        <f>HYPERLINK("http://www.worldcat.org/oclc/4457940","WorldCat Record")</f>
        <v/>
      </c>
      <c r="AU195" t="inlineStr">
        <is>
          <t>1909182997:eng</t>
        </is>
      </c>
      <c r="AV195" t="inlineStr">
        <is>
          <t>4457940</t>
        </is>
      </c>
      <c r="AW195" t="inlineStr">
        <is>
          <t>991004640839702656</t>
        </is>
      </c>
      <c r="AX195" t="inlineStr">
        <is>
          <t>991004640839702656</t>
        </is>
      </c>
      <c r="AY195" t="inlineStr">
        <is>
          <t>2269800990002656</t>
        </is>
      </c>
      <c r="AZ195" t="inlineStr">
        <is>
          <t>BOOK</t>
        </is>
      </c>
      <c r="BC195" t="inlineStr">
        <is>
          <t>32285001836435</t>
        </is>
      </c>
      <c r="BD195" t="inlineStr">
        <is>
          <t>893436543</t>
        </is>
      </c>
    </row>
    <row r="196">
      <c r="A196" t="inlineStr">
        <is>
          <t>No</t>
        </is>
      </c>
      <c r="B196" t="inlineStr">
        <is>
          <t>NK5349.C5 D5</t>
        </is>
      </c>
      <c r="C196" t="inlineStr">
        <is>
          <t>0                      NK 5349000C  5                  D  5</t>
        </is>
      </c>
      <c r="D196" t="inlineStr">
        <is>
          <t>The stained glass at Chartres.</t>
        </is>
      </c>
      <c r="F196" t="inlineStr">
        <is>
          <t>No</t>
        </is>
      </c>
      <c r="G196" t="inlineStr">
        <is>
          <t>1</t>
        </is>
      </c>
      <c r="H196" t="inlineStr">
        <is>
          <t>No</t>
        </is>
      </c>
      <c r="I196" t="inlineStr">
        <is>
          <t>No</t>
        </is>
      </c>
      <c r="J196" t="inlineStr">
        <is>
          <t>0</t>
        </is>
      </c>
      <c r="K196" t="inlineStr">
        <is>
          <t>Dierick, Alfons Lieven.</t>
        </is>
      </c>
      <c r="L196" t="inlineStr">
        <is>
          <t>Berne : Hallwag, [1960]</t>
        </is>
      </c>
      <c r="M196" t="inlineStr">
        <is>
          <t>1960</t>
        </is>
      </c>
      <c r="O196" t="inlineStr">
        <is>
          <t>eng</t>
        </is>
      </c>
      <c r="P196" t="inlineStr">
        <is>
          <t xml:space="preserve">sz </t>
        </is>
      </c>
      <c r="Q196" t="inlineStr">
        <is>
          <t>Orbis pictus ; 2</t>
        </is>
      </c>
      <c r="R196" t="inlineStr">
        <is>
          <t xml:space="preserve">NK </t>
        </is>
      </c>
      <c r="S196" t="n">
        <v>3</v>
      </c>
      <c r="T196" t="n">
        <v>3</v>
      </c>
      <c r="U196" t="inlineStr">
        <is>
          <t>1999-11-08</t>
        </is>
      </c>
      <c r="V196" t="inlineStr">
        <is>
          <t>1999-11-08</t>
        </is>
      </c>
      <c r="W196" t="inlineStr">
        <is>
          <t>1994-05-20</t>
        </is>
      </c>
      <c r="X196" t="inlineStr">
        <is>
          <t>1994-05-20</t>
        </is>
      </c>
      <c r="Y196" t="n">
        <v>214</v>
      </c>
      <c r="Z196" t="n">
        <v>190</v>
      </c>
      <c r="AA196" t="n">
        <v>209</v>
      </c>
      <c r="AB196" t="n">
        <v>3</v>
      </c>
      <c r="AC196" t="n">
        <v>3</v>
      </c>
      <c r="AD196" t="n">
        <v>9</v>
      </c>
      <c r="AE196" t="n">
        <v>9</v>
      </c>
      <c r="AF196" t="n">
        <v>3</v>
      </c>
      <c r="AG196" t="n">
        <v>3</v>
      </c>
      <c r="AH196" t="n">
        <v>0</v>
      </c>
      <c r="AI196" t="n">
        <v>0</v>
      </c>
      <c r="AJ196" t="n">
        <v>5</v>
      </c>
      <c r="AK196" t="n">
        <v>5</v>
      </c>
      <c r="AL196" t="n">
        <v>2</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HYPERLINK("https://creighton-primo.hosted.exlibrisgroup.com/primo-explore/search?tab=default_tab&amp;search_scope=EVERYTHING&amp;vid=01CRU&amp;lang=en_US&amp;offset=0&amp;query=any,contains,991003935909702656","Catalog Record")</f>
        <v/>
      </c>
      <c r="AT196">
        <f>HYPERLINK("http://www.worldcat.org/oclc/1913726","WorldCat Record")</f>
        <v/>
      </c>
      <c r="AU196" t="inlineStr">
        <is>
          <t>32266745:eng</t>
        </is>
      </c>
      <c r="AV196" t="inlineStr">
        <is>
          <t>1913726</t>
        </is>
      </c>
      <c r="AW196" t="inlineStr">
        <is>
          <t>991003935909702656</t>
        </is>
      </c>
      <c r="AX196" t="inlineStr">
        <is>
          <t>991003935909702656</t>
        </is>
      </c>
      <c r="AY196" t="inlineStr">
        <is>
          <t>2255044880002656</t>
        </is>
      </c>
      <c r="AZ196" t="inlineStr">
        <is>
          <t>BOOK</t>
        </is>
      </c>
      <c r="BC196" t="inlineStr">
        <is>
          <t>32285001911634</t>
        </is>
      </c>
      <c r="BD196" t="inlineStr">
        <is>
          <t>893349406</t>
        </is>
      </c>
    </row>
    <row r="197">
      <c r="A197" t="inlineStr">
        <is>
          <t>No</t>
        </is>
      </c>
      <c r="B197" t="inlineStr">
        <is>
          <t>NK5510.W3 D43</t>
        </is>
      </c>
      <c r="C197" t="inlineStr">
        <is>
          <t>0                      NK 5510000W  3                  D  43</t>
        </is>
      </c>
      <c r="D197" t="inlineStr">
        <is>
          <t>Treasures in the Smithsonian : the gem collection / Paul E. Desautels ; photography by Dane Penland.</t>
        </is>
      </c>
      <c r="F197" t="inlineStr">
        <is>
          <t>No</t>
        </is>
      </c>
      <c r="G197" t="inlineStr">
        <is>
          <t>1</t>
        </is>
      </c>
      <c r="H197" t="inlineStr">
        <is>
          <t>No</t>
        </is>
      </c>
      <c r="I197" t="inlineStr">
        <is>
          <t>No</t>
        </is>
      </c>
      <c r="J197" t="inlineStr">
        <is>
          <t>0</t>
        </is>
      </c>
      <c r="K197" t="inlineStr">
        <is>
          <t>Desautels, Paul E.</t>
        </is>
      </c>
      <c r="L197" t="inlineStr">
        <is>
          <t>Washington : Smithsonian Institution Press, 1979.</t>
        </is>
      </c>
      <c r="M197" t="inlineStr">
        <is>
          <t>1979</t>
        </is>
      </c>
      <c r="O197" t="inlineStr">
        <is>
          <t>eng</t>
        </is>
      </c>
      <c r="P197" t="inlineStr">
        <is>
          <t>dcu</t>
        </is>
      </c>
      <c r="R197" t="inlineStr">
        <is>
          <t xml:space="preserve">NK </t>
        </is>
      </c>
      <c r="S197" t="n">
        <v>1</v>
      </c>
      <c r="T197" t="n">
        <v>1</v>
      </c>
      <c r="U197" t="inlineStr">
        <is>
          <t>2002-11-14</t>
        </is>
      </c>
      <c r="V197" t="inlineStr">
        <is>
          <t>2002-11-14</t>
        </is>
      </c>
      <c r="W197" t="inlineStr">
        <is>
          <t>1993-08-05</t>
        </is>
      </c>
      <c r="X197" t="inlineStr">
        <is>
          <t>1993-08-05</t>
        </is>
      </c>
      <c r="Y197" t="n">
        <v>373</v>
      </c>
      <c r="Z197" t="n">
        <v>351</v>
      </c>
      <c r="AA197" t="n">
        <v>358</v>
      </c>
      <c r="AB197" t="n">
        <v>4</v>
      </c>
      <c r="AC197" t="n">
        <v>4</v>
      </c>
      <c r="AD197" t="n">
        <v>8</v>
      </c>
      <c r="AE197" t="n">
        <v>8</v>
      </c>
      <c r="AF197" t="n">
        <v>4</v>
      </c>
      <c r="AG197" t="n">
        <v>4</v>
      </c>
      <c r="AH197" t="n">
        <v>1</v>
      </c>
      <c r="AI197" t="n">
        <v>1</v>
      </c>
      <c r="AJ197" t="n">
        <v>1</v>
      </c>
      <c r="AK197" t="n">
        <v>1</v>
      </c>
      <c r="AL197" t="n">
        <v>3</v>
      </c>
      <c r="AM197" t="n">
        <v>3</v>
      </c>
      <c r="AN197" t="n">
        <v>0</v>
      </c>
      <c r="AO197" t="n">
        <v>0</v>
      </c>
      <c r="AP197" t="inlineStr">
        <is>
          <t>No</t>
        </is>
      </c>
      <c r="AQ197" t="inlineStr">
        <is>
          <t>Yes</t>
        </is>
      </c>
      <c r="AR197">
        <f>HYPERLINK("http://catalog.hathitrust.org/Record/000687790","HathiTrust Record")</f>
        <v/>
      </c>
      <c r="AS197">
        <f>HYPERLINK("https://creighton-primo.hosted.exlibrisgroup.com/primo-explore/search?tab=default_tab&amp;search_scope=EVERYTHING&amp;vid=01CRU&amp;lang=en_US&amp;offset=0&amp;query=any,contains,991004792469702656","Catalog Record")</f>
        <v/>
      </c>
      <c r="AT197">
        <f>HYPERLINK("http://www.worldcat.org/oclc/5171655","WorldCat Record")</f>
        <v/>
      </c>
      <c r="AU197" t="inlineStr">
        <is>
          <t>16423267:eng</t>
        </is>
      </c>
      <c r="AV197" t="inlineStr">
        <is>
          <t>5171655</t>
        </is>
      </c>
      <c r="AW197" t="inlineStr">
        <is>
          <t>991004792469702656</t>
        </is>
      </c>
      <c r="AX197" t="inlineStr">
        <is>
          <t>991004792469702656</t>
        </is>
      </c>
      <c r="AY197" t="inlineStr">
        <is>
          <t>2259072790002656</t>
        </is>
      </c>
      <c r="AZ197" t="inlineStr">
        <is>
          <t>BOOK</t>
        </is>
      </c>
      <c r="BB197" t="inlineStr">
        <is>
          <t>9780874743609</t>
        </is>
      </c>
      <c r="BC197" t="inlineStr">
        <is>
          <t>32285001751014</t>
        </is>
      </c>
      <c r="BD197" t="inlineStr">
        <is>
          <t>893706847</t>
        </is>
      </c>
    </row>
    <row r="198">
      <c r="A198" t="inlineStr">
        <is>
          <t>No</t>
        </is>
      </c>
      <c r="B198" t="inlineStr">
        <is>
          <t>NK5810.G7 A7</t>
        </is>
      </c>
      <c r="C198" t="inlineStr">
        <is>
          <t>0                      NK 5810000G  7                  A  7</t>
        </is>
      </c>
      <c r="D198" t="inlineStr">
        <is>
          <t>Afro-Portuguese ivories / [Text by W. P. [sic] Fagg; photos. by W. &amp; B. Forman]</t>
        </is>
      </c>
      <c r="F198" t="inlineStr">
        <is>
          <t>No</t>
        </is>
      </c>
      <c r="G198" t="inlineStr">
        <is>
          <t>1</t>
        </is>
      </c>
      <c r="H198" t="inlineStr">
        <is>
          <t>No</t>
        </is>
      </c>
      <c r="I198" t="inlineStr">
        <is>
          <t>No</t>
        </is>
      </c>
      <c r="J198" t="inlineStr">
        <is>
          <t>0</t>
        </is>
      </c>
      <c r="K198" t="inlineStr">
        <is>
          <t>Fagg, William, 1914-1992.</t>
        </is>
      </c>
      <c r="L198" t="inlineStr">
        <is>
          <t>London, Batchworth Press [1959]</t>
        </is>
      </c>
      <c r="M198" t="inlineStr">
        <is>
          <t>1959</t>
        </is>
      </c>
      <c r="O198" t="inlineStr">
        <is>
          <t>eng</t>
        </is>
      </c>
      <c r="P198" t="inlineStr">
        <is>
          <t>enk</t>
        </is>
      </c>
      <c r="R198" t="inlineStr">
        <is>
          <t xml:space="preserve">NK </t>
        </is>
      </c>
      <c r="S198" t="n">
        <v>3</v>
      </c>
      <c r="T198" t="n">
        <v>3</v>
      </c>
      <c r="U198" t="inlineStr">
        <is>
          <t>1997-09-23</t>
        </is>
      </c>
      <c r="V198" t="inlineStr">
        <is>
          <t>1997-09-23</t>
        </is>
      </c>
      <c r="W198" t="inlineStr">
        <is>
          <t>1997-08-08</t>
        </is>
      </c>
      <c r="X198" t="inlineStr">
        <is>
          <t>1997-08-08</t>
        </is>
      </c>
      <c r="Y198" t="n">
        <v>394</v>
      </c>
      <c r="Z198" t="n">
        <v>337</v>
      </c>
      <c r="AA198" t="n">
        <v>348</v>
      </c>
      <c r="AB198" t="n">
        <v>4</v>
      </c>
      <c r="AC198" t="n">
        <v>4</v>
      </c>
      <c r="AD198" t="n">
        <v>10</v>
      </c>
      <c r="AE198" t="n">
        <v>10</v>
      </c>
      <c r="AF198" t="n">
        <v>4</v>
      </c>
      <c r="AG198" t="n">
        <v>4</v>
      </c>
      <c r="AH198" t="n">
        <v>1</v>
      </c>
      <c r="AI198" t="n">
        <v>1</v>
      </c>
      <c r="AJ198" t="n">
        <v>4</v>
      </c>
      <c r="AK198" t="n">
        <v>4</v>
      </c>
      <c r="AL198" t="n">
        <v>2</v>
      </c>
      <c r="AM198" t="n">
        <v>2</v>
      </c>
      <c r="AN198" t="n">
        <v>0</v>
      </c>
      <c r="AO198" t="n">
        <v>0</v>
      </c>
      <c r="AP198" t="inlineStr">
        <is>
          <t>No</t>
        </is>
      </c>
      <c r="AQ198" t="inlineStr">
        <is>
          <t>Yes</t>
        </is>
      </c>
      <c r="AR198">
        <f>HYPERLINK("http://catalog.hathitrust.org/Record/002552609","HathiTrust Record")</f>
        <v/>
      </c>
      <c r="AS198">
        <f>HYPERLINK("https://creighton-primo.hosted.exlibrisgroup.com/primo-explore/search?tab=default_tab&amp;search_scope=EVERYTHING&amp;vid=01CRU&amp;lang=en_US&amp;offset=0&amp;query=any,contains,991002351189702656","Catalog Record")</f>
        <v/>
      </c>
      <c r="AT198">
        <f>HYPERLINK("http://www.worldcat.org/oclc/325202","WorldCat Record")</f>
        <v/>
      </c>
      <c r="AU198" t="inlineStr">
        <is>
          <t>9566065327:eng</t>
        </is>
      </c>
      <c r="AV198" t="inlineStr">
        <is>
          <t>325202</t>
        </is>
      </c>
      <c r="AW198" t="inlineStr">
        <is>
          <t>991002351189702656</t>
        </is>
      </c>
      <c r="AX198" t="inlineStr">
        <is>
          <t>991002351189702656</t>
        </is>
      </c>
      <c r="AY198" t="inlineStr">
        <is>
          <t>2271712630002656</t>
        </is>
      </c>
      <c r="AZ198" t="inlineStr">
        <is>
          <t>BOOK</t>
        </is>
      </c>
      <c r="BC198" t="inlineStr">
        <is>
          <t>32285003032132</t>
        </is>
      </c>
      <c r="BD198" t="inlineStr">
        <is>
          <t>893786029</t>
        </is>
      </c>
    </row>
    <row r="199">
      <c r="A199" t="inlineStr">
        <is>
          <t>No</t>
        </is>
      </c>
      <c r="B199" t="inlineStr">
        <is>
          <t>NK5850 .B38</t>
        </is>
      </c>
      <c r="C199" t="inlineStr">
        <is>
          <t>0                      NK 5850000B  38</t>
        </is>
      </c>
      <c r="D199" t="inlineStr">
        <is>
          <t>Ivory [by] O. Beigbeder.</t>
        </is>
      </c>
      <c r="F199" t="inlineStr">
        <is>
          <t>No</t>
        </is>
      </c>
      <c r="G199" t="inlineStr">
        <is>
          <t>1</t>
        </is>
      </c>
      <c r="H199" t="inlineStr">
        <is>
          <t>No</t>
        </is>
      </c>
      <c r="I199" t="inlineStr">
        <is>
          <t>No</t>
        </is>
      </c>
      <c r="J199" t="inlineStr">
        <is>
          <t>0</t>
        </is>
      </c>
      <c r="K199" t="inlineStr">
        <is>
          <t>Beigbeder, Olivier.</t>
        </is>
      </c>
      <c r="L199" t="inlineStr">
        <is>
          <t>New York, Putnam [1965]</t>
        </is>
      </c>
      <c r="M199" t="inlineStr">
        <is>
          <t>1965</t>
        </is>
      </c>
      <c r="O199" t="inlineStr">
        <is>
          <t>eng</t>
        </is>
      </c>
      <c r="P199" t="inlineStr">
        <is>
          <t>nyu</t>
        </is>
      </c>
      <c r="Q199" t="inlineStr">
        <is>
          <t>Pleasures and treasures</t>
        </is>
      </c>
      <c r="R199" t="inlineStr">
        <is>
          <t xml:space="preserve">NK </t>
        </is>
      </c>
      <c r="S199" t="n">
        <v>4</v>
      </c>
      <c r="T199" t="n">
        <v>4</v>
      </c>
      <c r="U199" t="inlineStr">
        <is>
          <t>1998-04-20</t>
        </is>
      </c>
      <c r="V199" t="inlineStr">
        <is>
          <t>1998-04-20</t>
        </is>
      </c>
      <c r="W199" t="inlineStr">
        <is>
          <t>1997-08-08</t>
        </is>
      </c>
      <c r="X199" t="inlineStr">
        <is>
          <t>1997-08-08</t>
        </is>
      </c>
      <c r="Y199" t="n">
        <v>415</v>
      </c>
      <c r="Z199" t="n">
        <v>390</v>
      </c>
      <c r="AA199" t="n">
        <v>403</v>
      </c>
      <c r="AB199" t="n">
        <v>3</v>
      </c>
      <c r="AC199" t="n">
        <v>3</v>
      </c>
      <c r="AD199" t="n">
        <v>10</v>
      </c>
      <c r="AE199" t="n">
        <v>10</v>
      </c>
      <c r="AF199" t="n">
        <v>3</v>
      </c>
      <c r="AG199" t="n">
        <v>3</v>
      </c>
      <c r="AH199" t="n">
        <v>2</v>
      </c>
      <c r="AI199" t="n">
        <v>2</v>
      </c>
      <c r="AJ199" t="n">
        <v>4</v>
      </c>
      <c r="AK199" t="n">
        <v>4</v>
      </c>
      <c r="AL199" t="n">
        <v>1</v>
      </c>
      <c r="AM199" t="n">
        <v>1</v>
      </c>
      <c r="AN199" t="n">
        <v>0</v>
      </c>
      <c r="AO199" t="n">
        <v>0</v>
      </c>
      <c r="AP199" t="inlineStr">
        <is>
          <t>No</t>
        </is>
      </c>
      <c r="AQ199" t="inlineStr">
        <is>
          <t>Yes</t>
        </is>
      </c>
      <c r="AR199">
        <f>HYPERLINK("http://catalog.hathitrust.org/Record/008545433","HathiTrust Record")</f>
        <v/>
      </c>
      <c r="AS199">
        <f>HYPERLINK("https://creighton-primo.hosted.exlibrisgroup.com/primo-explore/search?tab=default_tab&amp;search_scope=EVERYTHING&amp;vid=01CRU&amp;lang=en_US&amp;offset=0&amp;query=any,contains,991003646169702656","Catalog Record")</f>
        <v/>
      </c>
      <c r="AT199">
        <f>HYPERLINK("http://www.worldcat.org/oclc/1247436","WorldCat Record")</f>
        <v/>
      </c>
      <c r="AU199" t="inlineStr">
        <is>
          <t>20114658:eng</t>
        </is>
      </c>
      <c r="AV199" t="inlineStr">
        <is>
          <t>1247436</t>
        </is>
      </c>
      <c r="AW199" t="inlineStr">
        <is>
          <t>991003646169702656</t>
        </is>
      </c>
      <c r="AX199" t="inlineStr">
        <is>
          <t>991003646169702656</t>
        </is>
      </c>
      <c r="AY199" t="inlineStr">
        <is>
          <t>2263509330002656</t>
        </is>
      </c>
      <c r="AZ199" t="inlineStr">
        <is>
          <t>BOOK</t>
        </is>
      </c>
      <c r="BC199" t="inlineStr">
        <is>
          <t>32285003047841</t>
        </is>
      </c>
      <c r="BD199" t="inlineStr">
        <is>
          <t>893686771</t>
        </is>
      </c>
    </row>
    <row r="200">
      <c r="A200" t="inlineStr">
        <is>
          <t>No</t>
        </is>
      </c>
      <c r="B200" t="inlineStr">
        <is>
          <t>NK5943 .H68</t>
        </is>
      </c>
      <c r="C200" t="inlineStr">
        <is>
          <t>0                      NK 5943000H  68</t>
        </is>
      </c>
      <c r="D200" t="inlineStr">
        <is>
          <t>King of the confessors / Thomas Hoving.</t>
        </is>
      </c>
      <c r="F200" t="inlineStr">
        <is>
          <t>No</t>
        </is>
      </c>
      <c r="G200" t="inlineStr">
        <is>
          <t>1</t>
        </is>
      </c>
      <c r="H200" t="inlineStr">
        <is>
          <t>No</t>
        </is>
      </c>
      <c r="I200" t="inlineStr">
        <is>
          <t>No</t>
        </is>
      </c>
      <c r="J200" t="inlineStr">
        <is>
          <t>0</t>
        </is>
      </c>
      <c r="K200" t="inlineStr">
        <is>
          <t>Hoving, Thomas, 1931-2009.</t>
        </is>
      </c>
      <c r="L200" t="inlineStr">
        <is>
          <t>New York : Simon and Schuster, c1981.</t>
        </is>
      </c>
      <c r="M200" t="inlineStr">
        <is>
          <t>1981</t>
        </is>
      </c>
      <c r="O200" t="inlineStr">
        <is>
          <t>eng</t>
        </is>
      </c>
      <c r="P200" t="inlineStr">
        <is>
          <t>nyu</t>
        </is>
      </c>
      <c r="R200" t="inlineStr">
        <is>
          <t xml:space="preserve">NK </t>
        </is>
      </c>
      <c r="S200" t="n">
        <v>1</v>
      </c>
      <c r="T200" t="n">
        <v>1</v>
      </c>
      <c r="U200" t="inlineStr">
        <is>
          <t>2002-05-14</t>
        </is>
      </c>
      <c r="V200" t="inlineStr">
        <is>
          <t>2002-05-14</t>
        </is>
      </c>
      <c r="W200" t="inlineStr">
        <is>
          <t>1993-06-02</t>
        </is>
      </c>
      <c r="X200" t="inlineStr">
        <is>
          <t>1993-06-02</t>
        </is>
      </c>
      <c r="Y200" t="n">
        <v>1104</v>
      </c>
      <c r="Z200" t="n">
        <v>1038</v>
      </c>
      <c r="AA200" t="n">
        <v>1104</v>
      </c>
      <c r="AB200" t="n">
        <v>8</v>
      </c>
      <c r="AC200" t="n">
        <v>8</v>
      </c>
      <c r="AD200" t="n">
        <v>25</v>
      </c>
      <c r="AE200" t="n">
        <v>27</v>
      </c>
      <c r="AF200" t="n">
        <v>8</v>
      </c>
      <c r="AG200" t="n">
        <v>10</v>
      </c>
      <c r="AH200" t="n">
        <v>4</v>
      </c>
      <c r="AI200" t="n">
        <v>4</v>
      </c>
      <c r="AJ200" t="n">
        <v>13</v>
      </c>
      <c r="AK200" t="n">
        <v>13</v>
      </c>
      <c r="AL200" t="n">
        <v>4</v>
      </c>
      <c r="AM200" t="n">
        <v>4</v>
      </c>
      <c r="AN200" t="n">
        <v>0</v>
      </c>
      <c r="AO200" t="n">
        <v>0</v>
      </c>
      <c r="AP200" t="inlineStr">
        <is>
          <t>No</t>
        </is>
      </c>
      <c r="AQ200" t="inlineStr">
        <is>
          <t>Yes</t>
        </is>
      </c>
      <c r="AR200">
        <f>HYPERLINK("http://catalog.hathitrust.org/Record/006229156","HathiTrust Record")</f>
        <v/>
      </c>
      <c r="AS200">
        <f>HYPERLINK("https://creighton-primo.hosted.exlibrisgroup.com/primo-explore/search?tab=default_tab&amp;search_scope=EVERYTHING&amp;vid=01CRU&amp;lang=en_US&amp;offset=0&amp;query=any,contains,991005135199702656","Catalog Record")</f>
        <v/>
      </c>
      <c r="AT200">
        <f>HYPERLINK("http://www.worldcat.org/oclc/7576217","WorldCat Record")</f>
        <v/>
      </c>
      <c r="AU200" t="inlineStr">
        <is>
          <t>67796137:eng</t>
        </is>
      </c>
      <c r="AV200" t="inlineStr">
        <is>
          <t>7576217</t>
        </is>
      </c>
      <c r="AW200" t="inlineStr">
        <is>
          <t>991005135199702656</t>
        </is>
      </c>
      <c r="AX200" t="inlineStr">
        <is>
          <t>991005135199702656</t>
        </is>
      </c>
      <c r="AY200" t="inlineStr">
        <is>
          <t>2266134370002656</t>
        </is>
      </c>
      <c r="AZ200" t="inlineStr">
        <is>
          <t>BOOK</t>
        </is>
      </c>
      <c r="BB200" t="inlineStr">
        <is>
          <t>9780671433888</t>
        </is>
      </c>
      <c r="BC200" t="inlineStr">
        <is>
          <t>32285001716462</t>
        </is>
      </c>
      <c r="BD200" t="inlineStr">
        <is>
          <t>893242268</t>
        </is>
      </c>
    </row>
    <row r="201">
      <c r="A201" t="inlineStr">
        <is>
          <t>No</t>
        </is>
      </c>
      <c r="B201" t="inlineStr">
        <is>
          <t>NK6052.M37 A4 1981</t>
        </is>
      </c>
      <c r="C201" t="inlineStr">
        <is>
          <t>0                      NK 6052000M  37                 A  4           1981</t>
        </is>
      </c>
      <c r="D201" t="inlineStr">
        <is>
          <t>The art of netsuke carving / by Masatoshi as told to Raymond Bushell.</t>
        </is>
      </c>
      <c r="F201" t="inlineStr">
        <is>
          <t>No</t>
        </is>
      </c>
      <c r="G201" t="inlineStr">
        <is>
          <t>1</t>
        </is>
      </c>
      <c r="H201" t="inlineStr">
        <is>
          <t>No</t>
        </is>
      </c>
      <c r="I201" t="inlineStr">
        <is>
          <t>No</t>
        </is>
      </c>
      <c r="J201" t="inlineStr">
        <is>
          <t>0</t>
        </is>
      </c>
      <c r="K201" t="inlineStr">
        <is>
          <t>Masatoshi.</t>
        </is>
      </c>
      <c r="L201" t="inlineStr">
        <is>
          <t>Tokyo : Kodansha International ; New York, N.Y. : distributed in the United States by Kodansha International/USA, through Harper &amp; Row, 1981.</t>
        </is>
      </c>
      <c r="M201" t="inlineStr">
        <is>
          <t>1981</t>
        </is>
      </c>
      <c r="N201" t="inlineStr">
        <is>
          <t>1st ed.</t>
        </is>
      </c>
      <c r="O201" t="inlineStr">
        <is>
          <t>eng</t>
        </is>
      </c>
      <c r="P201" t="inlineStr">
        <is>
          <t xml:space="preserve">ja </t>
        </is>
      </c>
      <c r="R201" t="inlineStr">
        <is>
          <t xml:space="preserve">NK </t>
        </is>
      </c>
      <c r="S201" t="n">
        <v>3</v>
      </c>
      <c r="T201" t="n">
        <v>3</v>
      </c>
      <c r="U201" t="inlineStr">
        <is>
          <t>1998-11-20</t>
        </is>
      </c>
      <c r="V201" t="inlineStr">
        <is>
          <t>1998-11-20</t>
        </is>
      </c>
      <c r="W201" t="inlineStr">
        <is>
          <t>1993-06-02</t>
        </is>
      </c>
      <c r="X201" t="inlineStr">
        <is>
          <t>1993-06-02</t>
        </is>
      </c>
      <c r="Y201" t="n">
        <v>166</v>
      </c>
      <c r="Z201" t="n">
        <v>133</v>
      </c>
      <c r="AA201" t="n">
        <v>172</v>
      </c>
      <c r="AB201" t="n">
        <v>2</v>
      </c>
      <c r="AC201" t="n">
        <v>3</v>
      </c>
      <c r="AD201" t="n">
        <v>0</v>
      </c>
      <c r="AE201" t="n">
        <v>1</v>
      </c>
      <c r="AF201" t="n">
        <v>0</v>
      </c>
      <c r="AG201" t="n">
        <v>0</v>
      </c>
      <c r="AH201" t="n">
        <v>0</v>
      </c>
      <c r="AI201" t="n">
        <v>0</v>
      </c>
      <c r="AJ201" t="n">
        <v>0</v>
      </c>
      <c r="AK201" t="n">
        <v>0</v>
      </c>
      <c r="AL201" t="n">
        <v>0</v>
      </c>
      <c r="AM201" t="n">
        <v>1</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HYPERLINK("https://creighton-primo.hosted.exlibrisgroup.com/primo-explore/search?tab=default_tab&amp;search_scope=EVERYTHING&amp;vid=01CRU&amp;lang=en_US&amp;offset=0&amp;query=any,contains,991005114759702656","Catalog Record")</f>
        <v/>
      </c>
      <c r="AT201">
        <f>HYPERLINK("http://www.worldcat.org/oclc/7461421","WorldCat Record")</f>
        <v/>
      </c>
      <c r="AU201" t="inlineStr">
        <is>
          <t>514147:eng</t>
        </is>
      </c>
      <c r="AV201" t="inlineStr">
        <is>
          <t>7461421</t>
        </is>
      </c>
      <c r="AW201" t="inlineStr">
        <is>
          <t>991005114759702656</t>
        </is>
      </c>
      <c r="AX201" t="inlineStr">
        <is>
          <t>991005114759702656</t>
        </is>
      </c>
      <c r="AY201" t="inlineStr">
        <is>
          <t>2266014880002656</t>
        </is>
      </c>
      <c r="AZ201" t="inlineStr">
        <is>
          <t>BOOK</t>
        </is>
      </c>
      <c r="BB201" t="inlineStr">
        <is>
          <t>9780870114809</t>
        </is>
      </c>
      <c r="BC201" t="inlineStr">
        <is>
          <t>32285001716488</t>
        </is>
      </c>
      <c r="BD201" t="inlineStr">
        <is>
          <t>893594493</t>
        </is>
      </c>
    </row>
    <row r="202">
      <c r="A202" t="inlineStr">
        <is>
          <t>No</t>
        </is>
      </c>
      <c r="B202" t="inlineStr">
        <is>
          <t>NK6404 .M6 1933</t>
        </is>
      </c>
      <c r="C202" t="inlineStr">
        <is>
          <t>0                      NK 6404000M  6           1933</t>
        </is>
      </c>
      <c r="D202" t="inlineStr">
        <is>
          <t>Old pewter : brass, copper, &amp; Sheffield plate / by N. Hudson Moore ; with one hundred and five illustrations. --</t>
        </is>
      </c>
      <c r="F202" t="inlineStr">
        <is>
          <t>No</t>
        </is>
      </c>
      <c r="G202" t="inlineStr">
        <is>
          <t>1</t>
        </is>
      </c>
      <c r="H202" t="inlineStr">
        <is>
          <t>No</t>
        </is>
      </c>
      <c r="I202" t="inlineStr">
        <is>
          <t>No</t>
        </is>
      </c>
      <c r="J202" t="inlineStr">
        <is>
          <t>0</t>
        </is>
      </c>
      <c r="K202" t="inlineStr">
        <is>
          <t>Moore, N. Hudson, 1857-1927.</t>
        </is>
      </c>
      <c r="L202" t="inlineStr">
        <is>
          <t>Garden City, N.Y. : Garden City Publishing Co., [1933]</t>
        </is>
      </c>
      <c r="M202" t="inlineStr">
        <is>
          <t>1933</t>
        </is>
      </c>
      <c r="O202" t="inlineStr">
        <is>
          <t>eng</t>
        </is>
      </c>
      <c r="P202" t="inlineStr">
        <is>
          <t>nyu</t>
        </is>
      </c>
      <c r="R202" t="inlineStr">
        <is>
          <t xml:space="preserve">NK </t>
        </is>
      </c>
      <c r="S202" t="n">
        <v>5</v>
      </c>
      <c r="T202" t="n">
        <v>5</v>
      </c>
      <c r="U202" t="inlineStr">
        <is>
          <t>1994-12-22</t>
        </is>
      </c>
      <c r="V202" t="inlineStr">
        <is>
          <t>1994-12-22</t>
        </is>
      </c>
      <c r="W202" t="inlineStr">
        <is>
          <t>1993-06-02</t>
        </is>
      </c>
      <c r="X202" t="inlineStr">
        <is>
          <t>1993-06-02</t>
        </is>
      </c>
      <c r="Y202" t="n">
        <v>376</v>
      </c>
      <c r="Z202" t="n">
        <v>350</v>
      </c>
      <c r="AA202" t="n">
        <v>636</v>
      </c>
      <c r="AB202" t="n">
        <v>7</v>
      </c>
      <c r="AC202" t="n">
        <v>11</v>
      </c>
      <c r="AD202" t="n">
        <v>10</v>
      </c>
      <c r="AE202" t="n">
        <v>16</v>
      </c>
      <c r="AF202" t="n">
        <v>4</v>
      </c>
      <c r="AG202" t="n">
        <v>6</v>
      </c>
      <c r="AH202" t="n">
        <v>1</v>
      </c>
      <c r="AI202" t="n">
        <v>4</v>
      </c>
      <c r="AJ202" t="n">
        <v>4</v>
      </c>
      <c r="AK202" t="n">
        <v>6</v>
      </c>
      <c r="AL202" t="n">
        <v>4</v>
      </c>
      <c r="AM202" t="n">
        <v>5</v>
      </c>
      <c r="AN202" t="n">
        <v>0</v>
      </c>
      <c r="AO202" t="n">
        <v>0</v>
      </c>
      <c r="AP202" t="inlineStr">
        <is>
          <t>No</t>
        </is>
      </c>
      <c r="AQ202" t="inlineStr">
        <is>
          <t>Yes</t>
        </is>
      </c>
      <c r="AR202">
        <f>HYPERLINK("http://catalog.hathitrust.org/Record/006125692","HathiTrust Record")</f>
        <v/>
      </c>
      <c r="AS202">
        <f>HYPERLINK("https://creighton-primo.hosted.exlibrisgroup.com/primo-explore/search?tab=default_tab&amp;search_scope=EVERYTHING&amp;vid=01CRU&amp;lang=en_US&amp;offset=0&amp;query=any,contains,991003512709702656","Catalog Record")</f>
        <v/>
      </c>
      <c r="AT202">
        <f>HYPERLINK("http://www.worldcat.org/oclc/1068426","WorldCat Record")</f>
        <v/>
      </c>
      <c r="AU202" t="inlineStr">
        <is>
          <t>1534303:eng</t>
        </is>
      </c>
      <c r="AV202" t="inlineStr">
        <is>
          <t>1068426</t>
        </is>
      </c>
      <c r="AW202" t="inlineStr">
        <is>
          <t>991003512709702656</t>
        </is>
      </c>
      <c r="AX202" t="inlineStr">
        <is>
          <t>991003512709702656</t>
        </is>
      </c>
      <c r="AY202" t="inlineStr">
        <is>
          <t>2270556080002656</t>
        </is>
      </c>
      <c r="AZ202" t="inlineStr">
        <is>
          <t>BOOK</t>
        </is>
      </c>
      <c r="BC202" t="inlineStr">
        <is>
          <t>32285001716496</t>
        </is>
      </c>
      <c r="BD202" t="inlineStr">
        <is>
          <t>893258500</t>
        </is>
      </c>
    </row>
    <row r="203">
      <c r="A203" t="inlineStr">
        <is>
          <t>No</t>
        </is>
      </c>
      <c r="B203" t="inlineStr">
        <is>
          <t>NK680 .R65</t>
        </is>
      </c>
      <c r="C203" t="inlineStr">
        <is>
          <t>0                      NK 0680000R  65</t>
        </is>
      </c>
      <c r="D203" t="inlineStr">
        <is>
          <t>Roman crafts / edited by Donald Strong &amp; David Brown.</t>
        </is>
      </c>
      <c r="F203" t="inlineStr">
        <is>
          <t>No</t>
        </is>
      </c>
      <c r="G203" t="inlineStr">
        <is>
          <t>1</t>
        </is>
      </c>
      <c r="H203" t="inlineStr">
        <is>
          <t>No</t>
        </is>
      </c>
      <c r="I203" t="inlineStr">
        <is>
          <t>No</t>
        </is>
      </c>
      <c r="J203" t="inlineStr">
        <is>
          <t>0</t>
        </is>
      </c>
      <c r="L203" t="inlineStr">
        <is>
          <t>London : Duckworth : New York : New York University Press, 1976.</t>
        </is>
      </c>
      <c r="M203" t="inlineStr">
        <is>
          <t>1976</t>
        </is>
      </c>
      <c r="O203" t="inlineStr">
        <is>
          <t>eng</t>
        </is>
      </c>
      <c r="P203" t="inlineStr">
        <is>
          <t>enk</t>
        </is>
      </c>
      <c r="R203" t="inlineStr">
        <is>
          <t xml:space="preserve">NK </t>
        </is>
      </c>
      <c r="S203" t="n">
        <v>6</v>
      </c>
      <c r="T203" t="n">
        <v>6</v>
      </c>
      <c r="U203" t="inlineStr">
        <is>
          <t>1997-02-02</t>
        </is>
      </c>
      <c r="V203" t="inlineStr">
        <is>
          <t>1997-02-02</t>
        </is>
      </c>
      <c r="W203" t="inlineStr">
        <is>
          <t>1993-06-01</t>
        </is>
      </c>
      <c r="X203" t="inlineStr">
        <is>
          <t>1993-06-01</t>
        </is>
      </c>
      <c r="Y203" t="n">
        <v>412</v>
      </c>
      <c r="Z203" t="n">
        <v>234</v>
      </c>
      <c r="AA203" t="n">
        <v>705</v>
      </c>
      <c r="AB203" t="n">
        <v>4</v>
      </c>
      <c r="AC203" t="n">
        <v>6</v>
      </c>
      <c r="AD203" t="n">
        <v>11</v>
      </c>
      <c r="AE203" t="n">
        <v>25</v>
      </c>
      <c r="AF203" t="n">
        <v>2</v>
      </c>
      <c r="AG203" t="n">
        <v>8</v>
      </c>
      <c r="AH203" t="n">
        <v>3</v>
      </c>
      <c r="AI203" t="n">
        <v>7</v>
      </c>
      <c r="AJ203" t="n">
        <v>5</v>
      </c>
      <c r="AK203" t="n">
        <v>11</v>
      </c>
      <c r="AL203" t="n">
        <v>3</v>
      </c>
      <c r="AM203" t="n">
        <v>5</v>
      </c>
      <c r="AN203" t="n">
        <v>0</v>
      </c>
      <c r="AO203" t="n">
        <v>0</v>
      </c>
      <c r="AP203" t="inlineStr">
        <is>
          <t>No</t>
        </is>
      </c>
      <c r="AQ203" t="inlineStr">
        <is>
          <t>Yes</t>
        </is>
      </c>
      <c r="AR203">
        <f>HYPERLINK("http://catalog.hathitrust.org/Record/007114305","HathiTrust Record")</f>
        <v/>
      </c>
      <c r="AS203">
        <f>HYPERLINK("https://creighton-primo.hosted.exlibrisgroup.com/primo-explore/search?tab=default_tab&amp;search_scope=EVERYTHING&amp;vid=01CRU&amp;lang=en_US&amp;offset=0&amp;query=any,contains,991004114539702656","Catalog Record")</f>
        <v/>
      </c>
      <c r="AT203">
        <f>HYPERLINK("http://www.worldcat.org/oclc/2407541","WorldCat Record")</f>
        <v/>
      </c>
      <c r="AU203" t="inlineStr">
        <is>
          <t>365830762:eng</t>
        </is>
      </c>
      <c r="AV203" t="inlineStr">
        <is>
          <t>2407541</t>
        </is>
      </c>
      <c r="AW203" t="inlineStr">
        <is>
          <t>991004114539702656</t>
        </is>
      </c>
      <c r="AX203" t="inlineStr">
        <is>
          <t>991004114539702656</t>
        </is>
      </c>
      <c r="AY203" t="inlineStr">
        <is>
          <t>2270098540002656</t>
        </is>
      </c>
      <c r="AZ203" t="inlineStr">
        <is>
          <t>BOOK</t>
        </is>
      </c>
      <c r="BB203" t="inlineStr">
        <is>
          <t>9780715607817</t>
        </is>
      </c>
      <c r="BC203" t="inlineStr">
        <is>
          <t>32285001715779</t>
        </is>
      </c>
      <c r="BD203" t="inlineStr">
        <is>
          <t>893869298</t>
        </is>
      </c>
    </row>
    <row r="204">
      <c r="A204" t="inlineStr">
        <is>
          <t>No</t>
        </is>
      </c>
      <c r="B204" t="inlineStr">
        <is>
          <t>NK70 .L48 1968</t>
        </is>
      </c>
      <c r="C204" t="inlineStr">
        <is>
          <t>0                      NK 0070000L  48          1968</t>
        </is>
      </c>
      <c r="D204" t="inlineStr">
        <is>
          <t>Art is for all; arts and crafts for less able children.</t>
        </is>
      </c>
      <c r="F204" t="inlineStr">
        <is>
          <t>No</t>
        </is>
      </c>
      <c r="G204" t="inlineStr">
        <is>
          <t>1</t>
        </is>
      </c>
      <c r="H204" t="inlineStr">
        <is>
          <t>No</t>
        </is>
      </c>
      <c r="I204" t="inlineStr">
        <is>
          <t>No</t>
        </is>
      </c>
      <c r="J204" t="inlineStr">
        <is>
          <t>0</t>
        </is>
      </c>
      <c r="K204" t="inlineStr">
        <is>
          <t>Lindsay, Zaidee.</t>
        </is>
      </c>
      <c r="L204" t="inlineStr">
        <is>
          <t>New York, Taplinger Pub. Co. [1968, c1967]</t>
        </is>
      </c>
      <c r="M204" t="inlineStr">
        <is>
          <t>1968</t>
        </is>
      </c>
      <c r="O204" t="inlineStr">
        <is>
          <t>eng</t>
        </is>
      </c>
      <c r="P204" t="inlineStr">
        <is>
          <t>nyu</t>
        </is>
      </c>
      <c r="R204" t="inlineStr">
        <is>
          <t xml:space="preserve">NK </t>
        </is>
      </c>
      <c r="S204" t="n">
        <v>1</v>
      </c>
      <c r="T204" t="n">
        <v>1</v>
      </c>
      <c r="U204" t="inlineStr">
        <is>
          <t>2002-02-13</t>
        </is>
      </c>
      <c r="V204" t="inlineStr">
        <is>
          <t>2002-02-13</t>
        </is>
      </c>
      <c r="W204" t="inlineStr">
        <is>
          <t>1997-08-07</t>
        </is>
      </c>
      <c r="X204" t="inlineStr">
        <is>
          <t>1997-08-07</t>
        </is>
      </c>
      <c r="Y204" t="n">
        <v>152</v>
      </c>
      <c r="Z204" t="n">
        <v>148</v>
      </c>
      <c r="AA204" t="n">
        <v>191</v>
      </c>
      <c r="AB204" t="n">
        <v>2</v>
      </c>
      <c r="AC204" t="n">
        <v>2</v>
      </c>
      <c r="AD204" t="n">
        <v>4</v>
      </c>
      <c r="AE204" t="n">
        <v>6</v>
      </c>
      <c r="AF204" t="n">
        <v>2</v>
      </c>
      <c r="AG204" t="n">
        <v>3</v>
      </c>
      <c r="AH204" t="n">
        <v>1</v>
      </c>
      <c r="AI204" t="n">
        <v>1</v>
      </c>
      <c r="AJ204" t="n">
        <v>1</v>
      </c>
      <c r="AK204" t="n">
        <v>3</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HYPERLINK("https://creighton-primo.hosted.exlibrisgroup.com/primo-explore/search?tab=default_tab&amp;search_scope=EVERYTHING&amp;vid=01CRU&amp;lang=en_US&amp;offset=0&amp;query=any,contains,991002775609702656","Catalog Record")</f>
        <v/>
      </c>
      <c r="AT204">
        <f>HYPERLINK("http://www.worldcat.org/oclc/438564","WorldCat Record")</f>
        <v/>
      </c>
      <c r="AU204" t="inlineStr">
        <is>
          <t>431670951:eng</t>
        </is>
      </c>
      <c r="AV204" t="inlineStr">
        <is>
          <t>438564</t>
        </is>
      </c>
      <c r="AW204" t="inlineStr">
        <is>
          <t>991002775609702656</t>
        </is>
      </c>
      <c r="AX204" t="inlineStr">
        <is>
          <t>991002775609702656</t>
        </is>
      </c>
      <c r="AY204" t="inlineStr">
        <is>
          <t>2265294710002656</t>
        </is>
      </c>
      <c r="AZ204" t="inlineStr">
        <is>
          <t>BOOK</t>
        </is>
      </c>
      <c r="BC204" t="inlineStr">
        <is>
          <t>32285003046835</t>
        </is>
      </c>
      <c r="BD204" t="inlineStr">
        <is>
          <t>893704497</t>
        </is>
      </c>
    </row>
    <row r="205">
      <c r="A205" t="inlineStr">
        <is>
          <t>No</t>
        </is>
      </c>
      <c r="B205" t="inlineStr">
        <is>
          <t>NK7107.15 .M8513 1999</t>
        </is>
      </c>
      <c r="C205" t="inlineStr">
        <is>
          <t>0                      NK 7107150M  8513        1999</t>
        </is>
      </c>
      <c r="D205" t="inlineStr">
        <is>
          <t>Gold of the pharaohs / Hans Wolfgang Müller, Eberhard Thiem ; [translators, Pierre Imhoff and Dafydd Roberts].</t>
        </is>
      </c>
      <c r="F205" t="inlineStr">
        <is>
          <t>No</t>
        </is>
      </c>
      <c r="G205" t="inlineStr">
        <is>
          <t>1</t>
        </is>
      </c>
      <c r="H205" t="inlineStr">
        <is>
          <t>No</t>
        </is>
      </c>
      <c r="I205" t="inlineStr">
        <is>
          <t>No</t>
        </is>
      </c>
      <c r="J205" t="inlineStr">
        <is>
          <t>0</t>
        </is>
      </c>
      <c r="K205" t="inlineStr">
        <is>
          <t>Müller, Hans Wolfgang.</t>
        </is>
      </c>
      <c r="L205" t="inlineStr">
        <is>
          <t>Ithaca, N.Y. : Cornell University Press, 1999.</t>
        </is>
      </c>
      <c r="M205" t="inlineStr">
        <is>
          <t>1999</t>
        </is>
      </c>
      <c r="O205" t="inlineStr">
        <is>
          <t>eng</t>
        </is>
      </c>
      <c r="P205" t="inlineStr">
        <is>
          <t>nyu</t>
        </is>
      </c>
      <c r="R205" t="inlineStr">
        <is>
          <t xml:space="preserve">NK </t>
        </is>
      </c>
      <c r="S205" t="n">
        <v>2</v>
      </c>
      <c r="T205" t="n">
        <v>2</v>
      </c>
      <c r="U205" t="inlineStr">
        <is>
          <t>2009-11-22</t>
        </is>
      </c>
      <c r="V205" t="inlineStr">
        <is>
          <t>2009-11-22</t>
        </is>
      </c>
      <c r="W205" t="inlineStr">
        <is>
          <t>2002-08-05</t>
        </is>
      </c>
      <c r="X205" t="inlineStr">
        <is>
          <t>2002-08-05</t>
        </is>
      </c>
      <c r="Y205" t="n">
        <v>368</v>
      </c>
      <c r="Z205" t="n">
        <v>351</v>
      </c>
      <c r="AA205" t="n">
        <v>372</v>
      </c>
      <c r="AB205" t="n">
        <v>4</v>
      </c>
      <c r="AC205" t="n">
        <v>4</v>
      </c>
      <c r="AD205" t="n">
        <v>13</v>
      </c>
      <c r="AE205" t="n">
        <v>13</v>
      </c>
      <c r="AF205" t="n">
        <v>4</v>
      </c>
      <c r="AG205" t="n">
        <v>4</v>
      </c>
      <c r="AH205" t="n">
        <v>4</v>
      </c>
      <c r="AI205" t="n">
        <v>4</v>
      </c>
      <c r="AJ205" t="n">
        <v>6</v>
      </c>
      <c r="AK205" t="n">
        <v>6</v>
      </c>
      <c r="AL205" t="n">
        <v>2</v>
      </c>
      <c r="AM205" t="n">
        <v>2</v>
      </c>
      <c r="AN205" t="n">
        <v>0</v>
      </c>
      <c r="AO205" t="n">
        <v>0</v>
      </c>
      <c r="AP205" t="inlineStr">
        <is>
          <t>No</t>
        </is>
      </c>
      <c r="AQ205" t="inlineStr">
        <is>
          <t>Yes</t>
        </is>
      </c>
      <c r="AR205">
        <f>HYPERLINK("http://catalog.hathitrust.org/Record/004055669","HathiTrust Record")</f>
        <v/>
      </c>
      <c r="AS205">
        <f>HYPERLINK("https://creighton-primo.hosted.exlibrisgroup.com/primo-explore/search?tab=default_tab&amp;search_scope=EVERYTHING&amp;vid=01CRU&amp;lang=en_US&amp;offset=0&amp;query=any,contains,991003837719702656","Catalog Record")</f>
        <v/>
      </c>
      <c r="AT205">
        <f>HYPERLINK("http://www.worldcat.org/oclc/41476808","WorldCat Record")</f>
        <v/>
      </c>
      <c r="AU205" t="inlineStr">
        <is>
          <t>10227497467:eng</t>
        </is>
      </c>
      <c r="AV205" t="inlineStr">
        <is>
          <t>41476808</t>
        </is>
      </c>
      <c r="AW205" t="inlineStr">
        <is>
          <t>991003837719702656</t>
        </is>
      </c>
      <c r="AX205" t="inlineStr">
        <is>
          <t>991003837719702656</t>
        </is>
      </c>
      <c r="AY205" t="inlineStr">
        <is>
          <t>2256033010002656</t>
        </is>
      </c>
      <c r="AZ205" t="inlineStr">
        <is>
          <t>BOOK</t>
        </is>
      </c>
      <c r="BB205" t="inlineStr">
        <is>
          <t>9780801437250</t>
        </is>
      </c>
      <c r="BC205" t="inlineStr">
        <is>
          <t>32285004641832</t>
        </is>
      </c>
      <c r="BD205" t="inlineStr">
        <is>
          <t>893324554</t>
        </is>
      </c>
    </row>
    <row r="206">
      <c r="A206" t="inlineStr">
        <is>
          <t>No</t>
        </is>
      </c>
      <c r="B206" t="inlineStr">
        <is>
          <t>NK7143 .G54 1990</t>
        </is>
      </c>
      <c r="C206" t="inlineStr">
        <is>
          <t>0                      NK 7143000G  54          1990</t>
        </is>
      </c>
      <c r="D206" t="inlineStr">
        <is>
          <t>Women silversmiths, 1685-1845 : works from the collection of the National Museum of Women in the Arts / Philippa Glanville, Jennifer Faulds Goldsborough.</t>
        </is>
      </c>
      <c r="F206" t="inlineStr">
        <is>
          <t>No</t>
        </is>
      </c>
      <c r="G206" t="inlineStr">
        <is>
          <t>1</t>
        </is>
      </c>
      <c r="H206" t="inlineStr">
        <is>
          <t>No</t>
        </is>
      </c>
      <c r="I206" t="inlineStr">
        <is>
          <t>No</t>
        </is>
      </c>
      <c r="J206" t="inlineStr">
        <is>
          <t>0</t>
        </is>
      </c>
      <c r="K206" t="inlineStr">
        <is>
          <t>Glanville, Philippa.</t>
        </is>
      </c>
      <c r="L206" t="inlineStr">
        <is>
          <t>New York, N.Y. : Thames and Hudson, c1990.</t>
        </is>
      </c>
      <c r="M206" t="inlineStr">
        <is>
          <t>1990</t>
        </is>
      </c>
      <c r="O206" t="inlineStr">
        <is>
          <t>eng</t>
        </is>
      </c>
      <c r="P206" t="inlineStr">
        <is>
          <t>nyu</t>
        </is>
      </c>
      <c r="R206" t="inlineStr">
        <is>
          <t xml:space="preserve">NK </t>
        </is>
      </c>
      <c r="S206" t="n">
        <v>3</v>
      </c>
      <c r="T206" t="n">
        <v>3</v>
      </c>
      <c r="U206" t="inlineStr">
        <is>
          <t>1997-02-01</t>
        </is>
      </c>
      <c r="V206" t="inlineStr">
        <is>
          <t>1997-02-01</t>
        </is>
      </c>
      <c r="W206" t="inlineStr">
        <is>
          <t>1991-05-01</t>
        </is>
      </c>
      <c r="X206" t="inlineStr">
        <is>
          <t>1991-05-01</t>
        </is>
      </c>
      <c r="Y206" t="n">
        <v>486</v>
      </c>
      <c r="Z206" t="n">
        <v>443</v>
      </c>
      <c r="AA206" t="n">
        <v>469</v>
      </c>
      <c r="AB206" t="n">
        <v>3</v>
      </c>
      <c r="AC206" t="n">
        <v>3</v>
      </c>
      <c r="AD206" t="n">
        <v>14</v>
      </c>
      <c r="AE206" t="n">
        <v>14</v>
      </c>
      <c r="AF206" t="n">
        <v>3</v>
      </c>
      <c r="AG206" t="n">
        <v>3</v>
      </c>
      <c r="AH206" t="n">
        <v>5</v>
      </c>
      <c r="AI206" t="n">
        <v>5</v>
      </c>
      <c r="AJ206" t="n">
        <v>6</v>
      </c>
      <c r="AK206" t="n">
        <v>6</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HYPERLINK("https://creighton-primo.hosted.exlibrisgroup.com/primo-explore/search?tab=default_tab&amp;search_scope=EVERYTHING&amp;vid=01CRU&amp;lang=en_US&amp;offset=0&amp;query=any,contains,991001777889702656","Catalog Record")</f>
        <v/>
      </c>
      <c r="AT206">
        <f>HYPERLINK("http://www.worldcat.org/oclc/22434893","WorldCat Record")</f>
        <v/>
      </c>
      <c r="AU206" t="inlineStr">
        <is>
          <t>1011153218:eng</t>
        </is>
      </c>
      <c r="AV206" t="inlineStr">
        <is>
          <t>22434893</t>
        </is>
      </c>
      <c r="AW206" t="inlineStr">
        <is>
          <t>991001777889702656</t>
        </is>
      </c>
      <c r="AX206" t="inlineStr">
        <is>
          <t>991001777889702656</t>
        </is>
      </c>
      <c r="AY206" t="inlineStr">
        <is>
          <t>2266379320002656</t>
        </is>
      </c>
      <c r="AZ206" t="inlineStr">
        <is>
          <t>BOOK</t>
        </is>
      </c>
      <c r="BB206" t="inlineStr">
        <is>
          <t>9780500235782</t>
        </is>
      </c>
      <c r="BC206" t="inlineStr">
        <is>
          <t>32285000570431</t>
        </is>
      </c>
      <c r="BD206" t="inlineStr">
        <is>
          <t>893328367</t>
        </is>
      </c>
    </row>
    <row r="207">
      <c r="A207" t="inlineStr">
        <is>
          <t>No</t>
        </is>
      </c>
      <c r="B207" t="inlineStr">
        <is>
          <t>NK7215 .E42</t>
        </is>
      </c>
      <c r="C207" t="inlineStr">
        <is>
          <t>0                      NK 7215000E  42</t>
        </is>
      </c>
      <c r="D207" t="inlineStr">
        <is>
          <t>The great chalice of Antioch / by Gustavus A. Eisen.</t>
        </is>
      </c>
      <c r="F207" t="inlineStr">
        <is>
          <t>No</t>
        </is>
      </c>
      <c r="G207" t="inlineStr">
        <is>
          <t>1</t>
        </is>
      </c>
      <c r="H207" t="inlineStr">
        <is>
          <t>No</t>
        </is>
      </c>
      <c r="I207" t="inlineStr">
        <is>
          <t>No</t>
        </is>
      </c>
      <c r="J207" t="inlineStr">
        <is>
          <t>0</t>
        </is>
      </c>
      <c r="K207" t="inlineStr">
        <is>
          <t>Eisen, Gustavus A., 1847-1940.</t>
        </is>
      </c>
      <c r="L207" t="inlineStr">
        <is>
          <t>New York : Fahim Kouchakji , 1933.</t>
        </is>
      </c>
      <c r="M207" t="inlineStr">
        <is>
          <t>1933</t>
        </is>
      </c>
      <c r="O207" t="inlineStr">
        <is>
          <t>eng</t>
        </is>
      </c>
      <c r="P207" t="inlineStr">
        <is>
          <t>nyu</t>
        </is>
      </c>
      <c r="R207" t="inlineStr">
        <is>
          <t xml:space="preserve">NK </t>
        </is>
      </c>
      <c r="S207" t="n">
        <v>3</v>
      </c>
      <c r="T207" t="n">
        <v>3</v>
      </c>
      <c r="U207" t="inlineStr">
        <is>
          <t>2002-04-05</t>
        </is>
      </c>
      <c r="V207" t="inlineStr">
        <is>
          <t>2002-04-05</t>
        </is>
      </c>
      <c r="W207" t="inlineStr">
        <is>
          <t>1991-12-10</t>
        </is>
      </c>
      <c r="X207" t="inlineStr">
        <is>
          <t>1991-12-10</t>
        </is>
      </c>
      <c r="Y207" t="n">
        <v>419</v>
      </c>
      <c r="Z207" t="n">
        <v>388</v>
      </c>
      <c r="AA207" t="n">
        <v>399</v>
      </c>
      <c r="AB207" t="n">
        <v>2</v>
      </c>
      <c r="AC207" t="n">
        <v>2</v>
      </c>
      <c r="AD207" t="n">
        <v>21</v>
      </c>
      <c r="AE207" t="n">
        <v>21</v>
      </c>
      <c r="AF207" t="n">
        <v>6</v>
      </c>
      <c r="AG207" t="n">
        <v>6</v>
      </c>
      <c r="AH207" t="n">
        <v>6</v>
      </c>
      <c r="AI207" t="n">
        <v>6</v>
      </c>
      <c r="AJ207" t="n">
        <v>14</v>
      </c>
      <c r="AK207" t="n">
        <v>14</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HYPERLINK("https://creighton-primo.hosted.exlibrisgroup.com/primo-explore/search?tab=default_tab&amp;search_scope=EVERYTHING&amp;vid=01CRU&amp;lang=en_US&amp;offset=0&amp;query=any,contains,991003965729702656","Catalog Record")</f>
        <v/>
      </c>
      <c r="AT207">
        <f>HYPERLINK("http://www.worldcat.org/oclc/1982821","WorldCat Record")</f>
        <v/>
      </c>
      <c r="AU207" t="inlineStr">
        <is>
          <t>2926503:eng</t>
        </is>
      </c>
      <c r="AV207" t="inlineStr">
        <is>
          <t>1982821</t>
        </is>
      </c>
      <c r="AW207" t="inlineStr">
        <is>
          <t>991003965729702656</t>
        </is>
      </c>
      <c r="AX207" t="inlineStr">
        <is>
          <t>991003965729702656</t>
        </is>
      </c>
      <c r="AY207" t="inlineStr">
        <is>
          <t>2261543050002656</t>
        </is>
      </c>
      <c r="AZ207" t="inlineStr">
        <is>
          <t>BOOK</t>
        </is>
      </c>
      <c r="BC207" t="inlineStr">
        <is>
          <t>32285000875335</t>
        </is>
      </c>
      <c r="BD207" t="inlineStr">
        <is>
          <t>893410949</t>
        </is>
      </c>
    </row>
    <row r="208">
      <c r="A208" t="inlineStr">
        <is>
          <t>No</t>
        </is>
      </c>
      <c r="B208" t="inlineStr">
        <is>
          <t>NK7306 .R6</t>
        </is>
      </c>
      <c r="C208" t="inlineStr">
        <is>
          <t>0                      NK 7306000R  6</t>
        </is>
      </c>
      <c r="D208" t="inlineStr">
        <is>
          <t>5000 years of gems and jewelry / by Frances Rogers and Alice Beard, with line drawings by the authors and sixteen illustrations in halftone.</t>
        </is>
      </c>
      <c r="F208" t="inlineStr">
        <is>
          <t>No</t>
        </is>
      </c>
      <c r="G208" t="inlineStr">
        <is>
          <t>1</t>
        </is>
      </c>
      <c r="H208" t="inlineStr">
        <is>
          <t>No</t>
        </is>
      </c>
      <c r="I208" t="inlineStr">
        <is>
          <t>No</t>
        </is>
      </c>
      <c r="J208" t="inlineStr">
        <is>
          <t>0</t>
        </is>
      </c>
      <c r="K208" t="inlineStr">
        <is>
          <t>Rogers, Frances.</t>
        </is>
      </c>
      <c r="L208" t="inlineStr">
        <is>
          <t>New York : Frederick A. Stokes company, 1940.</t>
        </is>
      </c>
      <c r="M208" t="inlineStr">
        <is>
          <t>1940</t>
        </is>
      </c>
      <c r="O208" t="inlineStr">
        <is>
          <t>eng</t>
        </is>
      </c>
      <c r="P208" t="inlineStr">
        <is>
          <t>nyu</t>
        </is>
      </c>
      <c r="R208" t="inlineStr">
        <is>
          <t xml:space="preserve">NK </t>
        </is>
      </c>
      <c r="S208" t="n">
        <v>8</v>
      </c>
      <c r="T208" t="n">
        <v>8</v>
      </c>
      <c r="U208" t="inlineStr">
        <is>
          <t>1996-02-11</t>
        </is>
      </c>
      <c r="V208" t="inlineStr">
        <is>
          <t>1996-02-11</t>
        </is>
      </c>
      <c r="W208" t="inlineStr">
        <is>
          <t>1992-11-04</t>
        </is>
      </c>
      <c r="X208" t="inlineStr">
        <is>
          <t>1992-11-04</t>
        </is>
      </c>
      <c r="Y208" t="n">
        <v>218</v>
      </c>
      <c r="Z208" t="n">
        <v>209</v>
      </c>
      <c r="AA208" t="n">
        <v>411</v>
      </c>
      <c r="AB208" t="n">
        <v>3</v>
      </c>
      <c r="AC208" t="n">
        <v>3</v>
      </c>
      <c r="AD208" t="n">
        <v>4</v>
      </c>
      <c r="AE208" t="n">
        <v>7</v>
      </c>
      <c r="AF208" t="n">
        <v>1</v>
      </c>
      <c r="AG208" t="n">
        <v>2</v>
      </c>
      <c r="AH208" t="n">
        <v>1</v>
      </c>
      <c r="AI208" t="n">
        <v>2</v>
      </c>
      <c r="AJ208" t="n">
        <v>2</v>
      </c>
      <c r="AK208" t="n">
        <v>5</v>
      </c>
      <c r="AL208" t="n">
        <v>2</v>
      </c>
      <c r="AM208" t="n">
        <v>2</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HYPERLINK("https://creighton-primo.hosted.exlibrisgroup.com/primo-explore/search?tab=default_tab&amp;search_scope=EVERYTHING&amp;vid=01CRU&amp;lang=en_US&amp;offset=0&amp;query=any,contains,991003768499702656","Catalog Record")</f>
        <v/>
      </c>
      <c r="AT208">
        <f>HYPERLINK("http://www.worldcat.org/oclc/1464024","WorldCat Record")</f>
        <v/>
      </c>
      <c r="AU208" t="inlineStr">
        <is>
          <t>2328118:eng</t>
        </is>
      </c>
      <c r="AV208" t="inlineStr">
        <is>
          <t>1464024</t>
        </is>
      </c>
      <c r="AW208" t="inlineStr">
        <is>
          <t>991003768499702656</t>
        </is>
      </c>
      <c r="AX208" t="inlineStr">
        <is>
          <t>991003768499702656</t>
        </is>
      </c>
      <c r="AY208" t="inlineStr">
        <is>
          <t>2257361670002656</t>
        </is>
      </c>
      <c r="AZ208" t="inlineStr">
        <is>
          <t>BOOK</t>
        </is>
      </c>
      <c r="BC208" t="inlineStr">
        <is>
          <t>32285001382208</t>
        </is>
      </c>
      <c r="BD208" t="inlineStr">
        <is>
          <t>893627760</t>
        </is>
      </c>
    </row>
    <row r="209">
      <c r="A209" t="inlineStr">
        <is>
          <t>No</t>
        </is>
      </c>
      <c r="B209" t="inlineStr">
        <is>
          <t>NK7307.3 .H53 1980</t>
        </is>
      </c>
      <c r="C209" t="inlineStr">
        <is>
          <t>0                      NK 7307300H  53          1980</t>
        </is>
      </c>
      <c r="D209" t="inlineStr">
        <is>
          <t>Greek and Roman jewellery / Reynold Higgins.</t>
        </is>
      </c>
      <c r="F209" t="inlineStr">
        <is>
          <t>No</t>
        </is>
      </c>
      <c r="G209" t="inlineStr">
        <is>
          <t>1</t>
        </is>
      </c>
      <c r="H209" t="inlineStr">
        <is>
          <t>No</t>
        </is>
      </c>
      <c r="I209" t="inlineStr">
        <is>
          <t>No</t>
        </is>
      </c>
      <c r="J209" t="inlineStr">
        <is>
          <t>0</t>
        </is>
      </c>
      <c r="K209" t="inlineStr">
        <is>
          <t>Higgins, Reynold.</t>
        </is>
      </c>
      <c r="L209" t="inlineStr">
        <is>
          <t>Berkeley : University of California Press, c1980.</t>
        </is>
      </c>
      <c r="M209" t="inlineStr">
        <is>
          <t>1980</t>
        </is>
      </c>
      <c r="N209" t="inlineStr">
        <is>
          <t>2nd ed.</t>
        </is>
      </c>
      <c r="O209" t="inlineStr">
        <is>
          <t>eng</t>
        </is>
      </c>
      <c r="P209" t="inlineStr">
        <is>
          <t>cau</t>
        </is>
      </c>
      <c r="R209" t="inlineStr">
        <is>
          <t xml:space="preserve">NK </t>
        </is>
      </c>
      <c r="S209" t="n">
        <v>1</v>
      </c>
      <c r="T209" t="n">
        <v>1</v>
      </c>
      <c r="U209" t="inlineStr">
        <is>
          <t>1993-03-15</t>
        </is>
      </c>
      <c r="V209" t="inlineStr">
        <is>
          <t>1993-03-15</t>
        </is>
      </c>
      <c r="W209" t="inlineStr">
        <is>
          <t>1991-12-17</t>
        </is>
      </c>
      <c r="X209" t="inlineStr">
        <is>
          <t>1991-12-17</t>
        </is>
      </c>
      <c r="Y209" t="n">
        <v>431</v>
      </c>
      <c r="Z209" t="n">
        <v>374</v>
      </c>
      <c r="AA209" t="n">
        <v>531</v>
      </c>
      <c r="AB209" t="n">
        <v>3</v>
      </c>
      <c r="AC209" t="n">
        <v>4</v>
      </c>
      <c r="AD209" t="n">
        <v>17</v>
      </c>
      <c r="AE209" t="n">
        <v>21</v>
      </c>
      <c r="AF209" t="n">
        <v>6</v>
      </c>
      <c r="AG209" t="n">
        <v>7</v>
      </c>
      <c r="AH209" t="n">
        <v>5</v>
      </c>
      <c r="AI209" t="n">
        <v>6</v>
      </c>
      <c r="AJ209" t="n">
        <v>9</v>
      </c>
      <c r="AK209" t="n">
        <v>11</v>
      </c>
      <c r="AL209" t="n">
        <v>2</v>
      </c>
      <c r="AM209" t="n">
        <v>3</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HYPERLINK("https://creighton-primo.hosted.exlibrisgroup.com/primo-explore/search?tab=default_tab&amp;search_scope=EVERYTHING&amp;vid=01CRU&amp;lang=en_US&amp;offset=0&amp;query=any,contains,991005119849702656","Catalog Record")</f>
        <v/>
      </c>
      <c r="AT209">
        <f>HYPERLINK("http://www.worldcat.org/oclc/7494037","WorldCat Record")</f>
        <v/>
      </c>
      <c r="AU209" t="inlineStr">
        <is>
          <t>501702:eng</t>
        </is>
      </c>
      <c r="AV209" t="inlineStr">
        <is>
          <t>7494037</t>
        </is>
      </c>
      <c r="AW209" t="inlineStr">
        <is>
          <t>991005119849702656</t>
        </is>
      </c>
      <c r="AX209" t="inlineStr">
        <is>
          <t>991005119849702656</t>
        </is>
      </c>
      <c r="AY209" t="inlineStr">
        <is>
          <t>2268066020002656</t>
        </is>
      </c>
      <c r="AZ209" t="inlineStr">
        <is>
          <t>BOOK</t>
        </is>
      </c>
      <c r="BB209" t="inlineStr">
        <is>
          <t>9780520036017</t>
        </is>
      </c>
      <c r="BC209" t="inlineStr">
        <is>
          <t>32285000907294</t>
        </is>
      </c>
      <c r="BD209" t="inlineStr">
        <is>
          <t>893326192</t>
        </is>
      </c>
    </row>
    <row r="210">
      <c r="A210" t="inlineStr">
        <is>
          <t>No</t>
        </is>
      </c>
      <c r="B210" t="inlineStr">
        <is>
          <t>NK7388.A1 A7 1978</t>
        </is>
      </c>
      <c r="C210" t="inlineStr">
        <is>
          <t>0                      NK 7388000A  1                  A  7           1978</t>
        </is>
      </c>
      <c r="D210" t="inlineStr">
        <is>
          <t>Jewels of the Pharaohs : Egyptian jewelry of the Dynastic Period / Cyril Aldred ; special photography in Cairo by Albert Shoucair.</t>
        </is>
      </c>
      <c r="F210" t="inlineStr">
        <is>
          <t>No</t>
        </is>
      </c>
      <c r="G210" t="inlineStr">
        <is>
          <t>1</t>
        </is>
      </c>
      <c r="H210" t="inlineStr">
        <is>
          <t>No</t>
        </is>
      </c>
      <c r="I210" t="inlineStr">
        <is>
          <t>No</t>
        </is>
      </c>
      <c r="J210" t="inlineStr">
        <is>
          <t>0</t>
        </is>
      </c>
      <c r="K210" t="inlineStr">
        <is>
          <t>Aldred, Cyril.</t>
        </is>
      </c>
      <c r="L210" t="inlineStr">
        <is>
          <t>New York : Ballantine Books, 1978.</t>
        </is>
      </c>
      <c r="M210" t="inlineStr">
        <is>
          <t>1978</t>
        </is>
      </c>
      <c r="N210" t="inlineStr">
        <is>
          <t>1st Ballantine Books ed.</t>
        </is>
      </c>
      <c r="O210" t="inlineStr">
        <is>
          <t>eng</t>
        </is>
      </c>
      <c r="P210" t="inlineStr">
        <is>
          <t>nyu</t>
        </is>
      </c>
      <c r="R210" t="inlineStr">
        <is>
          <t xml:space="preserve">NK </t>
        </is>
      </c>
      <c r="S210" t="n">
        <v>5</v>
      </c>
      <c r="T210" t="n">
        <v>5</v>
      </c>
      <c r="U210" t="inlineStr">
        <is>
          <t>2009-11-22</t>
        </is>
      </c>
      <c r="V210" t="inlineStr">
        <is>
          <t>2009-11-22</t>
        </is>
      </c>
      <c r="W210" t="inlineStr">
        <is>
          <t>1992-11-04</t>
        </is>
      </c>
      <c r="X210" t="inlineStr">
        <is>
          <t>1992-11-04</t>
        </is>
      </c>
      <c r="Y210" t="n">
        <v>524</v>
      </c>
      <c r="Z210" t="n">
        <v>468</v>
      </c>
      <c r="AA210" t="n">
        <v>944</v>
      </c>
      <c r="AB210" t="n">
        <v>2</v>
      </c>
      <c r="AC210" t="n">
        <v>3</v>
      </c>
      <c r="AD210" t="n">
        <v>9</v>
      </c>
      <c r="AE210" t="n">
        <v>28</v>
      </c>
      <c r="AF210" t="n">
        <v>5</v>
      </c>
      <c r="AG210" t="n">
        <v>13</v>
      </c>
      <c r="AH210" t="n">
        <v>3</v>
      </c>
      <c r="AI210" t="n">
        <v>7</v>
      </c>
      <c r="AJ210" t="n">
        <v>4</v>
      </c>
      <c r="AK210" t="n">
        <v>15</v>
      </c>
      <c r="AL210" t="n">
        <v>0</v>
      </c>
      <c r="AM210" t="n">
        <v>1</v>
      </c>
      <c r="AN210" t="n">
        <v>0</v>
      </c>
      <c r="AO210" t="n">
        <v>0</v>
      </c>
      <c r="AP210" t="inlineStr">
        <is>
          <t>No</t>
        </is>
      </c>
      <c r="AQ210" t="inlineStr">
        <is>
          <t>Yes</t>
        </is>
      </c>
      <c r="AR210">
        <f>HYPERLINK("http://catalog.hathitrust.org/Record/009920826","HathiTrust Record")</f>
        <v/>
      </c>
      <c r="AS210">
        <f>HYPERLINK("https://creighton-primo.hosted.exlibrisgroup.com/primo-explore/search?tab=default_tab&amp;search_scope=EVERYTHING&amp;vid=01CRU&amp;lang=en_US&amp;offset=0&amp;query=any,contains,991004583379702656","Catalog Record")</f>
        <v/>
      </c>
      <c r="AT210">
        <f>HYPERLINK("http://www.worldcat.org/oclc/4076227","WorldCat Record")</f>
        <v/>
      </c>
      <c r="AU210" t="inlineStr">
        <is>
          <t>4926869464:eng</t>
        </is>
      </c>
      <c r="AV210" t="inlineStr">
        <is>
          <t>4076227</t>
        </is>
      </c>
      <c r="AW210" t="inlineStr">
        <is>
          <t>991004583379702656</t>
        </is>
      </c>
      <c r="AX210" t="inlineStr">
        <is>
          <t>991004583379702656</t>
        </is>
      </c>
      <c r="AY210" t="inlineStr">
        <is>
          <t>2262871650002656</t>
        </is>
      </c>
      <c r="AZ210" t="inlineStr">
        <is>
          <t>BOOK</t>
        </is>
      </c>
      <c r="BB210" t="inlineStr">
        <is>
          <t>9780345278197</t>
        </is>
      </c>
      <c r="BC210" t="inlineStr">
        <is>
          <t>32285001382216</t>
        </is>
      </c>
      <c r="BD210" t="inlineStr">
        <is>
          <t>893700416</t>
        </is>
      </c>
    </row>
    <row r="211">
      <c r="A211" t="inlineStr">
        <is>
          <t>No</t>
        </is>
      </c>
      <c r="B211" t="inlineStr">
        <is>
          <t>NK7492 .P33</t>
        </is>
      </c>
      <c r="C211" t="inlineStr">
        <is>
          <t>0                      NK 7492000P  33</t>
        </is>
      </c>
      <c r="D211" t="inlineStr">
        <is>
          <t>A treasury of American clocks.</t>
        </is>
      </c>
      <c r="F211" t="inlineStr">
        <is>
          <t>No</t>
        </is>
      </c>
      <c r="G211" t="inlineStr">
        <is>
          <t>1</t>
        </is>
      </c>
      <c r="H211" t="inlineStr">
        <is>
          <t>No</t>
        </is>
      </c>
      <c r="I211" t="inlineStr">
        <is>
          <t>No</t>
        </is>
      </c>
      <c r="J211" t="inlineStr">
        <is>
          <t>0</t>
        </is>
      </c>
      <c r="K211" t="inlineStr">
        <is>
          <t>Palmer, Brooks.</t>
        </is>
      </c>
      <c r="L211" t="inlineStr">
        <is>
          <t>New York, Macmillan [1967]</t>
        </is>
      </c>
      <c r="M211" t="inlineStr">
        <is>
          <t>1967</t>
        </is>
      </c>
      <c r="O211" t="inlineStr">
        <is>
          <t>eng</t>
        </is>
      </c>
      <c r="P211" t="inlineStr">
        <is>
          <t>nyu</t>
        </is>
      </c>
      <c r="R211" t="inlineStr">
        <is>
          <t xml:space="preserve">NK </t>
        </is>
      </c>
      <c r="S211" t="n">
        <v>1</v>
      </c>
      <c r="T211" t="n">
        <v>1</v>
      </c>
      <c r="U211" t="inlineStr">
        <is>
          <t>1998-02-23</t>
        </is>
      </c>
      <c r="V211" t="inlineStr">
        <is>
          <t>1998-02-23</t>
        </is>
      </c>
      <c r="W211" t="inlineStr">
        <is>
          <t>1997-08-08</t>
        </is>
      </c>
      <c r="X211" t="inlineStr">
        <is>
          <t>1997-08-08</t>
        </is>
      </c>
      <c r="Y211" t="n">
        <v>620</v>
      </c>
      <c r="Z211" t="n">
        <v>586</v>
      </c>
      <c r="AA211" t="n">
        <v>598</v>
      </c>
      <c r="AB211" t="n">
        <v>2</v>
      </c>
      <c r="AC211" t="n">
        <v>2</v>
      </c>
      <c r="AD211" t="n">
        <v>6</v>
      </c>
      <c r="AE211" t="n">
        <v>6</v>
      </c>
      <c r="AF211" t="n">
        <v>4</v>
      </c>
      <c r="AG211" t="n">
        <v>4</v>
      </c>
      <c r="AH211" t="n">
        <v>1</v>
      </c>
      <c r="AI211" t="n">
        <v>1</v>
      </c>
      <c r="AJ211" t="n">
        <v>2</v>
      </c>
      <c r="AK211" t="n">
        <v>2</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HYPERLINK("https://creighton-primo.hosted.exlibrisgroup.com/primo-explore/search?tab=default_tab&amp;search_scope=EVERYTHING&amp;vid=01CRU&amp;lang=en_US&amp;offset=0&amp;query=any,contains,991003138369702656","Catalog Record")</f>
        <v/>
      </c>
      <c r="AT211">
        <f>HYPERLINK("http://www.worldcat.org/oclc/679870","WorldCat Record")</f>
        <v/>
      </c>
      <c r="AU211" t="inlineStr">
        <is>
          <t>399276:eng</t>
        </is>
      </c>
      <c r="AV211" t="inlineStr">
        <is>
          <t>679870</t>
        </is>
      </c>
      <c r="AW211" t="inlineStr">
        <is>
          <t>991003138369702656</t>
        </is>
      </c>
      <c r="AX211" t="inlineStr">
        <is>
          <t>991003138369702656</t>
        </is>
      </c>
      <c r="AY211" t="inlineStr">
        <is>
          <t>2269822950002656</t>
        </is>
      </c>
      <c r="AZ211" t="inlineStr">
        <is>
          <t>BOOK</t>
        </is>
      </c>
      <c r="BC211" t="inlineStr">
        <is>
          <t>32285003048047</t>
        </is>
      </c>
      <c r="BD211" t="inlineStr">
        <is>
          <t>893239913</t>
        </is>
      </c>
    </row>
    <row r="212">
      <c r="A212" t="inlineStr">
        <is>
          <t>No</t>
        </is>
      </c>
      <c r="B212" t="inlineStr">
        <is>
          <t>NK7983 .C45 1946</t>
        </is>
      </c>
      <c r="C212" t="inlineStr">
        <is>
          <t>0                      NK 7983000C  45          1946</t>
        </is>
      </c>
      <c r="D212" t="inlineStr">
        <is>
          <t>Chinese bronzes from the Buckingham collection / by Charles Fabens Kelley and Chʻen Meng-chia.</t>
        </is>
      </c>
      <c r="F212" t="inlineStr">
        <is>
          <t>No</t>
        </is>
      </c>
      <c r="G212" t="inlineStr">
        <is>
          <t>1</t>
        </is>
      </c>
      <c r="H212" t="inlineStr">
        <is>
          <t>No</t>
        </is>
      </c>
      <c r="I212" t="inlineStr">
        <is>
          <t>No</t>
        </is>
      </c>
      <c r="J212" t="inlineStr">
        <is>
          <t>0</t>
        </is>
      </c>
      <c r="K212" t="inlineStr">
        <is>
          <t>Art Institute of Chicago.</t>
        </is>
      </c>
      <c r="L212" t="inlineStr">
        <is>
          <t>[Chicago] : Art Institute of Chicago, 1946.</t>
        </is>
      </c>
      <c r="M212" t="inlineStr">
        <is>
          <t>1946</t>
        </is>
      </c>
      <c r="O212" t="inlineStr">
        <is>
          <t>eng</t>
        </is>
      </c>
      <c r="P212" t="inlineStr">
        <is>
          <t>ilu</t>
        </is>
      </c>
      <c r="R212" t="inlineStr">
        <is>
          <t xml:space="preserve">NK </t>
        </is>
      </c>
      <c r="S212" t="n">
        <v>1</v>
      </c>
      <c r="T212" t="n">
        <v>1</v>
      </c>
      <c r="U212" t="inlineStr">
        <is>
          <t>2007-02-05</t>
        </is>
      </c>
      <c r="V212" t="inlineStr">
        <is>
          <t>2007-02-05</t>
        </is>
      </c>
      <c r="W212" t="inlineStr">
        <is>
          <t>2007-02-05</t>
        </is>
      </c>
      <c r="X212" t="inlineStr">
        <is>
          <t>2007-02-05</t>
        </is>
      </c>
      <c r="Y212" t="n">
        <v>202</v>
      </c>
      <c r="Z212" t="n">
        <v>166</v>
      </c>
      <c r="AA212" t="n">
        <v>174</v>
      </c>
      <c r="AB212" t="n">
        <v>2</v>
      </c>
      <c r="AC212" t="n">
        <v>2</v>
      </c>
      <c r="AD212" t="n">
        <v>2</v>
      </c>
      <c r="AE212" t="n">
        <v>2</v>
      </c>
      <c r="AF212" t="n">
        <v>0</v>
      </c>
      <c r="AG212" t="n">
        <v>0</v>
      </c>
      <c r="AH212" t="n">
        <v>0</v>
      </c>
      <c r="AI212" t="n">
        <v>0</v>
      </c>
      <c r="AJ212" t="n">
        <v>2</v>
      </c>
      <c r="AK212" t="n">
        <v>2</v>
      </c>
      <c r="AL212" t="n">
        <v>0</v>
      </c>
      <c r="AM212" t="n">
        <v>0</v>
      </c>
      <c r="AN212" t="n">
        <v>0</v>
      </c>
      <c r="AO212" t="n">
        <v>0</v>
      </c>
      <c r="AP212" t="inlineStr">
        <is>
          <t>Yes</t>
        </is>
      </c>
      <c r="AQ212" t="inlineStr">
        <is>
          <t>No</t>
        </is>
      </c>
      <c r="AR212">
        <f>HYPERLINK("http://catalog.hathitrust.org/Record/001472465","HathiTrust Record")</f>
        <v/>
      </c>
      <c r="AS212">
        <f>HYPERLINK("https://creighton-primo.hosted.exlibrisgroup.com/primo-explore/search?tab=default_tab&amp;search_scope=EVERYTHING&amp;vid=01CRU&amp;lang=en_US&amp;offset=0&amp;query=any,contains,991005008129702656","Catalog Record")</f>
        <v/>
      </c>
      <c r="AT212">
        <f>HYPERLINK("http://www.worldcat.org/oclc/2609021","WorldCat Record")</f>
        <v/>
      </c>
      <c r="AU212" t="inlineStr">
        <is>
          <t>5485689:eng</t>
        </is>
      </c>
      <c r="AV212" t="inlineStr">
        <is>
          <t>2609021</t>
        </is>
      </c>
      <c r="AW212" t="inlineStr">
        <is>
          <t>991005008129702656</t>
        </is>
      </c>
      <c r="AX212" t="inlineStr">
        <is>
          <t>991005008129702656</t>
        </is>
      </c>
      <c r="AY212" t="inlineStr">
        <is>
          <t>2261050310002656</t>
        </is>
      </c>
      <c r="AZ212" t="inlineStr">
        <is>
          <t>BOOK</t>
        </is>
      </c>
      <c r="BC212" t="inlineStr">
        <is>
          <t>32285005274831</t>
        </is>
      </c>
      <c r="BD212" t="inlineStr">
        <is>
          <t>893713312</t>
        </is>
      </c>
    </row>
    <row r="213">
      <c r="A213" t="inlineStr">
        <is>
          <t>No</t>
        </is>
      </c>
      <c r="B213" t="inlineStr">
        <is>
          <t>NK7983.22 .N48 1980</t>
        </is>
      </c>
      <c r="C213" t="inlineStr">
        <is>
          <t>0                      NK 7983220N  48          1980</t>
        </is>
      </c>
      <c r="D213" t="inlineStr">
        <is>
          <t>The great bronze age of China : an exhibition from the People's Republic of China / edited by Wen Fong; introductory essays by Ma Chengyuan ... [et al.] ; catalogue by Robert W. Bagley, Jenny F. So, Maxwell K. Hearn.</t>
        </is>
      </c>
      <c r="F213" t="inlineStr">
        <is>
          <t>No</t>
        </is>
      </c>
      <c r="G213" t="inlineStr">
        <is>
          <t>1</t>
        </is>
      </c>
      <c r="H213" t="inlineStr">
        <is>
          <t>No</t>
        </is>
      </c>
      <c r="I213" t="inlineStr">
        <is>
          <t>No</t>
        </is>
      </c>
      <c r="J213" t="inlineStr">
        <is>
          <t>0</t>
        </is>
      </c>
      <c r="K213" t="inlineStr">
        <is>
          <t>Metropolitan Museum of Art (New York, N.Y.)</t>
        </is>
      </c>
      <c r="L213" t="inlineStr">
        <is>
          <t>New York : Metropolitan Museum of Art, c1980.</t>
        </is>
      </c>
      <c r="M213" t="inlineStr">
        <is>
          <t>1980</t>
        </is>
      </c>
      <c r="O213" t="inlineStr">
        <is>
          <t>eng</t>
        </is>
      </c>
      <c r="P213" t="inlineStr">
        <is>
          <t>nyu</t>
        </is>
      </c>
      <c r="R213" t="inlineStr">
        <is>
          <t xml:space="preserve">NK </t>
        </is>
      </c>
      <c r="S213" t="n">
        <v>2</v>
      </c>
      <c r="T213" t="n">
        <v>2</v>
      </c>
      <c r="U213" t="inlineStr">
        <is>
          <t>1996-03-05</t>
        </is>
      </c>
      <c r="V213" t="inlineStr">
        <is>
          <t>1996-03-05</t>
        </is>
      </c>
      <c r="W213" t="inlineStr">
        <is>
          <t>1992-08-24</t>
        </is>
      </c>
      <c r="X213" t="inlineStr">
        <is>
          <t>1992-08-24</t>
        </is>
      </c>
      <c r="Y213" t="n">
        <v>1208</v>
      </c>
      <c r="Z213" t="n">
        <v>1090</v>
      </c>
      <c r="AA213" t="n">
        <v>1147</v>
      </c>
      <c r="AB213" t="n">
        <v>8</v>
      </c>
      <c r="AC213" t="n">
        <v>8</v>
      </c>
      <c r="AD213" t="n">
        <v>34</v>
      </c>
      <c r="AE213" t="n">
        <v>36</v>
      </c>
      <c r="AF213" t="n">
        <v>15</v>
      </c>
      <c r="AG213" t="n">
        <v>15</v>
      </c>
      <c r="AH213" t="n">
        <v>8</v>
      </c>
      <c r="AI213" t="n">
        <v>9</v>
      </c>
      <c r="AJ213" t="n">
        <v>15</v>
      </c>
      <c r="AK213" t="n">
        <v>16</v>
      </c>
      <c r="AL213" t="n">
        <v>5</v>
      </c>
      <c r="AM213" t="n">
        <v>5</v>
      </c>
      <c r="AN213" t="n">
        <v>0</v>
      </c>
      <c r="AO213" t="n">
        <v>0</v>
      </c>
      <c r="AP213" t="inlineStr">
        <is>
          <t>No</t>
        </is>
      </c>
      <c r="AQ213" t="inlineStr">
        <is>
          <t>Yes</t>
        </is>
      </c>
      <c r="AR213">
        <f>HYPERLINK("http://catalog.hathitrust.org/Record/000738183","HathiTrust Record")</f>
        <v/>
      </c>
      <c r="AS213">
        <f>HYPERLINK("https://creighton-primo.hosted.exlibrisgroup.com/primo-explore/search?tab=default_tab&amp;search_scope=EVERYTHING&amp;vid=01CRU&amp;lang=en_US&amp;offset=0&amp;query=any,contains,991004902609702656","Catalog Record")</f>
        <v/>
      </c>
      <c r="AT213">
        <f>HYPERLINK("http://www.worldcat.org/oclc/5941721","WorldCat Record")</f>
        <v/>
      </c>
      <c r="AU213" t="inlineStr">
        <is>
          <t>839932002:eng</t>
        </is>
      </c>
      <c r="AV213" t="inlineStr">
        <is>
          <t>5941721</t>
        </is>
      </c>
      <c r="AW213" t="inlineStr">
        <is>
          <t>991004902609702656</t>
        </is>
      </c>
      <c r="AX213" t="inlineStr">
        <is>
          <t>991004902609702656</t>
        </is>
      </c>
      <c r="AY213" t="inlineStr">
        <is>
          <t>2270068520002656</t>
        </is>
      </c>
      <c r="AZ213" t="inlineStr">
        <is>
          <t>BOOK</t>
        </is>
      </c>
      <c r="BB213" t="inlineStr">
        <is>
          <t>9780870992261</t>
        </is>
      </c>
      <c r="BC213" t="inlineStr">
        <is>
          <t>32285001270361</t>
        </is>
      </c>
      <c r="BD213" t="inlineStr">
        <is>
          <t>893443170</t>
        </is>
      </c>
    </row>
    <row r="214">
      <c r="A214" t="inlineStr">
        <is>
          <t>No</t>
        </is>
      </c>
      <c r="B214" t="inlineStr">
        <is>
          <t>NK805 .H67</t>
        </is>
      </c>
      <c r="C214" t="inlineStr">
        <is>
          <t>0                      NK 0805000H  67</t>
        </is>
      </c>
      <c r="D214" t="inlineStr">
        <is>
          <t>Treasury of American design : a pictorial survey of popular folk arts based upon watercolor renderings in the Index of American Design, at the National Gallery of Art / by Clarence P. Hornung. Foreword by J. Carter Brown. Introd. by Holger Cahill.</t>
        </is>
      </c>
      <c r="E214" t="inlineStr">
        <is>
          <t>V.2</t>
        </is>
      </c>
      <c r="F214" t="inlineStr">
        <is>
          <t>Yes</t>
        </is>
      </c>
      <c r="G214" t="inlineStr">
        <is>
          <t>1</t>
        </is>
      </c>
      <c r="H214" t="inlineStr">
        <is>
          <t>No</t>
        </is>
      </c>
      <c r="I214" t="inlineStr">
        <is>
          <t>No</t>
        </is>
      </c>
      <c r="J214" t="inlineStr">
        <is>
          <t>0</t>
        </is>
      </c>
      <c r="K214" t="inlineStr">
        <is>
          <t>Hornung, Clarence P., 1899-1997.</t>
        </is>
      </c>
      <c r="L214" t="inlineStr">
        <is>
          <t>New York : H. N. Abrams, [1972]</t>
        </is>
      </c>
      <c r="M214" t="inlineStr">
        <is>
          <t>1972</t>
        </is>
      </c>
      <c r="O214" t="inlineStr">
        <is>
          <t>eng</t>
        </is>
      </c>
      <c r="P214" t="inlineStr">
        <is>
          <t>nyu</t>
        </is>
      </c>
      <c r="R214" t="inlineStr">
        <is>
          <t xml:space="preserve">NK </t>
        </is>
      </c>
      <c r="S214" t="n">
        <v>2</v>
      </c>
      <c r="T214" t="n">
        <v>4</v>
      </c>
      <c r="U214" t="inlineStr">
        <is>
          <t>1994-05-02</t>
        </is>
      </c>
      <c r="V214" t="inlineStr">
        <is>
          <t>1994-05-02</t>
        </is>
      </c>
      <c r="W214" t="inlineStr">
        <is>
          <t>1993-06-01</t>
        </is>
      </c>
      <c r="X214" t="inlineStr">
        <is>
          <t>1993-06-01</t>
        </is>
      </c>
      <c r="Y214" t="n">
        <v>1786</v>
      </c>
      <c r="Z214" t="n">
        <v>1690</v>
      </c>
      <c r="AA214" t="n">
        <v>1823</v>
      </c>
      <c r="AB214" t="n">
        <v>16</v>
      </c>
      <c r="AC214" t="n">
        <v>17</v>
      </c>
      <c r="AD214" t="n">
        <v>37</v>
      </c>
      <c r="AE214" t="n">
        <v>39</v>
      </c>
      <c r="AF214" t="n">
        <v>14</v>
      </c>
      <c r="AG214" t="n">
        <v>14</v>
      </c>
      <c r="AH214" t="n">
        <v>6</v>
      </c>
      <c r="AI214" t="n">
        <v>7</v>
      </c>
      <c r="AJ214" t="n">
        <v>20</v>
      </c>
      <c r="AK214" t="n">
        <v>21</v>
      </c>
      <c r="AL214" t="n">
        <v>4</v>
      </c>
      <c r="AM214" t="n">
        <v>5</v>
      </c>
      <c r="AN214" t="n">
        <v>0</v>
      </c>
      <c r="AO214" t="n">
        <v>0</v>
      </c>
      <c r="AP214" t="inlineStr">
        <is>
          <t>No</t>
        </is>
      </c>
      <c r="AQ214" t="inlineStr">
        <is>
          <t>Yes</t>
        </is>
      </c>
      <c r="AR214">
        <f>HYPERLINK("http://catalog.hathitrust.org/Record/001470528","HathiTrust Record")</f>
        <v/>
      </c>
      <c r="AS214">
        <f>HYPERLINK("https://creighton-primo.hosted.exlibrisgroup.com/primo-explore/search?tab=default_tab&amp;search_scope=EVERYTHING&amp;vid=01CRU&amp;lang=en_US&amp;offset=0&amp;query=any,contains,991002988389702656","Catalog Record")</f>
        <v/>
      </c>
      <c r="AT214">
        <f>HYPERLINK("http://www.worldcat.org/oclc/558866","WorldCat Record")</f>
        <v/>
      </c>
      <c r="AU214" t="inlineStr">
        <is>
          <t>498020:eng</t>
        </is>
      </c>
      <c r="AV214" t="inlineStr">
        <is>
          <t>558866</t>
        </is>
      </c>
      <c r="AW214" t="inlineStr">
        <is>
          <t>991002988389702656</t>
        </is>
      </c>
      <c r="AX214" t="inlineStr">
        <is>
          <t>991002988389702656</t>
        </is>
      </c>
      <c r="AY214" t="inlineStr">
        <is>
          <t>2260939910002656</t>
        </is>
      </c>
      <c r="AZ214" t="inlineStr">
        <is>
          <t>BOOK</t>
        </is>
      </c>
      <c r="BB214" t="inlineStr">
        <is>
          <t>9780810905160</t>
        </is>
      </c>
      <c r="BC214" t="inlineStr">
        <is>
          <t>32285001715787</t>
        </is>
      </c>
      <c r="BD214" t="inlineStr">
        <is>
          <t>893227549</t>
        </is>
      </c>
    </row>
    <row r="215">
      <c r="A215" t="inlineStr">
        <is>
          <t>No</t>
        </is>
      </c>
      <c r="B215" t="inlineStr">
        <is>
          <t>NK805 .H67</t>
        </is>
      </c>
      <c r="C215" t="inlineStr">
        <is>
          <t>0                      NK 0805000H  67</t>
        </is>
      </c>
      <c r="D215" t="inlineStr">
        <is>
          <t>Treasury of American design : a pictorial survey of popular folk arts based upon watercolor renderings in the Index of American Design, at the National Gallery of Art / by Clarence P. Hornung. Foreword by J. Carter Brown. Introd. by Holger Cahill.</t>
        </is>
      </c>
      <c r="E215" t="inlineStr">
        <is>
          <t>V.1</t>
        </is>
      </c>
      <c r="F215" t="inlineStr">
        <is>
          <t>Yes</t>
        </is>
      </c>
      <c r="G215" t="inlineStr">
        <is>
          <t>1</t>
        </is>
      </c>
      <c r="H215" t="inlineStr">
        <is>
          <t>No</t>
        </is>
      </c>
      <c r="I215" t="inlineStr">
        <is>
          <t>No</t>
        </is>
      </c>
      <c r="J215" t="inlineStr">
        <is>
          <t>0</t>
        </is>
      </c>
      <c r="K215" t="inlineStr">
        <is>
          <t>Hornung, Clarence P., 1899-1997.</t>
        </is>
      </c>
      <c r="L215" t="inlineStr">
        <is>
          <t>New York : H. N. Abrams, [1972]</t>
        </is>
      </c>
      <c r="M215" t="inlineStr">
        <is>
          <t>1972</t>
        </is>
      </c>
      <c r="O215" t="inlineStr">
        <is>
          <t>eng</t>
        </is>
      </c>
      <c r="P215" t="inlineStr">
        <is>
          <t>nyu</t>
        </is>
      </c>
      <c r="R215" t="inlineStr">
        <is>
          <t xml:space="preserve">NK </t>
        </is>
      </c>
      <c r="S215" t="n">
        <v>2</v>
      </c>
      <c r="T215" t="n">
        <v>4</v>
      </c>
      <c r="U215" t="inlineStr">
        <is>
          <t>1994-05-02</t>
        </is>
      </c>
      <c r="V215" t="inlineStr">
        <is>
          <t>1994-05-02</t>
        </is>
      </c>
      <c r="W215" t="inlineStr">
        <is>
          <t>1992-03-03</t>
        </is>
      </c>
      <c r="X215" t="inlineStr">
        <is>
          <t>1993-06-01</t>
        </is>
      </c>
      <c r="Y215" t="n">
        <v>1786</v>
      </c>
      <c r="Z215" t="n">
        <v>1690</v>
      </c>
      <c r="AA215" t="n">
        <v>1823</v>
      </c>
      <c r="AB215" t="n">
        <v>16</v>
      </c>
      <c r="AC215" t="n">
        <v>17</v>
      </c>
      <c r="AD215" t="n">
        <v>37</v>
      </c>
      <c r="AE215" t="n">
        <v>39</v>
      </c>
      <c r="AF215" t="n">
        <v>14</v>
      </c>
      <c r="AG215" t="n">
        <v>14</v>
      </c>
      <c r="AH215" t="n">
        <v>6</v>
      </c>
      <c r="AI215" t="n">
        <v>7</v>
      </c>
      <c r="AJ215" t="n">
        <v>20</v>
      </c>
      <c r="AK215" t="n">
        <v>21</v>
      </c>
      <c r="AL215" t="n">
        <v>4</v>
      </c>
      <c r="AM215" t="n">
        <v>5</v>
      </c>
      <c r="AN215" t="n">
        <v>0</v>
      </c>
      <c r="AO215" t="n">
        <v>0</v>
      </c>
      <c r="AP215" t="inlineStr">
        <is>
          <t>No</t>
        </is>
      </c>
      <c r="AQ215" t="inlineStr">
        <is>
          <t>Yes</t>
        </is>
      </c>
      <c r="AR215">
        <f>HYPERLINK("http://catalog.hathitrust.org/Record/001470528","HathiTrust Record")</f>
        <v/>
      </c>
      <c r="AS215">
        <f>HYPERLINK("https://creighton-primo.hosted.exlibrisgroup.com/primo-explore/search?tab=default_tab&amp;search_scope=EVERYTHING&amp;vid=01CRU&amp;lang=en_US&amp;offset=0&amp;query=any,contains,991002988389702656","Catalog Record")</f>
        <v/>
      </c>
      <c r="AT215">
        <f>HYPERLINK("http://www.worldcat.org/oclc/558866","WorldCat Record")</f>
        <v/>
      </c>
      <c r="AU215" t="inlineStr">
        <is>
          <t>498020:eng</t>
        </is>
      </c>
      <c r="AV215" t="inlineStr">
        <is>
          <t>558866</t>
        </is>
      </c>
      <c r="AW215" t="inlineStr">
        <is>
          <t>991002988389702656</t>
        </is>
      </c>
      <c r="AX215" t="inlineStr">
        <is>
          <t>991002988389702656</t>
        </is>
      </c>
      <c r="AY215" t="inlineStr">
        <is>
          <t>2260939910002656</t>
        </is>
      </c>
      <c r="AZ215" t="inlineStr">
        <is>
          <t>BOOK</t>
        </is>
      </c>
      <c r="BB215" t="inlineStr">
        <is>
          <t>9780810905160</t>
        </is>
      </c>
      <c r="BC215" t="inlineStr">
        <is>
          <t>32285000979251</t>
        </is>
      </c>
      <c r="BD215" t="inlineStr">
        <is>
          <t>893239765</t>
        </is>
      </c>
    </row>
    <row r="216">
      <c r="A216" t="inlineStr">
        <is>
          <t>No</t>
        </is>
      </c>
      <c r="B216" t="inlineStr">
        <is>
          <t>NK806 .B7 1980</t>
        </is>
      </c>
      <c r="C216" t="inlineStr">
        <is>
          <t>0                      NK 0806000B  7           1980</t>
        </is>
      </c>
      <c r="D216" t="inlineStr">
        <is>
          <t>Small folk : a celebration of childhood in America / Sandra Brant and Elissa Cullman.</t>
        </is>
      </c>
      <c r="F216" t="inlineStr">
        <is>
          <t>No</t>
        </is>
      </c>
      <c r="G216" t="inlineStr">
        <is>
          <t>1</t>
        </is>
      </c>
      <c r="H216" t="inlineStr">
        <is>
          <t>No</t>
        </is>
      </c>
      <c r="I216" t="inlineStr">
        <is>
          <t>No</t>
        </is>
      </c>
      <c r="J216" t="inlineStr">
        <is>
          <t>0</t>
        </is>
      </c>
      <c r="K216" t="inlineStr">
        <is>
          <t>Brant, Sandra.</t>
        </is>
      </c>
      <c r="L216" t="inlineStr">
        <is>
          <t>New York : E.P. Dutton : Museum of American Folk Art, 1980.</t>
        </is>
      </c>
      <c r="M216" t="inlineStr">
        <is>
          <t>1980</t>
        </is>
      </c>
      <c r="N216" t="inlineStr">
        <is>
          <t>1st ed.</t>
        </is>
      </c>
      <c r="O216" t="inlineStr">
        <is>
          <t>eng</t>
        </is>
      </c>
      <c r="P216" t="inlineStr">
        <is>
          <t>nyu</t>
        </is>
      </c>
      <c r="R216" t="inlineStr">
        <is>
          <t xml:space="preserve">NK </t>
        </is>
      </c>
      <c r="S216" t="n">
        <v>2</v>
      </c>
      <c r="T216" t="n">
        <v>2</v>
      </c>
      <c r="U216" t="inlineStr">
        <is>
          <t>2007-04-26</t>
        </is>
      </c>
      <c r="V216" t="inlineStr">
        <is>
          <t>2007-04-26</t>
        </is>
      </c>
      <c r="W216" t="inlineStr">
        <is>
          <t>1992-03-01</t>
        </is>
      </c>
      <c r="X216" t="inlineStr">
        <is>
          <t>1992-03-01</t>
        </is>
      </c>
      <c r="Y216" t="n">
        <v>624</v>
      </c>
      <c r="Z216" t="n">
        <v>600</v>
      </c>
      <c r="AA216" t="n">
        <v>608</v>
      </c>
      <c r="AB216" t="n">
        <v>3</v>
      </c>
      <c r="AC216" t="n">
        <v>3</v>
      </c>
      <c r="AD216" t="n">
        <v>10</v>
      </c>
      <c r="AE216" t="n">
        <v>10</v>
      </c>
      <c r="AF216" t="n">
        <v>4</v>
      </c>
      <c r="AG216" t="n">
        <v>4</v>
      </c>
      <c r="AH216" t="n">
        <v>1</v>
      </c>
      <c r="AI216" t="n">
        <v>1</v>
      </c>
      <c r="AJ216" t="n">
        <v>6</v>
      </c>
      <c r="AK216" t="n">
        <v>6</v>
      </c>
      <c r="AL216" t="n">
        <v>1</v>
      </c>
      <c r="AM216" t="n">
        <v>1</v>
      </c>
      <c r="AN216" t="n">
        <v>0</v>
      </c>
      <c r="AO216" t="n">
        <v>0</v>
      </c>
      <c r="AP216" t="inlineStr">
        <is>
          <t>No</t>
        </is>
      </c>
      <c r="AQ216" t="inlineStr">
        <is>
          <t>Yes</t>
        </is>
      </c>
      <c r="AR216">
        <f>HYPERLINK("http://catalog.hathitrust.org/Record/003601875","HathiTrust Record")</f>
        <v/>
      </c>
      <c r="AS216">
        <f>HYPERLINK("https://creighton-primo.hosted.exlibrisgroup.com/primo-explore/search?tab=default_tab&amp;search_scope=EVERYTHING&amp;vid=01CRU&amp;lang=en_US&amp;offset=0&amp;query=any,contains,991005074019702656","Catalog Record")</f>
        <v/>
      </c>
      <c r="AT216">
        <f>HYPERLINK("http://www.worldcat.org/oclc/7079995","WorldCat Record")</f>
        <v/>
      </c>
      <c r="AU216" t="inlineStr">
        <is>
          <t>24967175:eng</t>
        </is>
      </c>
      <c r="AV216" t="inlineStr">
        <is>
          <t>7079995</t>
        </is>
      </c>
      <c r="AW216" t="inlineStr">
        <is>
          <t>991005074019702656</t>
        </is>
      </c>
      <c r="AX216" t="inlineStr">
        <is>
          <t>991005074019702656</t>
        </is>
      </c>
      <c r="AY216" t="inlineStr">
        <is>
          <t>2262790320002656</t>
        </is>
      </c>
      <c r="AZ216" t="inlineStr">
        <is>
          <t>BOOK</t>
        </is>
      </c>
      <c r="BB216" t="inlineStr">
        <is>
          <t>9780525931317</t>
        </is>
      </c>
      <c r="BC216" t="inlineStr">
        <is>
          <t>32285000979970</t>
        </is>
      </c>
      <c r="BD216" t="inlineStr">
        <is>
          <t>893613075</t>
        </is>
      </c>
    </row>
    <row r="217">
      <c r="A217" t="inlineStr">
        <is>
          <t>No</t>
        </is>
      </c>
      <c r="B217" t="inlineStr">
        <is>
          <t>NK806 .D35</t>
        </is>
      </c>
      <c r="C217" t="inlineStr">
        <is>
          <t>0                      NK 0806000D  35</t>
        </is>
      </c>
      <c r="D217" t="inlineStr">
        <is>
          <t>The American heritage history of antiques from the Civil War to World War I / by the editors of American heritage. Author and editor in charge: Marshall B. Davidson.</t>
        </is>
      </c>
      <c r="F217" t="inlineStr">
        <is>
          <t>No</t>
        </is>
      </c>
      <c r="G217" t="inlineStr">
        <is>
          <t>1</t>
        </is>
      </c>
      <c r="H217" t="inlineStr">
        <is>
          <t>No</t>
        </is>
      </c>
      <c r="I217" t="inlineStr">
        <is>
          <t>No</t>
        </is>
      </c>
      <c r="J217" t="inlineStr">
        <is>
          <t>0</t>
        </is>
      </c>
      <c r="K217" t="inlineStr">
        <is>
          <t>Davidson, Marshall B.</t>
        </is>
      </c>
      <c r="L217" t="inlineStr">
        <is>
          <t>[New York] : American Heritage Pub. Co., [1969]</t>
        </is>
      </c>
      <c r="M217" t="inlineStr">
        <is>
          <t>1969</t>
        </is>
      </c>
      <c r="O217" t="inlineStr">
        <is>
          <t>eng</t>
        </is>
      </c>
      <c r="P217" t="inlineStr">
        <is>
          <t>nyu</t>
        </is>
      </c>
      <c r="R217" t="inlineStr">
        <is>
          <t xml:space="preserve">NK </t>
        </is>
      </c>
      <c r="S217" t="n">
        <v>3</v>
      </c>
      <c r="T217" t="n">
        <v>3</v>
      </c>
      <c r="U217" t="inlineStr">
        <is>
          <t>2004-07-13</t>
        </is>
      </c>
      <c r="V217" t="inlineStr">
        <is>
          <t>2004-07-13</t>
        </is>
      </c>
      <c r="W217" t="inlineStr">
        <is>
          <t>1992-03-03</t>
        </is>
      </c>
      <c r="X217" t="inlineStr">
        <is>
          <t>1992-03-03</t>
        </is>
      </c>
      <c r="Y217" t="n">
        <v>1183</v>
      </c>
      <c r="Z217" t="n">
        <v>1149</v>
      </c>
      <c r="AA217" t="n">
        <v>1157</v>
      </c>
      <c r="AB217" t="n">
        <v>10</v>
      </c>
      <c r="AC217" t="n">
        <v>10</v>
      </c>
      <c r="AD217" t="n">
        <v>24</v>
      </c>
      <c r="AE217" t="n">
        <v>24</v>
      </c>
      <c r="AF217" t="n">
        <v>11</v>
      </c>
      <c r="AG217" t="n">
        <v>11</v>
      </c>
      <c r="AH217" t="n">
        <v>4</v>
      </c>
      <c r="AI217" t="n">
        <v>4</v>
      </c>
      <c r="AJ217" t="n">
        <v>9</v>
      </c>
      <c r="AK217" t="n">
        <v>9</v>
      </c>
      <c r="AL217" t="n">
        <v>6</v>
      </c>
      <c r="AM217" t="n">
        <v>6</v>
      </c>
      <c r="AN217" t="n">
        <v>0</v>
      </c>
      <c r="AO217" t="n">
        <v>0</v>
      </c>
      <c r="AP217" t="inlineStr">
        <is>
          <t>No</t>
        </is>
      </c>
      <c r="AQ217" t="inlineStr">
        <is>
          <t>Yes</t>
        </is>
      </c>
      <c r="AR217">
        <f>HYPERLINK("http://catalog.hathitrust.org/Record/001470535","HathiTrust Record")</f>
        <v/>
      </c>
      <c r="AS217">
        <f>HYPERLINK("https://creighton-primo.hosted.exlibrisgroup.com/primo-explore/search?tab=default_tab&amp;search_scope=EVERYTHING&amp;vid=01CRU&amp;lang=en_US&amp;offset=0&amp;query=any,contains,991000218379702656","Catalog Record")</f>
        <v/>
      </c>
      <c r="AT217">
        <f>HYPERLINK("http://www.worldcat.org/oclc/67311","WorldCat Record")</f>
        <v/>
      </c>
      <c r="AU217" t="inlineStr">
        <is>
          <t>1125137:eng</t>
        </is>
      </c>
      <c r="AV217" t="inlineStr">
        <is>
          <t>67311</t>
        </is>
      </c>
      <c r="AW217" t="inlineStr">
        <is>
          <t>991000218379702656</t>
        </is>
      </c>
      <c r="AX217" t="inlineStr">
        <is>
          <t>991000218379702656</t>
        </is>
      </c>
      <c r="AY217" t="inlineStr">
        <is>
          <t>2258096520002656</t>
        </is>
      </c>
      <c r="AZ217" t="inlineStr">
        <is>
          <t>BOOK</t>
        </is>
      </c>
      <c r="BB217" t="inlineStr">
        <is>
          <t>9780828100229</t>
        </is>
      </c>
      <c r="BC217" t="inlineStr">
        <is>
          <t>32285000979244</t>
        </is>
      </c>
      <c r="BD217" t="inlineStr">
        <is>
          <t>893515118</t>
        </is>
      </c>
    </row>
    <row r="218">
      <c r="A218" t="inlineStr">
        <is>
          <t>No</t>
        </is>
      </c>
      <c r="B218" t="inlineStr">
        <is>
          <t>NK807 .N4</t>
        </is>
      </c>
      <c r="C218" t="inlineStr">
        <is>
          <t>0                      NK 0807000N  4</t>
        </is>
      </c>
      <c r="D218" t="inlineStr">
        <is>
          <t>19th-century America : furniture and other decorative arts : an exhibition in celebration of the hundredth anniversary of the Metropolitan Museum of Art, April 16 through September 7, 1970 / introd. by Berry B. Tracy. Furniture texts by Marilynn Johnson. Other decorative arts texts by Marvin D. Schwartz and Suzanne Boorsch.</t>
        </is>
      </c>
      <c r="F218" t="inlineStr">
        <is>
          <t>No</t>
        </is>
      </c>
      <c r="G218" t="inlineStr">
        <is>
          <t>1</t>
        </is>
      </c>
      <c r="H218" t="inlineStr">
        <is>
          <t>No</t>
        </is>
      </c>
      <c r="I218" t="inlineStr">
        <is>
          <t>No</t>
        </is>
      </c>
      <c r="J218" t="inlineStr">
        <is>
          <t>0</t>
        </is>
      </c>
      <c r="K218" t="inlineStr">
        <is>
          <t>Metropolitan Museum of Art (New York, N.Y.)</t>
        </is>
      </c>
      <c r="L218" t="inlineStr">
        <is>
          <t>[New York] : Distributed by New York Graphic Society, [1970]</t>
        </is>
      </c>
      <c r="M218" t="inlineStr">
        <is>
          <t>1970</t>
        </is>
      </c>
      <c r="O218" t="inlineStr">
        <is>
          <t>eng</t>
        </is>
      </c>
      <c r="P218" t="inlineStr">
        <is>
          <t>nyu</t>
        </is>
      </c>
      <c r="R218" t="inlineStr">
        <is>
          <t xml:space="preserve">NK </t>
        </is>
      </c>
      <c r="S218" t="n">
        <v>8</v>
      </c>
      <c r="T218" t="n">
        <v>8</v>
      </c>
      <c r="U218" t="inlineStr">
        <is>
          <t>1998-11-12</t>
        </is>
      </c>
      <c r="V218" t="inlineStr">
        <is>
          <t>1998-11-12</t>
        </is>
      </c>
      <c r="W218" t="inlineStr">
        <is>
          <t>1992-03-03</t>
        </is>
      </c>
      <c r="X218" t="inlineStr">
        <is>
          <t>1992-03-03</t>
        </is>
      </c>
      <c r="Y218" t="n">
        <v>855</v>
      </c>
      <c r="Z218" t="n">
        <v>820</v>
      </c>
      <c r="AA218" t="n">
        <v>843</v>
      </c>
      <c r="AB218" t="n">
        <v>8</v>
      </c>
      <c r="AC218" t="n">
        <v>8</v>
      </c>
      <c r="AD218" t="n">
        <v>21</v>
      </c>
      <c r="AE218" t="n">
        <v>21</v>
      </c>
      <c r="AF218" t="n">
        <v>9</v>
      </c>
      <c r="AG218" t="n">
        <v>9</v>
      </c>
      <c r="AH218" t="n">
        <v>4</v>
      </c>
      <c r="AI218" t="n">
        <v>4</v>
      </c>
      <c r="AJ218" t="n">
        <v>10</v>
      </c>
      <c r="AK218" t="n">
        <v>10</v>
      </c>
      <c r="AL218" t="n">
        <v>3</v>
      </c>
      <c r="AM218" t="n">
        <v>3</v>
      </c>
      <c r="AN218" t="n">
        <v>0</v>
      </c>
      <c r="AO218" t="n">
        <v>0</v>
      </c>
      <c r="AP218" t="inlineStr">
        <is>
          <t>No</t>
        </is>
      </c>
      <c r="AQ218" t="inlineStr">
        <is>
          <t>Yes</t>
        </is>
      </c>
      <c r="AR218">
        <f>HYPERLINK("http://catalog.hathitrust.org/Record/001470544","HathiTrust Record")</f>
        <v/>
      </c>
      <c r="AS218">
        <f>HYPERLINK("https://creighton-primo.hosted.exlibrisgroup.com/primo-explore/search?tab=default_tab&amp;search_scope=EVERYTHING&amp;vid=01CRU&amp;lang=en_US&amp;offset=0&amp;query=any,contains,991000543259702656","Catalog Record")</f>
        <v/>
      </c>
      <c r="AT218">
        <f>HYPERLINK("http://www.worldcat.org/oclc/90973","WorldCat Record")</f>
        <v/>
      </c>
      <c r="AU218" t="inlineStr">
        <is>
          <t>5534561772:eng</t>
        </is>
      </c>
      <c r="AV218" t="inlineStr">
        <is>
          <t>90973</t>
        </is>
      </c>
      <c r="AW218" t="inlineStr">
        <is>
          <t>991000543259702656</t>
        </is>
      </c>
      <c r="AX218" t="inlineStr">
        <is>
          <t>991000543259702656</t>
        </is>
      </c>
      <c r="AY218" t="inlineStr">
        <is>
          <t>2266368860002656</t>
        </is>
      </c>
      <c r="AZ218" t="inlineStr">
        <is>
          <t>BOOK</t>
        </is>
      </c>
      <c r="BB218" t="inlineStr">
        <is>
          <t>9780870990045</t>
        </is>
      </c>
      <c r="BC218" t="inlineStr">
        <is>
          <t>32285000979236</t>
        </is>
      </c>
      <c r="BD218" t="inlineStr">
        <is>
          <t>893771739</t>
        </is>
      </c>
    </row>
    <row r="219">
      <c r="A219" t="inlineStr">
        <is>
          <t>No</t>
        </is>
      </c>
      <c r="B219" t="inlineStr">
        <is>
          <t>NK807 .V65 1988</t>
        </is>
      </c>
      <c r="C219" t="inlineStr">
        <is>
          <t>0                      NK 0807000V  65          1988</t>
        </is>
      </c>
      <c r="D219" t="inlineStr">
        <is>
          <t>Treasures of the American Arts and Crafts Movement 1890-1920 / Tod M. Volpe, Beth Cathers ; text by Alastair Duncan ; introduction by Leslie Bowman.</t>
        </is>
      </c>
      <c r="F219" t="inlineStr">
        <is>
          <t>No</t>
        </is>
      </c>
      <c r="G219" t="inlineStr">
        <is>
          <t>1</t>
        </is>
      </c>
      <c r="H219" t="inlineStr">
        <is>
          <t>No</t>
        </is>
      </c>
      <c r="I219" t="inlineStr">
        <is>
          <t>No</t>
        </is>
      </c>
      <c r="J219" t="inlineStr">
        <is>
          <t>0</t>
        </is>
      </c>
      <c r="K219" t="inlineStr">
        <is>
          <t>Volpe, Tod M.</t>
        </is>
      </c>
      <c r="L219" t="inlineStr">
        <is>
          <t>New York : H.N. Abrams, 1988.</t>
        </is>
      </c>
      <c r="M219" t="inlineStr">
        <is>
          <t>1988</t>
        </is>
      </c>
      <c r="O219" t="inlineStr">
        <is>
          <t>eng</t>
        </is>
      </c>
      <c r="P219" t="inlineStr">
        <is>
          <t>nyu</t>
        </is>
      </c>
      <c r="R219" t="inlineStr">
        <is>
          <t xml:space="preserve">NK </t>
        </is>
      </c>
      <c r="S219" t="n">
        <v>10</v>
      </c>
      <c r="T219" t="n">
        <v>10</v>
      </c>
      <c r="U219" t="inlineStr">
        <is>
          <t>2008-02-11</t>
        </is>
      </c>
      <c r="V219" t="inlineStr">
        <is>
          <t>2008-02-11</t>
        </is>
      </c>
      <c r="W219" t="inlineStr">
        <is>
          <t>1993-06-01</t>
        </is>
      </c>
      <c r="X219" t="inlineStr">
        <is>
          <t>1993-06-01</t>
        </is>
      </c>
      <c r="Y219" t="n">
        <v>730</v>
      </c>
      <c r="Z219" t="n">
        <v>678</v>
      </c>
      <c r="AA219" t="n">
        <v>774</v>
      </c>
      <c r="AB219" t="n">
        <v>4</v>
      </c>
      <c r="AC219" t="n">
        <v>5</v>
      </c>
      <c r="AD219" t="n">
        <v>10</v>
      </c>
      <c r="AE219" t="n">
        <v>14</v>
      </c>
      <c r="AF219" t="n">
        <v>3</v>
      </c>
      <c r="AG219" t="n">
        <v>5</v>
      </c>
      <c r="AH219" t="n">
        <v>1</v>
      </c>
      <c r="AI219" t="n">
        <v>2</v>
      </c>
      <c r="AJ219" t="n">
        <v>4</v>
      </c>
      <c r="AK219" t="n">
        <v>5</v>
      </c>
      <c r="AL219" t="n">
        <v>2</v>
      </c>
      <c r="AM219" t="n">
        <v>3</v>
      </c>
      <c r="AN219" t="n">
        <v>0</v>
      </c>
      <c r="AO219" t="n">
        <v>0</v>
      </c>
      <c r="AP219" t="inlineStr">
        <is>
          <t>No</t>
        </is>
      </c>
      <c r="AQ219" t="inlineStr">
        <is>
          <t>Yes</t>
        </is>
      </c>
      <c r="AR219">
        <f>HYPERLINK("http://catalog.hathitrust.org/Record/001082663","HathiTrust Record")</f>
        <v/>
      </c>
      <c r="AS219">
        <f>HYPERLINK("https://creighton-primo.hosted.exlibrisgroup.com/primo-explore/search?tab=default_tab&amp;search_scope=EVERYTHING&amp;vid=01CRU&amp;lang=en_US&amp;offset=0&amp;query=any,contains,991001015049702656","Catalog Record")</f>
        <v/>
      </c>
      <c r="AT219">
        <f>HYPERLINK("http://www.worldcat.org/oclc/15316884","WorldCat Record")</f>
        <v/>
      </c>
      <c r="AU219" t="inlineStr">
        <is>
          <t>705691:eng</t>
        </is>
      </c>
      <c r="AV219" t="inlineStr">
        <is>
          <t>15316884</t>
        </is>
      </c>
      <c r="AW219" t="inlineStr">
        <is>
          <t>991001015049702656</t>
        </is>
      </c>
      <c r="AX219" t="inlineStr">
        <is>
          <t>991001015049702656</t>
        </is>
      </c>
      <c r="AY219" t="inlineStr">
        <is>
          <t>2258677350002656</t>
        </is>
      </c>
      <c r="AZ219" t="inlineStr">
        <is>
          <t>BOOK</t>
        </is>
      </c>
      <c r="BB219" t="inlineStr">
        <is>
          <t>9780810916951</t>
        </is>
      </c>
      <c r="BC219" t="inlineStr">
        <is>
          <t>32285001715803</t>
        </is>
      </c>
      <c r="BD219" t="inlineStr">
        <is>
          <t>893720899</t>
        </is>
      </c>
    </row>
    <row r="220">
      <c r="A220" t="inlineStr">
        <is>
          <t>No</t>
        </is>
      </c>
      <c r="B220" t="inlineStr">
        <is>
          <t>NK808 .O25 2001</t>
        </is>
      </c>
      <c r="C220" t="inlineStr">
        <is>
          <t>0                      NK 0808000O  25          2001</t>
        </is>
      </c>
      <c r="D220" t="inlineStr">
        <is>
          <t>Objects for use : handmade by design / Paul J. Smith, general editor ; essays by Paul J. Smith and Akiko Busch.</t>
        </is>
      </c>
      <c r="F220" t="inlineStr">
        <is>
          <t>No</t>
        </is>
      </c>
      <c r="G220" t="inlineStr">
        <is>
          <t>1</t>
        </is>
      </c>
      <c r="H220" t="inlineStr">
        <is>
          <t>No</t>
        </is>
      </c>
      <c r="I220" t="inlineStr">
        <is>
          <t>No</t>
        </is>
      </c>
      <c r="J220" t="inlineStr">
        <is>
          <t>0</t>
        </is>
      </c>
      <c r="L220" t="inlineStr">
        <is>
          <t>New York : H.N. Abrams in association with the American Craft Museum, 2001.</t>
        </is>
      </c>
      <c r="M220" t="inlineStr">
        <is>
          <t>2001</t>
        </is>
      </c>
      <c r="O220" t="inlineStr">
        <is>
          <t>eng</t>
        </is>
      </c>
      <c r="P220" t="inlineStr">
        <is>
          <t>nyu</t>
        </is>
      </c>
      <c r="R220" t="inlineStr">
        <is>
          <t xml:space="preserve">NK </t>
        </is>
      </c>
      <c r="S220" t="n">
        <v>1</v>
      </c>
      <c r="T220" t="n">
        <v>1</v>
      </c>
      <c r="U220" t="inlineStr">
        <is>
          <t>2005-04-25</t>
        </is>
      </c>
      <c r="V220" t="inlineStr">
        <is>
          <t>2005-04-25</t>
        </is>
      </c>
      <c r="W220" t="inlineStr">
        <is>
          <t>2005-04-25</t>
        </is>
      </c>
      <c r="X220" t="inlineStr">
        <is>
          <t>2005-04-25</t>
        </is>
      </c>
      <c r="Y220" t="n">
        <v>579</v>
      </c>
      <c r="Z220" t="n">
        <v>515</v>
      </c>
      <c r="AA220" t="n">
        <v>528</v>
      </c>
      <c r="AB220" t="n">
        <v>4</v>
      </c>
      <c r="AC220" t="n">
        <v>4</v>
      </c>
      <c r="AD220" t="n">
        <v>13</v>
      </c>
      <c r="AE220" t="n">
        <v>13</v>
      </c>
      <c r="AF220" t="n">
        <v>6</v>
      </c>
      <c r="AG220" t="n">
        <v>6</v>
      </c>
      <c r="AH220" t="n">
        <v>2</v>
      </c>
      <c r="AI220" t="n">
        <v>2</v>
      </c>
      <c r="AJ220" t="n">
        <v>4</v>
      </c>
      <c r="AK220" t="n">
        <v>4</v>
      </c>
      <c r="AL220" t="n">
        <v>3</v>
      </c>
      <c r="AM220" t="n">
        <v>3</v>
      </c>
      <c r="AN220" t="n">
        <v>0</v>
      </c>
      <c r="AO220" t="n">
        <v>0</v>
      </c>
      <c r="AP220" t="inlineStr">
        <is>
          <t>No</t>
        </is>
      </c>
      <c r="AQ220" t="inlineStr">
        <is>
          <t>Yes</t>
        </is>
      </c>
      <c r="AR220">
        <f>HYPERLINK("http://catalog.hathitrust.org/Record/004204253","HathiTrust Record")</f>
        <v/>
      </c>
      <c r="AS220">
        <f>HYPERLINK("https://creighton-primo.hosted.exlibrisgroup.com/primo-explore/search?tab=default_tab&amp;search_scope=EVERYTHING&amp;vid=01CRU&amp;lang=en_US&amp;offset=0&amp;query=any,contains,991004525469702656","Catalog Record")</f>
        <v/>
      </c>
      <c r="AT220">
        <f>HYPERLINK("http://www.worldcat.org/oclc/46385863","WorldCat Record")</f>
        <v/>
      </c>
      <c r="AU220" t="inlineStr">
        <is>
          <t>837047497:eng</t>
        </is>
      </c>
      <c r="AV220" t="inlineStr">
        <is>
          <t>46385863</t>
        </is>
      </c>
      <c r="AW220" t="inlineStr">
        <is>
          <t>991004525469702656</t>
        </is>
      </c>
      <c r="AX220" t="inlineStr">
        <is>
          <t>991004525469702656</t>
        </is>
      </c>
      <c r="AY220" t="inlineStr">
        <is>
          <t>2272197140002656</t>
        </is>
      </c>
      <c r="AZ220" t="inlineStr">
        <is>
          <t>BOOK</t>
        </is>
      </c>
      <c r="BB220" t="inlineStr">
        <is>
          <t>9780810906112</t>
        </is>
      </c>
      <c r="BC220" t="inlineStr">
        <is>
          <t>32285005033120</t>
        </is>
      </c>
      <c r="BD220" t="inlineStr">
        <is>
          <t>893612458</t>
        </is>
      </c>
    </row>
    <row r="221">
      <c r="A221" t="inlineStr">
        <is>
          <t>No</t>
        </is>
      </c>
      <c r="B221" t="inlineStr">
        <is>
          <t>NK808 .S634 1986</t>
        </is>
      </c>
      <c r="C221" t="inlineStr">
        <is>
          <t>0                      NK 0808000S  634         1986</t>
        </is>
      </c>
      <c r="D221" t="inlineStr">
        <is>
          <t>Craft today : poetry of the physical / Paul J. Smith, Edward Lucie-Smith.</t>
        </is>
      </c>
      <c r="F221" t="inlineStr">
        <is>
          <t>No</t>
        </is>
      </c>
      <c r="G221" t="inlineStr">
        <is>
          <t>1</t>
        </is>
      </c>
      <c r="H221" t="inlineStr">
        <is>
          <t>No</t>
        </is>
      </c>
      <c r="I221" t="inlineStr">
        <is>
          <t>No</t>
        </is>
      </c>
      <c r="J221" t="inlineStr">
        <is>
          <t>0</t>
        </is>
      </c>
      <c r="K221" t="inlineStr">
        <is>
          <t>Smith, Paul J., 1931-2020.</t>
        </is>
      </c>
      <c r="L221" t="inlineStr">
        <is>
          <t>New York : American Craft Museum : Weidenfeld &amp; Nicolson, c1986.</t>
        </is>
      </c>
      <c r="M221" t="inlineStr">
        <is>
          <t>1986</t>
        </is>
      </c>
      <c r="N221" t="inlineStr">
        <is>
          <t>1st ed.</t>
        </is>
      </c>
      <c r="O221" t="inlineStr">
        <is>
          <t>eng</t>
        </is>
      </c>
      <c r="P221" t="inlineStr">
        <is>
          <t>nyu</t>
        </is>
      </c>
      <c r="R221" t="inlineStr">
        <is>
          <t xml:space="preserve">NK </t>
        </is>
      </c>
      <c r="S221" t="n">
        <v>2</v>
      </c>
      <c r="T221" t="n">
        <v>2</v>
      </c>
      <c r="U221" t="inlineStr">
        <is>
          <t>2008-01-25</t>
        </is>
      </c>
      <c r="V221" t="inlineStr">
        <is>
          <t>2008-01-25</t>
        </is>
      </c>
      <c r="W221" t="inlineStr">
        <is>
          <t>1993-06-01</t>
        </is>
      </c>
      <c r="X221" t="inlineStr">
        <is>
          <t>1993-06-01</t>
        </is>
      </c>
      <c r="Y221" t="n">
        <v>646</v>
      </c>
      <c r="Z221" t="n">
        <v>573</v>
      </c>
      <c r="AA221" t="n">
        <v>573</v>
      </c>
      <c r="AB221" t="n">
        <v>5</v>
      </c>
      <c r="AC221" t="n">
        <v>5</v>
      </c>
      <c r="AD221" t="n">
        <v>17</v>
      </c>
      <c r="AE221" t="n">
        <v>17</v>
      </c>
      <c r="AF221" t="n">
        <v>6</v>
      </c>
      <c r="AG221" t="n">
        <v>6</v>
      </c>
      <c r="AH221" t="n">
        <v>3</v>
      </c>
      <c r="AI221" t="n">
        <v>3</v>
      </c>
      <c r="AJ221" t="n">
        <v>7</v>
      </c>
      <c r="AK221" t="n">
        <v>7</v>
      </c>
      <c r="AL221" t="n">
        <v>4</v>
      </c>
      <c r="AM221" t="n">
        <v>4</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HYPERLINK("https://creighton-primo.hosted.exlibrisgroup.com/primo-explore/search?tab=default_tab&amp;search_scope=EVERYTHING&amp;vid=01CRU&amp;lang=en_US&amp;offset=0&amp;query=any,contains,991000846109702656","Catalog Record")</f>
        <v/>
      </c>
      <c r="AT221">
        <f>HYPERLINK("http://www.worldcat.org/oclc/13560638","WorldCat Record")</f>
        <v/>
      </c>
      <c r="AU221" t="inlineStr">
        <is>
          <t>1806309993:eng</t>
        </is>
      </c>
      <c r="AV221" t="inlineStr">
        <is>
          <t>13560638</t>
        </is>
      </c>
      <c r="AW221" t="inlineStr">
        <is>
          <t>991000846109702656</t>
        </is>
      </c>
      <c r="AX221" t="inlineStr">
        <is>
          <t>991000846109702656</t>
        </is>
      </c>
      <c r="AY221" t="inlineStr">
        <is>
          <t>2263539490002656</t>
        </is>
      </c>
      <c r="AZ221" t="inlineStr">
        <is>
          <t>BOOK</t>
        </is>
      </c>
      <c r="BB221" t="inlineStr">
        <is>
          <t>9781555840235</t>
        </is>
      </c>
      <c r="BC221" t="inlineStr">
        <is>
          <t>32285001715811</t>
        </is>
      </c>
      <c r="BD221" t="inlineStr">
        <is>
          <t>893225367</t>
        </is>
      </c>
    </row>
    <row r="222">
      <c r="A222" t="inlineStr">
        <is>
          <t>No</t>
        </is>
      </c>
      <c r="B222" t="inlineStr">
        <is>
          <t>NK8844 .P37 1988</t>
        </is>
      </c>
      <c r="C222" t="inlineStr">
        <is>
          <t>0                      NK 8844000P  37          1988</t>
        </is>
      </c>
      <c r="D222" t="inlineStr">
        <is>
          <t>Textiles of the arts and crafts movement / Linda Parry.</t>
        </is>
      </c>
      <c r="F222" t="inlineStr">
        <is>
          <t>No</t>
        </is>
      </c>
      <c r="G222" t="inlineStr">
        <is>
          <t>1</t>
        </is>
      </c>
      <c r="H222" t="inlineStr">
        <is>
          <t>No</t>
        </is>
      </c>
      <c r="I222" t="inlineStr">
        <is>
          <t>No</t>
        </is>
      </c>
      <c r="J222" t="inlineStr">
        <is>
          <t>0</t>
        </is>
      </c>
      <c r="K222" t="inlineStr">
        <is>
          <t>Parry, Linda.</t>
        </is>
      </c>
      <c r="L222" t="inlineStr">
        <is>
          <t>New York : Thames &amp; Hudson. 1988.</t>
        </is>
      </c>
      <c r="M222" t="inlineStr">
        <is>
          <t>1988</t>
        </is>
      </c>
      <c r="O222" t="inlineStr">
        <is>
          <t>eng</t>
        </is>
      </c>
      <c r="P222" t="inlineStr">
        <is>
          <t>nyu</t>
        </is>
      </c>
      <c r="R222" t="inlineStr">
        <is>
          <t xml:space="preserve">NK </t>
        </is>
      </c>
      <c r="S222" t="n">
        <v>13</v>
      </c>
      <c r="T222" t="n">
        <v>13</v>
      </c>
      <c r="U222" t="inlineStr">
        <is>
          <t>2005-03-01</t>
        </is>
      </c>
      <c r="V222" t="inlineStr">
        <is>
          <t>2005-03-01</t>
        </is>
      </c>
      <c r="W222" t="inlineStr">
        <is>
          <t>1993-06-02</t>
        </is>
      </c>
      <c r="X222" t="inlineStr">
        <is>
          <t>1993-06-02</t>
        </is>
      </c>
      <c r="Y222" t="n">
        <v>605</v>
      </c>
      <c r="Z222" t="n">
        <v>398</v>
      </c>
      <c r="AA222" t="n">
        <v>400</v>
      </c>
      <c r="AB222" t="n">
        <v>2</v>
      </c>
      <c r="AC222" t="n">
        <v>2</v>
      </c>
      <c r="AD222" t="n">
        <v>5</v>
      </c>
      <c r="AE222" t="n">
        <v>5</v>
      </c>
      <c r="AF222" t="n">
        <v>1</v>
      </c>
      <c r="AG222" t="n">
        <v>1</v>
      </c>
      <c r="AH222" t="n">
        <v>3</v>
      </c>
      <c r="AI222" t="n">
        <v>3</v>
      </c>
      <c r="AJ222" t="n">
        <v>1</v>
      </c>
      <c r="AK222" t="n">
        <v>1</v>
      </c>
      <c r="AL222" t="n">
        <v>1</v>
      </c>
      <c r="AM222" t="n">
        <v>1</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HYPERLINK("https://creighton-primo.hosted.exlibrisgroup.com/primo-explore/search?tab=default_tab&amp;search_scope=EVERYTHING&amp;vid=01CRU&amp;lang=en_US&amp;offset=0&amp;query=any,contains,991001273739702656","Catalog Record")</f>
        <v/>
      </c>
      <c r="AT222">
        <f>HYPERLINK("http://www.worldcat.org/oclc/17858878","WorldCat Record")</f>
        <v/>
      </c>
      <c r="AU222" t="inlineStr">
        <is>
          <t>1021468:eng</t>
        </is>
      </c>
      <c r="AV222" t="inlineStr">
        <is>
          <t>17858878</t>
        </is>
      </c>
      <c r="AW222" t="inlineStr">
        <is>
          <t>991001273739702656</t>
        </is>
      </c>
      <c r="AX222" t="inlineStr">
        <is>
          <t>991001273739702656</t>
        </is>
      </c>
      <c r="AY222" t="inlineStr">
        <is>
          <t>2260642280002656</t>
        </is>
      </c>
      <c r="AZ222" t="inlineStr">
        <is>
          <t>BOOK</t>
        </is>
      </c>
      <c r="BB222" t="inlineStr">
        <is>
          <t>9780500274972</t>
        </is>
      </c>
      <c r="BC222" t="inlineStr">
        <is>
          <t>32285001716561</t>
        </is>
      </c>
      <c r="BD222" t="inlineStr">
        <is>
          <t>893315658</t>
        </is>
      </c>
    </row>
    <row r="223">
      <c r="A223" t="inlineStr">
        <is>
          <t>No</t>
        </is>
      </c>
      <c r="B223" t="inlineStr">
        <is>
          <t>NK8898.M67 P37 1983</t>
        </is>
      </c>
      <c r="C223" t="inlineStr">
        <is>
          <t>0                      NK 8898000M  67                 P  37          1983</t>
        </is>
      </c>
      <c r="D223" t="inlineStr">
        <is>
          <t>William Morris textiles / Linda Parry.</t>
        </is>
      </c>
      <c r="F223" t="inlineStr">
        <is>
          <t>No</t>
        </is>
      </c>
      <c r="G223" t="inlineStr">
        <is>
          <t>1</t>
        </is>
      </c>
      <c r="H223" t="inlineStr">
        <is>
          <t>No</t>
        </is>
      </c>
      <c r="I223" t="inlineStr">
        <is>
          <t>No</t>
        </is>
      </c>
      <c r="J223" t="inlineStr">
        <is>
          <t>0</t>
        </is>
      </c>
      <c r="K223" t="inlineStr">
        <is>
          <t>Parry, Linda.</t>
        </is>
      </c>
      <c r="L223" t="inlineStr">
        <is>
          <t>New York : Viking Press, c1983.</t>
        </is>
      </c>
      <c r="M223" t="inlineStr">
        <is>
          <t>1983</t>
        </is>
      </c>
      <c r="O223" t="inlineStr">
        <is>
          <t>eng</t>
        </is>
      </c>
      <c r="P223" t="inlineStr">
        <is>
          <t>nyu</t>
        </is>
      </c>
      <c r="Q223" t="inlineStr">
        <is>
          <t>A Studio book</t>
        </is>
      </c>
      <c r="R223" t="inlineStr">
        <is>
          <t xml:space="preserve">NK </t>
        </is>
      </c>
      <c r="S223" t="n">
        <v>10</v>
      </c>
      <c r="T223" t="n">
        <v>10</v>
      </c>
      <c r="U223" t="inlineStr">
        <is>
          <t>2000-11-22</t>
        </is>
      </c>
      <c r="V223" t="inlineStr">
        <is>
          <t>2000-11-22</t>
        </is>
      </c>
      <c r="W223" t="inlineStr">
        <is>
          <t>1993-06-02</t>
        </is>
      </c>
      <c r="X223" t="inlineStr">
        <is>
          <t>1993-06-02</t>
        </is>
      </c>
      <c r="Y223" t="n">
        <v>661</v>
      </c>
      <c r="Z223" t="n">
        <v>601</v>
      </c>
      <c r="AA223" t="n">
        <v>657</v>
      </c>
      <c r="AB223" t="n">
        <v>3</v>
      </c>
      <c r="AC223" t="n">
        <v>5</v>
      </c>
      <c r="AD223" t="n">
        <v>13</v>
      </c>
      <c r="AE223" t="n">
        <v>15</v>
      </c>
      <c r="AF223" t="n">
        <v>6</v>
      </c>
      <c r="AG223" t="n">
        <v>6</v>
      </c>
      <c r="AH223" t="n">
        <v>4</v>
      </c>
      <c r="AI223" t="n">
        <v>4</v>
      </c>
      <c r="AJ223" t="n">
        <v>3</v>
      </c>
      <c r="AK223" t="n">
        <v>3</v>
      </c>
      <c r="AL223" t="n">
        <v>2</v>
      </c>
      <c r="AM223" t="n">
        <v>4</v>
      </c>
      <c r="AN223" t="n">
        <v>0</v>
      </c>
      <c r="AO223" t="n">
        <v>0</v>
      </c>
      <c r="AP223" t="inlineStr">
        <is>
          <t>No</t>
        </is>
      </c>
      <c r="AQ223" t="inlineStr">
        <is>
          <t>Yes</t>
        </is>
      </c>
      <c r="AR223">
        <f>HYPERLINK("http://catalog.hathitrust.org/Record/000230621","HathiTrust Record")</f>
        <v/>
      </c>
      <c r="AS223">
        <f>HYPERLINK("https://creighton-primo.hosted.exlibrisgroup.com/primo-explore/search?tab=default_tab&amp;search_scope=EVERYTHING&amp;vid=01CRU&amp;lang=en_US&amp;offset=0&amp;query=any,contains,991005220189702656","Catalog Record")</f>
        <v/>
      </c>
      <c r="AT223">
        <f>HYPERLINK("http://www.worldcat.org/oclc/8221337","WorldCat Record")</f>
        <v/>
      </c>
      <c r="AU223" t="inlineStr">
        <is>
          <t>3901403996:eng</t>
        </is>
      </c>
      <c r="AV223" t="inlineStr">
        <is>
          <t>8221337</t>
        </is>
      </c>
      <c r="AW223" t="inlineStr">
        <is>
          <t>991005220189702656</t>
        </is>
      </c>
      <c r="AX223" t="inlineStr">
        <is>
          <t>991005220189702656</t>
        </is>
      </c>
      <c r="AY223" t="inlineStr">
        <is>
          <t>2268593550002656</t>
        </is>
      </c>
      <c r="AZ223" t="inlineStr">
        <is>
          <t>BOOK</t>
        </is>
      </c>
      <c r="BB223" t="inlineStr">
        <is>
          <t>9780670770755</t>
        </is>
      </c>
      <c r="BC223" t="inlineStr">
        <is>
          <t>32285001716603</t>
        </is>
      </c>
      <c r="BD223" t="inlineStr">
        <is>
          <t>893801948</t>
        </is>
      </c>
    </row>
    <row r="224">
      <c r="A224" t="inlineStr">
        <is>
          <t>No</t>
        </is>
      </c>
      <c r="B224" t="inlineStr">
        <is>
          <t>NK9103 .U5</t>
        </is>
      </c>
      <c r="C224" t="inlineStr">
        <is>
          <t>0                      NK 9103000U  5</t>
        </is>
      </c>
      <c r="D224" t="inlineStr">
        <is>
          <t>English and other needlework, tapestries and textiles in the Irwin Untermyer collection. Text by Yvonne Hackenbroch. Published for the Metropolitan Museum of Art.</t>
        </is>
      </c>
      <c r="F224" t="inlineStr">
        <is>
          <t>No</t>
        </is>
      </c>
      <c r="G224" t="inlineStr">
        <is>
          <t>1</t>
        </is>
      </c>
      <c r="H224" t="inlineStr">
        <is>
          <t>No</t>
        </is>
      </c>
      <c r="I224" t="inlineStr">
        <is>
          <t>No</t>
        </is>
      </c>
      <c r="J224" t="inlineStr">
        <is>
          <t>0</t>
        </is>
      </c>
      <c r="K224" t="inlineStr">
        <is>
          <t>Untermyer, Irwin.</t>
        </is>
      </c>
      <c r="L224" t="inlineStr">
        <is>
          <t>Cambridge, Harvard University Press, 1960.</t>
        </is>
      </c>
      <c r="M224" t="inlineStr">
        <is>
          <t>1960</t>
        </is>
      </c>
      <c r="O224" t="inlineStr">
        <is>
          <t>eng</t>
        </is>
      </c>
      <c r="P224" t="inlineStr">
        <is>
          <t>mau</t>
        </is>
      </c>
      <c r="Q224" t="inlineStr">
        <is>
          <t>The Irwin Untermyer collection [4]</t>
        </is>
      </c>
      <c r="R224" t="inlineStr">
        <is>
          <t xml:space="preserve">NK </t>
        </is>
      </c>
      <c r="S224" t="n">
        <v>8</v>
      </c>
      <c r="T224" t="n">
        <v>8</v>
      </c>
      <c r="U224" t="inlineStr">
        <is>
          <t>1999-09-29</t>
        </is>
      </c>
      <c r="V224" t="inlineStr">
        <is>
          <t>1999-09-29</t>
        </is>
      </c>
      <c r="W224" t="inlineStr">
        <is>
          <t>1997-08-08</t>
        </is>
      </c>
      <c r="X224" t="inlineStr">
        <is>
          <t>1997-08-08</t>
        </is>
      </c>
      <c r="Y224" t="n">
        <v>163</v>
      </c>
      <c r="Z224" t="n">
        <v>154</v>
      </c>
      <c r="AA224" t="n">
        <v>175</v>
      </c>
      <c r="AB224" t="n">
        <v>2</v>
      </c>
      <c r="AC224" t="n">
        <v>2</v>
      </c>
      <c r="AD224" t="n">
        <v>3</v>
      </c>
      <c r="AE224" t="n">
        <v>3</v>
      </c>
      <c r="AF224" t="n">
        <v>0</v>
      </c>
      <c r="AG224" t="n">
        <v>0</v>
      </c>
      <c r="AH224" t="n">
        <v>1</v>
      </c>
      <c r="AI224" t="n">
        <v>1</v>
      </c>
      <c r="AJ224" t="n">
        <v>1</v>
      </c>
      <c r="AK224" t="n">
        <v>1</v>
      </c>
      <c r="AL224" t="n">
        <v>1</v>
      </c>
      <c r="AM224" t="n">
        <v>1</v>
      </c>
      <c r="AN224" t="n">
        <v>0</v>
      </c>
      <c r="AO224" t="n">
        <v>0</v>
      </c>
      <c r="AP224" t="inlineStr">
        <is>
          <t>No</t>
        </is>
      </c>
      <c r="AQ224" t="inlineStr">
        <is>
          <t>Yes</t>
        </is>
      </c>
      <c r="AR224">
        <f>HYPERLINK("http://catalog.hathitrust.org/Record/001472632","HathiTrust Record")</f>
        <v/>
      </c>
      <c r="AS224">
        <f>HYPERLINK("https://creighton-primo.hosted.exlibrisgroup.com/primo-explore/search?tab=default_tab&amp;search_scope=EVERYTHING&amp;vid=01CRU&amp;lang=en_US&amp;offset=0&amp;query=any,contains,991003986139702656","Catalog Record")</f>
        <v/>
      </c>
      <c r="AT224">
        <f>HYPERLINK("http://www.worldcat.org/oclc/2031832","WorldCat Record")</f>
        <v/>
      </c>
      <c r="AU224" t="inlineStr">
        <is>
          <t>2803710:eng</t>
        </is>
      </c>
      <c r="AV224" t="inlineStr">
        <is>
          <t>2031832</t>
        </is>
      </c>
      <c r="AW224" t="inlineStr">
        <is>
          <t>991003986139702656</t>
        </is>
      </c>
      <c r="AX224" t="inlineStr">
        <is>
          <t>991003986139702656</t>
        </is>
      </c>
      <c r="AY224" t="inlineStr">
        <is>
          <t>2269353640002656</t>
        </is>
      </c>
      <c r="AZ224" t="inlineStr">
        <is>
          <t>BOOK</t>
        </is>
      </c>
      <c r="BC224" t="inlineStr">
        <is>
          <t>32285003048138</t>
        </is>
      </c>
      <c r="BD224" t="inlineStr">
        <is>
          <t>893318663</t>
        </is>
      </c>
    </row>
    <row r="225">
      <c r="A225" t="inlineStr">
        <is>
          <t>No</t>
        </is>
      </c>
      <c r="B225" t="inlineStr">
        <is>
          <t>NK9112 .A28 1991</t>
        </is>
      </c>
      <c r="C225" t="inlineStr">
        <is>
          <t>0                      NK 9112000A  28          1991</t>
        </is>
      </c>
      <c r="D225" t="inlineStr">
        <is>
          <t>Abstract design in American quilts : a biography of an exhibition / Jonathan Holstein ; foreword by Shelly Zegart.</t>
        </is>
      </c>
      <c r="F225" t="inlineStr">
        <is>
          <t>No</t>
        </is>
      </c>
      <c r="G225" t="inlineStr">
        <is>
          <t>1</t>
        </is>
      </c>
      <c r="H225" t="inlineStr">
        <is>
          <t>No</t>
        </is>
      </c>
      <c r="I225" t="inlineStr">
        <is>
          <t>No</t>
        </is>
      </c>
      <c r="J225" t="inlineStr">
        <is>
          <t>0</t>
        </is>
      </c>
      <c r="K225" t="inlineStr">
        <is>
          <t>Holstein, Jonathan.</t>
        </is>
      </c>
      <c r="L225" t="inlineStr">
        <is>
          <t>Louisville, Ky. : Kentucky Quilt Project, 1991.</t>
        </is>
      </c>
      <c r="M225" t="inlineStr">
        <is>
          <t>1991</t>
        </is>
      </c>
      <c r="N225" t="inlineStr">
        <is>
          <t>1st ed.</t>
        </is>
      </c>
      <c r="O225" t="inlineStr">
        <is>
          <t>eng</t>
        </is>
      </c>
      <c r="P225" t="inlineStr">
        <is>
          <t>kyu</t>
        </is>
      </c>
      <c r="R225" t="inlineStr">
        <is>
          <t xml:space="preserve">NK </t>
        </is>
      </c>
      <c r="S225" t="n">
        <v>1</v>
      </c>
      <c r="T225" t="n">
        <v>1</v>
      </c>
      <c r="U225" t="inlineStr">
        <is>
          <t>2005-11-07</t>
        </is>
      </c>
      <c r="V225" t="inlineStr">
        <is>
          <t>2005-11-07</t>
        </is>
      </c>
      <c r="W225" t="inlineStr">
        <is>
          <t>2005-11-07</t>
        </is>
      </c>
      <c r="X225" t="inlineStr">
        <is>
          <t>2005-11-07</t>
        </is>
      </c>
      <c r="Y225" t="n">
        <v>227</v>
      </c>
      <c r="Z225" t="n">
        <v>211</v>
      </c>
      <c r="AA225" t="n">
        <v>213</v>
      </c>
      <c r="AB225" t="n">
        <v>43</v>
      </c>
      <c r="AC225" t="n">
        <v>43</v>
      </c>
      <c r="AD225" t="n">
        <v>19</v>
      </c>
      <c r="AE225" t="n">
        <v>19</v>
      </c>
      <c r="AF225" t="n">
        <v>0</v>
      </c>
      <c r="AG225" t="n">
        <v>0</v>
      </c>
      <c r="AH225" t="n">
        <v>2</v>
      </c>
      <c r="AI225" t="n">
        <v>2</v>
      </c>
      <c r="AJ225" t="n">
        <v>2</v>
      </c>
      <c r="AK225" t="n">
        <v>2</v>
      </c>
      <c r="AL225" t="n">
        <v>16</v>
      </c>
      <c r="AM225" t="n">
        <v>16</v>
      </c>
      <c r="AN225" t="n">
        <v>0</v>
      </c>
      <c r="AO225" t="n">
        <v>0</v>
      </c>
      <c r="AP225" t="inlineStr">
        <is>
          <t>No</t>
        </is>
      </c>
      <c r="AQ225" t="inlineStr">
        <is>
          <t>Yes</t>
        </is>
      </c>
      <c r="AR225">
        <f>HYPERLINK("http://catalog.hathitrust.org/Record/002602749","HathiTrust Record")</f>
        <v/>
      </c>
      <c r="AS225">
        <f>HYPERLINK("https://creighton-primo.hosted.exlibrisgroup.com/primo-explore/search?tab=default_tab&amp;search_scope=EVERYTHING&amp;vid=01CRU&amp;lang=en_US&amp;offset=0&amp;query=any,contains,991004687629702656","Catalog Record")</f>
        <v/>
      </c>
      <c r="AT225">
        <f>HYPERLINK("http://www.worldcat.org/oclc/26397019","WorldCat Record")</f>
        <v/>
      </c>
      <c r="AU225" t="inlineStr">
        <is>
          <t>29320600:eng</t>
        </is>
      </c>
      <c r="AV225" t="inlineStr">
        <is>
          <t>26397019</t>
        </is>
      </c>
      <c r="AW225" t="inlineStr">
        <is>
          <t>991004687629702656</t>
        </is>
      </c>
      <c r="AX225" t="inlineStr">
        <is>
          <t>991004687629702656</t>
        </is>
      </c>
      <c r="AY225" t="inlineStr">
        <is>
          <t>2255914070002656</t>
        </is>
      </c>
      <c r="AZ225" t="inlineStr">
        <is>
          <t>BOOK</t>
        </is>
      </c>
      <c r="BB225" t="inlineStr">
        <is>
          <t>9781880584002</t>
        </is>
      </c>
      <c r="BC225" t="inlineStr">
        <is>
          <t>32285005144315</t>
        </is>
      </c>
      <c r="BD225" t="inlineStr">
        <is>
          <t>893241729</t>
        </is>
      </c>
    </row>
    <row r="226">
      <c r="A226" t="inlineStr">
        <is>
          <t>No</t>
        </is>
      </c>
      <c r="B226" t="inlineStr">
        <is>
          <t>NK9112 .S23 1974</t>
        </is>
      </c>
      <c r="C226" t="inlineStr">
        <is>
          <t>0                      NK 9112000S  23          1974</t>
        </is>
      </c>
      <c r="D226" t="inlineStr">
        <is>
          <t>America's quilts and coverlets, by Carleton L. Safford and Robert Bishop.</t>
        </is>
      </c>
      <c r="F226" t="inlineStr">
        <is>
          <t>No</t>
        </is>
      </c>
      <c r="G226" t="inlineStr">
        <is>
          <t>1</t>
        </is>
      </c>
      <c r="H226" t="inlineStr">
        <is>
          <t>No</t>
        </is>
      </c>
      <c r="I226" t="inlineStr">
        <is>
          <t>No</t>
        </is>
      </c>
      <c r="J226" t="inlineStr">
        <is>
          <t>0</t>
        </is>
      </c>
      <c r="K226" t="inlineStr">
        <is>
          <t>Safford, Carleton L.</t>
        </is>
      </c>
      <c r="L226" t="inlineStr">
        <is>
          <t>New York, Weathervane Books [1974]</t>
        </is>
      </c>
      <c r="M226" t="inlineStr">
        <is>
          <t>1974</t>
        </is>
      </c>
      <c r="N226" t="inlineStr">
        <is>
          <t>[1st ed.]</t>
        </is>
      </c>
      <c r="O226" t="inlineStr">
        <is>
          <t>eng</t>
        </is>
      </c>
      <c r="P226" t="inlineStr">
        <is>
          <t xml:space="preserve">xx </t>
        </is>
      </c>
      <c r="R226" t="inlineStr">
        <is>
          <t xml:space="preserve">NK </t>
        </is>
      </c>
      <c r="S226" t="n">
        <v>8</v>
      </c>
      <c r="T226" t="n">
        <v>8</v>
      </c>
      <c r="U226" t="inlineStr">
        <is>
          <t>2005-04-28</t>
        </is>
      </c>
      <c r="V226" t="inlineStr">
        <is>
          <t>2005-04-28</t>
        </is>
      </c>
      <c r="W226" t="inlineStr">
        <is>
          <t>1993-01-13</t>
        </is>
      </c>
      <c r="X226" t="inlineStr">
        <is>
          <t>1993-01-13</t>
        </is>
      </c>
      <c r="Y226" t="n">
        <v>268</v>
      </c>
      <c r="Z226" t="n">
        <v>259</v>
      </c>
      <c r="AA226" t="n">
        <v>1352</v>
      </c>
      <c r="AB226" t="n">
        <v>2</v>
      </c>
      <c r="AC226" t="n">
        <v>13</v>
      </c>
      <c r="AD226" t="n">
        <v>4</v>
      </c>
      <c r="AE226" t="n">
        <v>16</v>
      </c>
      <c r="AF226" t="n">
        <v>2</v>
      </c>
      <c r="AG226" t="n">
        <v>4</v>
      </c>
      <c r="AH226" t="n">
        <v>0</v>
      </c>
      <c r="AI226" t="n">
        <v>5</v>
      </c>
      <c r="AJ226" t="n">
        <v>2</v>
      </c>
      <c r="AK226" t="n">
        <v>6</v>
      </c>
      <c r="AL226" t="n">
        <v>1</v>
      </c>
      <c r="AM226" t="n">
        <v>3</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HYPERLINK("https://creighton-primo.hosted.exlibrisgroup.com/primo-explore/search?tab=default_tab&amp;search_scope=EVERYTHING&amp;vid=01CRU&amp;lang=en_US&amp;offset=0&amp;query=any,contains,991003709449702656","Catalog Record")</f>
        <v/>
      </c>
      <c r="AT226">
        <f>HYPERLINK("http://www.worldcat.org/oclc/1348286","WorldCat Record")</f>
        <v/>
      </c>
      <c r="AU226" t="inlineStr">
        <is>
          <t>575989:eng</t>
        </is>
      </c>
      <c r="AV226" t="inlineStr">
        <is>
          <t>1348286</t>
        </is>
      </c>
      <c r="AW226" t="inlineStr">
        <is>
          <t>991003709449702656</t>
        </is>
      </c>
      <c r="AX226" t="inlineStr">
        <is>
          <t>991003709449702656</t>
        </is>
      </c>
      <c r="AY226" t="inlineStr">
        <is>
          <t>2257368440002656</t>
        </is>
      </c>
      <c r="AZ226" t="inlineStr">
        <is>
          <t>BOOK</t>
        </is>
      </c>
      <c r="BC226" t="inlineStr">
        <is>
          <t>32285001488708</t>
        </is>
      </c>
      <c r="BD226" t="inlineStr">
        <is>
          <t>893611352</t>
        </is>
      </c>
    </row>
    <row r="227">
      <c r="A227" t="inlineStr">
        <is>
          <t>No</t>
        </is>
      </c>
      <c r="B227" t="inlineStr">
        <is>
          <t>NK9212 .H3</t>
        </is>
      </c>
      <c r="C227" t="inlineStr">
        <is>
          <t>0                      NK 9212000H  3</t>
        </is>
      </c>
      <c r="D227" t="inlineStr">
        <is>
          <t>American needlework; the history of decorative stitchery and embroidery from the late 16th to the 20th century.</t>
        </is>
      </c>
      <c r="F227" t="inlineStr">
        <is>
          <t>No</t>
        </is>
      </c>
      <c r="G227" t="inlineStr">
        <is>
          <t>1</t>
        </is>
      </c>
      <c r="H227" t="inlineStr">
        <is>
          <t>No</t>
        </is>
      </c>
      <c r="I227" t="inlineStr">
        <is>
          <t>No</t>
        </is>
      </c>
      <c r="J227" t="inlineStr">
        <is>
          <t>0</t>
        </is>
      </c>
      <c r="K227" t="inlineStr">
        <is>
          <t>Harbeson, Georgiana Brown, 1894-1980.</t>
        </is>
      </c>
      <c r="L227" t="inlineStr">
        <is>
          <t>New York, Bonanza Books [c1938]</t>
        </is>
      </c>
      <c r="M227" t="inlineStr">
        <is>
          <t>1938</t>
        </is>
      </c>
      <c r="O227" t="inlineStr">
        <is>
          <t>eng</t>
        </is>
      </c>
      <c r="P227" t="inlineStr">
        <is>
          <t xml:space="preserve">xx </t>
        </is>
      </c>
      <c r="R227" t="inlineStr">
        <is>
          <t xml:space="preserve">NK </t>
        </is>
      </c>
      <c r="S227" t="n">
        <v>8</v>
      </c>
      <c r="T227" t="n">
        <v>8</v>
      </c>
      <c r="U227" t="inlineStr">
        <is>
          <t>1996-02-07</t>
        </is>
      </c>
      <c r="V227" t="inlineStr">
        <is>
          <t>1996-02-07</t>
        </is>
      </c>
      <c r="W227" t="inlineStr">
        <is>
          <t>1993-01-14</t>
        </is>
      </c>
      <c r="X227" t="inlineStr">
        <is>
          <t>1993-01-14</t>
        </is>
      </c>
      <c r="Y227" t="n">
        <v>351</v>
      </c>
      <c r="Z227" t="n">
        <v>333</v>
      </c>
      <c r="AA227" t="n">
        <v>834</v>
      </c>
      <c r="AB227" t="n">
        <v>3</v>
      </c>
      <c r="AC227" t="n">
        <v>8</v>
      </c>
      <c r="AD227" t="n">
        <v>5</v>
      </c>
      <c r="AE227" t="n">
        <v>11</v>
      </c>
      <c r="AF227" t="n">
        <v>2</v>
      </c>
      <c r="AG227" t="n">
        <v>5</v>
      </c>
      <c r="AH227" t="n">
        <v>1</v>
      </c>
      <c r="AI227" t="n">
        <v>3</v>
      </c>
      <c r="AJ227" t="n">
        <v>2</v>
      </c>
      <c r="AK227" t="n">
        <v>4</v>
      </c>
      <c r="AL227" t="n">
        <v>1</v>
      </c>
      <c r="AM227" t="n">
        <v>2</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HYPERLINK("https://creighton-primo.hosted.exlibrisgroup.com/primo-explore/search?tab=default_tab&amp;search_scope=EVERYTHING&amp;vid=01CRU&amp;lang=en_US&amp;offset=0&amp;query=any,contains,991003446349702656","Catalog Record")</f>
        <v/>
      </c>
      <c r="AT227">
        <f>HYPERLINK("http://www.worldcat.org/oclc/981828","WorldCat Record")</f>
        <v/>
      </c>
      <c r="AU227" t="inlineStr">
        <is>
          <t>1947511:eng</t>
        </is>
      </c>
      <c r="AV227" t="inlineStr">
        <is>
          <t>981828</t>
        </is>
      </c>
      <c r="AW227" t="inlineStr">
        <is>
          <t>991003446349702656</t>
        </is>
      </c>
      <c r="AX227" t="inlineStr">
        <is>
          <t>991003446349702656</t>
        </is>
      </c>
      <c r="AY227" t="inlineStr">
        <is>
          <t>2269768940002656</t>
        </is>
      </c>
      <c r="AZ227" t="inlineStr">
        <is>
          <t>BOOK</t>
        </is>
      </c>
      <c r="BC227" t="inlineStr">
        <is>
          <t>32285001488666</t>
        </is>
      </c>
      <c r="BD227" t="inlineStr">
        <is>
          <t>893324078</t>
        </is>
      </c>
    </row>
    <row r="228">
      <c r="A228" t="inlineStr">
        <is>
          <t>No</t>
        </is>
      </c>
      <c r="B228" t="inlineStr">
        <is>
          <t>NK928 .R6 1969</t>
        </is>
      </c>
      <c r="C228" t="inlineStr">
        <is>
          <t>0                      NK 0928000R  6           1969</t>
        </is>
      </c>
      <c r="D228" t="inlineStr">
        <is>
          <t>Victorian corners; the style and taste of an era, by F. Gordon Roe. With illus. by Frances Maynard and others.</t>
        </is>
      </c>
      <c r="F228" t="inlineStr">
        <is>
          <t>No</t>
        </is>
      </c>
      <c r="G228" t="inlineStr">
        <is>
          <t>1</t>
        </is>
      </c>
      <c r="H228" t="inlineStr">
        <is>
          <t>No</t>
        </is>
      </c>
      <c r="I228" t="inlineStr">
        <is>
          <t>No</t>
        </is>
      </c>
      <c r="J228" t="inlineStr">
        <is>
          <t>0</t>
        </is>
      </c>
      <c r="K228" t="inlineStr">
        <is>
          <t>Roe, F. Gordon (Frederic Gordon), 1894-1985.</t>
        </is>
      </c>
      <c r="L228" t="inlineStr">
        <is>
          <t>New York, Praeger [1969, c1968]</t>
        </is>
      </c>
      <c r="M228" t="inlineStr">
        <is>
          <t>1969</t>
        </is>
      </c>
      <c r="O228" t="inlineStr">
        <is>
          <t>eng</t>
        </is>
      </c>
      <c r="P228" t="inlineStr">
        <is>
          <t>nyu</t>
        </is>
      </c>
      <c r="R228" t="inlineStr">
        <is>
          <t xml:space="preserve">NK </t>
        </is>
      </c>
      <c r="S228" t="n">
        <v>1</v>
      </c>
      <c r="T228" t="n">
        <v>1</v>
      </c>
      <c r="U228" t="inlineStr">
        <is>
          <t>2004-10-25</t>
        </is>
      </c>
      <c r="V228" t="inlineStr">
        <is>
          <t>2004-10-25</t>
        </is>
      </c>
      <c r="W228" t="inlineStr">
        <is>
          <t>1997-08-07</t>
        </is>
      </c>
      <c r="X228" t="inlineStr">
        <is>
          <t>1997-08-07</t>
        </is>
      </c>
      <c r="Y228" t="n">
        <v>283</v>
      </c>
      <c r="Z228" t="n">
        <v>272</v>
      </c>
      <c r="AA228" t="n">
        <v>383</v>
      </c>
      <c r="AB228" t="n">
        <v>2</v>
      </c>
      <c r="AC228" t="n">
        <v>3</v>
      </c>
      <c r="AD228" t="n">
        <v>5</v>
      </c>
      <c r="AE228" t="n">
        <v>7</v>
      </c>
      <c r="AF228" t="n">
        <v>2</v>
      </c>
      <c r="AG228" t="n">
        <v>3</v>
      </c>
      <c r="AH228" t="n">
        <v>1</v>
      </c>
      <c r="AI228" t="n">
        <v>1</v>
      </c>
      <c r="AJ228" t="n">
        <v>2</v>
      </c>
      <c r="AK228" t="n">
        <v>3</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HYPERLINK("https://creighton-primo.hosted.exlibrisgroup.com/primo-explore/search?tab=default_tab&amp;search_scope=EVERYTHING&amp;vid=01CRU&amp;lang=en_US&amp;offset=0&amp;query=any,contains,991000085039702656","Catalog Record")</f>
        <v/>
      </c>
      <c r="AT228">
        <f>HYPERLINK("http://www.worldcat.org/oclc/33430","WorldCat Record")</f>
        <v/>
      </c>
      <c r="AU228" t="inlineStr">
        <is>
          <t>288447523:eng</t>
        </is>
      </c>
      <c r="AV228" t="inlineStr">
        <is>
          <t>33430</t>
        </is>
      </c>
      <c r="AW228" t="inlineStr">
        <is>
          <t>991000085039702656</t>
        </is>
      </c>
      <c r="AX228" t="inlineStr">
        <is>
          <t>991000085039702656</t>
        </is>
      </c>
      <c r="AY228" t="inlineStr">
        <is>
          <t>2261231600002656</t>
        </is>
      </c>
      <c r="AZ228" t="inlineStr">
        <is>
          <t>BOOK</t>
        </is>
      </c>
      <c r="BC228" t="inlineStr">
        <is>
          <t>32285003046983</t>
        </is>
      </c>
      <c r="BD228" t="inlineStr">
        <is>
          <t>893333193</t>
        </is>
      </c>
    </row>
    <row r="229">
      <c r="A229" t="inlineStr">
        <is>
          <t>No</t>
        </is>
      </c>
      <c r="B229" t="inlineStr">
        <is>
          <t>NK9710 .M4</t>
        </is>
      </c>
      <c r="C229" t="inlineStr">
        <is>
          <t>0                      NK 9710000M  4</t>
        </is>
      </c>
      <c r="D229" t="inlineStr">
        <is>
          <t>Contemporary art with wood; creative techniques and appreciation, by Dona Z. Meilach.</t>
        </is>
      </c>
      <c r="F229" t="inlineStr">
        <is>
          <t>No</t>
        </is>
      </c>
      <c r="G229" t="inlineStr">
        <is>
          <t>1</t>
        </is>
      </c>
      <c r="H229" t="inlineStr">
        <is>
          <t>No</t>
        </is>
      </c>
      <c r="I229" t="inlineStr">
        <is>
          <t>No</t>
        </is>
      </c>
      <c r="J229" t="inlineStr">
        <is>
          <t>0</t>
        </is>
      </c>
      <c r="K229" t="inlineStr">
        <is>
          <t>Meilach, Dona Z.</t>
        </is>
      </c>
      <c r="L229" t="inlineStr">
        <is>
          <t>New York, Crown [1968]</t>
        </is>
      </c>
      <c r="M229" t="inlineStr">
        <is>
          <t>1968</t>
        </is>
      </c>
      <c r="O229" t="inlineStr">
        <is>
          <t>eng</t>
        </is>
      </c>
      <c r="P229" t="inlineStr">
        <is>
          <t>nyu</t>
        </is>
      </c>
      <c r="R229" t="inlineStr">
        <is>
          <t xml:space="preserve">NK </t>
        </is>
      </c>
      <c r="S229" t="n">
        <v>1</v>
      </c>
      <c r="T229" t="n">
        <v>1</v>
      </c>
      <c r="U229" t="inlineStr">
        <is>
          <t>2008-03-03</t>
        </is>
      </c>
      <c r="V229" t="inlineStr">
        <is>
          <t>2008-03-03</t>
        </is>
      </c>
      <c r="W229" t="inlineStr">
        <is>
          <t>1997-08-08</t>
        </is>
      </c>
      <c r="X229" t="inlineStr">
        <is>
          <t>1997-08-08</t>
        </is>
      </c>
      <c r="Y229" t="n">
        <v>889</v>
      </c>
      <c r="Z229" t="n">
        <v>824</v>
      </c>
      <c r="AA229" t="n">
        <v>834</v>
      </c>
      <c r="AB229" t="n">
        <v>6</v>
      </c>
      <c r="AC229" t="n">
        <v>6</v>
      </c>
      <c r="AD229" t="n">
        <v>18</v>
      </c>
      <c r="AE229" t="n">
        <v>19</v>
      </c>
      <c r="AF229" t="n">
        <v>9</v>
      </c>
      <c r="AG229" t="n">
        <v>9</v>
      </c>
      <c r="AH229" t="n">
        <v>2</v>
      </c>
      <c r="AI229" t="n">
        <v>2</v>
      </c>
      <c r="AJ229" t="n">
        <v>6</v>
      </c>
      <c r="AK229" t="n">
        <v>7</v>
      </c>
      <c r="AL229" t="n">
        <v>4</v>
      </c>
      <c r="AM229" t="n">
        <v>4</v>
      </c>
      <c r="AN229" t="n">
        <v>0</v>
      </c>
      <c r="AO229" t="n">
        <v>0</v>
      </c>
      <c r="AP229" t="inlineStr">
        <is>
          <t>No</t>
        </is>
      </c>
      <c r="AQ229" t="inlineStr">
        <is>
          <t>Yes</t>
        </is>
      </c>
      <c r="AR229">
        <f>HYPERLINK("http://catalog.hathitrust.org/Record/001472718","HathiTrust Record")</f>
        <v/>
      </c>
      <c r="AS229">
        <f>HYPERLINK("https://creighton-primo.hosted.exlibrisgroup.com/primo-explore/search?tab=default_tab&amp;search_scope=EVERYTHING&amp;vid=01CRU&amp;lang=en_US&amp;offset=0&amp;query=any,contains,991002767649702656","Catalog Record")</f>
        <v/>
      </c>
      <c r="AT229">
        <f>HYPERLINK("http://www.worldcat.org/oclc/435574","WorldCat Record")</f>
        <v/>
      </c>
      <c r="AU229" t="inlineStr">
        <is>
          <t>498583:eng</t>
        </is>
      </c>
      <c r="AV229" t="inlineStr">
        <is>
          <t>435574</t>
        </is>
      </c>
      <c r="AW229" t="inlineStr">
        <is>
          <t>991002767649702656</t>
        </is>
      </c>
      <c r="AX229" t="inlineStr">
        <is>
          <t>991002767649702656</t>
        </is>
      </c>
      <c r="AY229" t="inlineStr">
        <is>
          <t>2269303920002656</t>
        </is>
      </c>
      <c r="AZ229" t="inlineStr">
        <is>
          <t>BOOK</t>
        </is>
      </c>
      <c r="BC229" t="inlineStr">
        <is>
          <t>32285003048211</t>
        </is>
      </c>
      <c r="BD229" t="inlineStr">
        <is>
          <t>893535187</t>
        </is>
      </c>
    </row>
    <row r="230">
      <c r="A230" t="inlineStr">
        <is>
          <t>No</t>
        </is>
      </c>
      <c r="B230" t="inlineStr">
        <is>
          <t>NK975 .T68 1995</t>
        </is>
      </c>
      <c r="C230" t="inlineStr">
        <is>
          <t>0                      NK 0975000T  68          1995</t>
        </is>
      </c>
      <c r="D230" t="inlineStr">
        <is>
          <t>Treasures of the Czars : from the State Museums of the Moscow Kremlin / presented by Florida International Museum, St. Petersburg.</t>
        </is>
      </c>
      <c r="F230" t="inlineStr">
        <is>
          <t>No</t>
        </is>
      </c>
      <c r="G230" t="inlineStr">
        <is>
          <t>1</t>
        </is>
      </c>
      <c r="H230" t="inlineStr">
        <is>
          <t>No</t>
        </is>
      </c>
      <c r="I230" t="inlineStr">
        <is>
          <t>No</t>
        </is>
      </c>
      <c r="J230" t="inlineStr">
        <is>
          <t>0</t>
        </is>
      </c>
      <c r="L230" t="inlineStr">
        <is>
          <t>London : Booth-Clibborn Editions, 1995.</t>
        </is>
      </c>
      <c r="M230" t="inlineStr">
        <is>
          <t>1995</t>
        </is>
      </c>
      <c r="O230" t="inlineStr">
        <is>
          <t>eng</t>
        </is>
      </c>
      <c r="P230" t="inlineStr">
        <is>
          <t>enk</t>
        </is>
      </c>
      <c r="R230" t="inlineStr">
        <is>
          <t xml:space="preserve">NK </t>
        </is>
      </c>
      <c r="S230" t="n">
        <v>1</v>
      </c>
      <c r="T230" t="n">
        <v>1</v>
      </c>
      <c r="U230" t="inlineStr">
        <is>
          <t>2009-05-11</t>
        </is>
      </c>
      <c r="V230" t="inlineStr">
        <is>
          <t>2009-05-11</t>
        </is>
      </c>
      <c r="W230" t="inlineStr">
        <is>
          <t>2009-05-11</t>
        </is>
      </c>
      <c r="X230" t="inlineStr">
        <is>
          <t>2009-05-11</t>
        </is>
      </c>
      <c r="Y230" t="n">
        <v>305</v>
      </c>
      <c r="Z230" t="n">
        <v>271</v>
      </c>
      <c r="AA230" t="n">
        <v>278</v>
      </c>
      <c r="AB230" t="n">
        <v>7</v>
      </c>
      <c r="AC230" t="n">
        <v>7</v>
      </c>
      <c r="AD230" t="n">
        <v>13</v>
      </c>
      <c r="AE230" t="n">
        <v>13</v>
      </c>
      <c r="AF230" t="n">
        <v>4</v>
      </c>
      <c r="AG230" t="n">
        <v>4</v>
      </c>
      <c r="AH230" t="n">
        <v>4</v>
      </c>
      <c r="AI230" t="n">
        <v>4</v>
      </c>
      <c r="AJ230" t="n">
        <v>6</v>
      </c>
      <c r="AK230" t="n">
        <v>6</v>
      </c>
      <c r="AL230" t="n">
        <v>3</v>
      </c>
      <c r="AM230" t="n">
        <v>3</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HYPERLINK("https://creighton-primo.hosted.exlibrisgroup.com/primo-explore/search?tab=default_tab&amp;search_scope=EVERYTHING&amp;vid=01CRU&amp;lang=en_US&amp;offset=0&amp;query=any,contains,991005315149702656","Catalog Record")</f>
        <v/>
      </c>
      <c r="AT230">
        <f>HYPERLINK("http://www.worldcat.org/oclc/38496781","WorldCat Record")</f>
        <v/>
      </c>
      <c r="AU230" t="inlineStr">
        <is>
          <t>364991864:eng</t>
        </is>
      </c>
      <c r="AV230" t="inlineStr">
        <is>
          <t>38496781</t>
        </is>
      </c>
      <c r="AW230" t="inlineStr">
        <is>
          <t>991005315149702656</t>
        </is>
      </c>
      <c r="AX230" t="inlineStr">
        <is>
          <t>991005315149702656</t>
        </is>
      </c>
      <c r="AY230" t="inlineStr">
        <is>
          <t>2269169330002656</t>
        </is>
      </c>
      <c r="AZ230" t="inlineStr">
        <is>
          <t>BOOK</t>
        </is>
      </c>
      <c r="BB230" t="inlineStr">
        <is>
          <t>9781873968512</t>
        </is>
      </c>
      <c r="BC230" t="inlineStr">
        <is>
          <t>32285005531685</t>
        </is>
      </c>
      <c r="BD230" t="inlineStr">
        <is>
          <t>893883664</t>
        </is>
      </c>
    </row>
    <row r="231">
      <c r="A231" t="inlineStr">
        <is>
          <t>No</t>
        </is>
      </c>
      <c r="B231" t="inlineStr">
        <is>
          <t>NX160 .G35 1998</t>
        </is>
      </c>
      <c r="C231" t="inlineStr">
        <is>
          <t>0                      NX 0160000G  35          1998</t>
        </is>
      </c>
      <c r="D231" t="inlineStr">
        <is>
          <t>From text to hypertext : decentering the subject in fiction, film, the visual arts, and electronic media / Silvio Gaggi.</t>
        </is>
      </c>
      <c r="F231" t="inlineStr">
        <is>
          <t>No</t>
        </is>
      </c>
      <c r="G231" t="inlineStr">
        <is>
          <t>1</t>
        </is>
      </c>
      <c r="H231" t="inlineStr">
        <is>
          <t>No</t>
        </is>
      </c>
      <c r="I231" t="inlineStr">
        <is>
          <t>No</t>
        </is>
      </c>
      <c r="J231" t="inlineStr">
        <is>
          <t>0</t>
        </is>
      </c>
      <c r="K231" t="inlineStr">
        <is>
          <t>Gaggi, Silvio.</t>
        </is>
      </c>
      <c r="L231" t="inlineStr">
        <is>
          <t>Philadelphia : University of Pennsylvania Press, 1998, c1997.</t>
        </is>
      </c>
      <c r="M231" t="inlineStr">
        <is>
          <t>1998</t>
        </is>
      </c>
      <c r="N231" t="inlineStr">
        <is>
          <t>1st pbk. ed.</t>
        </is>
      </c>
      <c r="O231" t="inlineStr">
        <is>
          <t>eng</t>
        </is>
      </c>
      <c r="P231" t="inlineStr">
        <is>
          <t>pau</t>
        </is>
      </c>
      <c r="Q231" t="inlineStr">
        <is>
          <t>Penn studies in contemporary American fiction</t>
        </is>
      </c>
      <c r="R231" t="inlineStr">
        <is>
          <t xml:space="preserve">NX </t>
        </is>
      </c>
      <c r="S231" t="n">
        <v>0</v>
      </c>
      <c r="T231" t="n">
        <v>0</v>
      </c>
      <c r="U231" t="inlineStr">
        <is>
          <t>2001-02-21</t>
        </is>
      </c>
      <c r="V231" t="inlineStr">
        <is>
          <t>2001-02-21</t>
        </is>
      </c>
      <c r="W231" t="inlineStr">
        <is>
          <t>2000-07-19</t>
        </is>
      </c>
      <c r="X231" t="inlineStr">
        <is>
          <t>2000-07-19</t>
        </is>
      </c>
      <c r="Y231" t="n">
        <v>461</v>
      </c>
      <c r="Z231" t="n">
        <v>364</v>
      </c>
      <c r="AA231" t="n">
        <v>559</v>
      </c>
      <c r="AB231" t="n">
        <v>3</v>
      </c>
      <c r="AC231" t="n">
        <v>3</v>
      </c>
      <c r="AD231" t="n">
        <v>20</v>
      </c>
      <c r="AE231" t="n">
        <v>28</v>
      </c>
      <c r="AF231" t="n">
        <v>8</v>
      </c>
      <c r="AG231" t="n">
        <v>13</v>
      </c>
      <c r="AH231" t="n">
        <v>7</v>
      </c>
      <c r="AI231" t="n">
        <v>8</v>
      </c>
      <c r="AJ231" t="n">
        <v>9</v>
      </c>
      <c r="AK231" t="n">
        <v>14</v>
      </c>
      <c r="AL231" t="n">
        <v>2</v>
      </c>
      <c r="AM231" t="n">
        <v>2</v>
      </c>
      <c r="AN231" t="n">
        <v>0</v>
      </c>
      <c r="AO231" t="n">
        <v>0</v>
      </c>
      <c r="AP231" t="inlineStr">
        <is>
          <t>No</t>
        </is>
      </c>
      <c r="AQ231" t="inlineStr">
        <is>
          <t>Yes</t>
        </is>
      </c>
      <c r="AR231">
        <f>HYPERLINK("http://catalog.hathitrust.org/Record/003148536","HathiTrust Record")</f>
        <v/>
      </c>
      <c r="AS231">
        <f>HYPERLINK("https://creighton-primo.hosted.exlibrisgroup.com/primo-explore/search?tab=default_tab&amp;search_scope=EVERYTHING&amp;vid=01CRU&amp;lang=en_US&amp;offset=0&amp;query=any,contains,991003207489702656","Catalog Record")</f>
        <v/>
      </c>
      <c r="AT231">
        <f>HYPERLINK("http://www.worldcat.org/oclc/35559066","WorldCat Record")</f>
        <v/>
      </c>
      <c r="AU231" t="inlineStr">
        <is>
          <t>8486202:eng</t>
        </is>
      </c>
      <c r="AV231" t="inlineStr">
        <is>
          <t>35559066</t>
        </is>
      </c>
      <c r="AW231" t="inlineStr">
        <is>
          <t>991003207489702656</t>
        </is>
      </c>
      <c r="AX231" t="inlineStr">
        <is>
          <t>991003207489702656</t>
        </is>
      </c>
      <c r="AY231" t="inlineStr">
        <is>
          <t>2271475300002656</t>
        </is>
      </c>
      <c r="AZ231" t="inlineStr">
        <is>
          <t>BOOK</t>
        </is>
      </c>
      <c r="BB231" t="inlineStr">
        <is>
          <t>9780812216776</t>
        </is>
      </c>
      <c r="BC231" t="inlineStr">
        <is>
          <t>32285003740916</t>
        </is>
      </c>
      <c r="BD231" t="inlineStr">
        <is>
          <t>893880920</t>
        </is>
      </c>
    </row>
    <row r="232">
      <c r="A232" t="inlineStr">
        <is>
          <t>No</t>
        </is>
      </c>
      <c r="B232" t="inlineStr">
        <is>
          <t>NX165 .L4513 1997</t>
        </is>
      </c>
      <c r="C232" t="inlineStr">
        <is>
          <t>0                      NX 0165000L  4513        1997</t>
        </is>
      </c>
      <c r="D232" t="inlineStr">
        <is>
          <t>Look, listen, read / Claude Laevi Strauss ; translated by Brian C.J. Singer.</t>
        </is>
      </c>
      <c r="F232" t="inlineStr">
        <is>
          <t>No</t>
        </is>
      </c>
      <c r="G232" t="inlineStr">
        <is>
          <t>1</t>
        </is>
      </c>
      <c r="H232" t="inlineStr">
        <is>
          <t>No</t>
        </is>
      </c>
      <c r="I232" t="inlineStr">
        <is>
          <t>No</t>
        </is>
      </c>
      <c r="J232" t="inlineStr">
        <is>
          <t>0</t>
        </is>
      </c>
      <c r="K232" t="inlineStr">
        <is>
          <t>Lévi-Strauss, Claude.</t>
        </is>
      </c>
      <c r="L232" t="inlineStr">
        <is>
          <t>New York : BasicBooks, c1997.</t>
        </is>
      </c>
      <c r="M232" t="inlineStr">
        <is>
          <t>1997</t>
        </is>
      </c>
      <c r="N232" t="inlineStr">
        <is>
          <t>1st American ed.</t>
        </is>
      </c>
      <c r="O232" t="inlineStr">
        <is>
          <t>eng</t>
        </is>
      </c>
      <c r="P232" t="inlineStr">
        <is>
          <t>nyu</t>
        </is>
      </c>
      <c r="R232" t="inlineStr">
        <is>
          <t xml:space="preserve">NX </t>
        </is>
      </c>
      <c r="S232" t="n">
        <v>1</v>
      </c>
      <c r="T232" t="n">
        <v>1</v>
      </c>
      <c r="U232" t="inlineStr">
        <is>
          <t>2004-09-16</t>
        </is>
      </c>
      <c r="V232" t="inlineStr">
        <is>
          <t>2004-09-16</t>
        </is>
      </c>
      <c r="W232" t="inlineStr">
        <is>
          <t>2004-09-16</t>
        </is>
      </c>
      <c r="X232" t="inlineStr">
        <is>
          <t>2004-09-16</t>
        </is>
      </c>
      <c r="Y232" t="n">
        <v>639</v>
      </c>
      <c r="Z232" t="n">
        <v>547</v>
      </c>
      <c r="AA232" t="n">
        <v>554</v>
      </c>
      <c r="AB232" t="n">
        <v>4</v>
      </c>
      <c r="AC232" t="n">
        <v>4</v>
      </c>
      <c r="AD232" t="n">
        <v>27</v>
      </c>
      <c r="AE232" t="n">
        <v>27</v>
      </c>
      <c r="AF232" t="n">
        <v>9</v>
      </c>
      <c r="AG232" t="n">
        <v>9</v>
      </c>
      <c r="AH232" t="n">
        <v>7</v>
      </c>
      <c r="AI232" t="n">
        <v>7</v>
      </c>
      <c r="AJ232" t="n">
        <v>14</v>
      </c>
      <c r="AK232" t="n">
        <v>14</v>
      </c>
      <c r="AL232" t="n">
        <v>3</v>
      </c>
      <c r="AM232" t="n">
        <v>3</v>
      </c>
      <c r="AN232" t="n">
        <v>0</v>
      </c>
      <c r="AO232" t="n">
        <v>0</v>
      </c>
      <c r="AP232" t="inlineStr">
        <is>
          <t>No</t>
        </is>
      </c>
      <c r="AQ232" t="inlineStr">
        <is>
          <t>Yes</t>
        </is>
      </c>
      <c r="AR232">
        <f>HYPERLINK("http://catalog.hathitrust.org/Record/003168322","HathiTrust Record")</f>
        <v/>
      </c>
      <c r="AS232">
        <f>HYPERLINK("https://creighton-primo.hosted.exlibrisgroup.com/primo-explore/search?tab=default_tab&amp;search_scope=EVERYTHING&amp;vid=01CRU&amp;lang=en_US&amp;offset=0&amp;query=any,contains,991004375789702656","Catalog Record")</f>
        <v/>
      </c>
      <c r="AT232">
        <f>HYPERLINK("http://www.worldcat.org/oclc/36008629","WorldCat Record")</f>
        <v/>
      </c>
      <c r="AU232" t="inlineStr">
        <is>
          <t>16137724:eng</t>
        </is>
      </c>
      <c r="AV232" t="inlineStr">
        <is>
          <t>36008629</t>
        </is>
      </c>
      <c r="AW232" t="inlineStr">
        <is>
          <t>991004375789702656</t>
        </is>
      </c>
      <c r="AX232" t="inlineStr">
        <is>
          <t>991004375789702656</t>
        </is>
      </c>
      <c r="AY232" t="inlineStr">
        <is>
          <t>2258958390002656</t>
        </is>
      </c>
      <c r="AZ232" t="inlineStr">
        <is>
          <t>BOOK</t>
        </is>
      </c>
      <c r="BB232" t="inlineStr">
        <is>
          <t>9780465068807</t>
        </is>
      </c>
      <c r="BC232" t="inlineStr">
        <is>
          <t>32285004988159</t>
        </is>
      </c>
      <c r="BD232" t="inlineStr">
        <is>
          <t>893519576</t>
        </is>
      </c>
    </row>
    <row r="233">
      <c r="A233" t="inlineStr">
        <is>
          <t>No</t>
        </is>
      </c>
      <c r="B233" t="inlineStr">
        <is>
          <t>NX170 .M58 1994</t>
        </is>
      </c>
      <c r="C233" t="inlineStr">
        <is>
          <t>0                      NX 0170000M  58          1994</t>
        </is>
      </c>
      <c r="D233" t="inlineStr">
        <is>
          <t>Picture theory : essays on verbal and visual representation / W.J.T. Mitchell.</t>
        </is>
      </c>
      <c r="F233" t="inlineStr">
        <is>
          <t>No</t>
        </is>
      </c>
      <c r="G233" t="inlineStr">
        <is>
          <t>1</t>
        </is>
      </c>
      <c r="H233" t="inlineStr">
        <is>
          <t>No</t>
        </is>
      </c>
      <c r="I233" t="inlineStr">
        <is>
          <t>No</t>
        </is>
      </c>
      <c r="J233" t="inlineStr">
        <is>
          <t>0</t>
        </is>
      </c>
      <c r="K233" t="inlineStr">
        <is>
          <t>Mitchell, W. J. T. (William John Thomas), 1942-</t>
        </is>
      </c>
      <c r="L233" t="inlineStr">
        <is>
          <t>Chicago : University of Chicago Press, 1994.</t>
        </is>
      </c>
      <c r="M233" t="inlineStr">
        <is>
          <t>1994</t>
        </is>
      </c>
      <c r="O233" t="inlineStr">
        <is>
          <t>eng</t>
        </is>
      </c>
      <c r="P233" t="inlineStr">
        <is>
          <t>ilu</t>
        </is>
      </c>
      <c r="R233" t="inlineStr">
        <is>
          <t xml:space="preserve">NX </t>
        </is>
      </c>
      <c r="S233" t="n">
        <v>6</v>
      </c>
      <c r="T233" t="n">
        <v>6</v>
      </c>
      <c r="U233" t="inlineStr">
        <is>
          <t>2010-03-22</t>
        </is>
      </c>
      <c r="V233" t="inlineStr">
        <is>
          <t>2010-03-22</t>
        </is>
      </c>
      <c r="W233" t="inlineStr">
        <is>
          <t>1996-01-18</t>
        </is>
      </c>
      <c r="X233" t="inlineStr">
        <is>
          <t>1996-01-18</t>
        </is>
      </c>
      <c r="Y233" t="n">
        <v>821</v>
      </c>
      <c r="Z233" t="n">
        <v>602</v>
      </c>
      <c r="AA233" t="n">
        <v>739</v>
      </c>
      <c r="AB233" t="n">
        <v>5</v>
      </c>
      <c r="AC233" t="n">
        <v>6</v>
      </c>
      <c r="AD233" t="n">
        <v>35</v>
      </c>
      <c r="AE233" t="n">
        <v>43</v>
      </c>
      <c r="AF233" t="n">
        <v>15</v>
      </c>
      <c r="AG233" t="n">
        <v>19</v>
      </c>
      <c r="AH233" t="n">
        <v>7</v>
      </c>
      <c r="AI233" t="n">
        <v>9</v>
      </c>
      <c r="AJ233" t="n">
        <v>16</v>
      </c>
      <c r="AK233" t="n">
        <v>19</v>
      </c>
      <c r="AL233" t="n">
        <v>4</v>
      </c>
      <c r="AM233" t="n">
        <v>5</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HYPERLINK("https://creighton-primo.hosted.exlibrisgroup.com/primo-explore/search?tab=default_tab&amp;search_scope=EVERYTHING&amp;vid=01CRU&amp;lang=en_US&amp;offset=0&amp;query=any,contains,991002238269702656","Catalog Record")</f>
        <v/>
      </c>
      <c r="AT233">
        <f>HYPERLINK("http://www.worldcat.org/oclc/28854526","WorldCat Record")</f>
        <v/>
      </c>
      <c r="AU233" t="inlineStr">
        <is>
          <t>863889860:eng</t>
        </is>
      </c>
      <c r="AV233" t="inlineStr">
        <is>
          <t>28854526</t>
        </is>
      </c>
      <c r="AW233" t="inlineStr">
        <is>
          <t>991002238269702656</t>
        </is>
      </c>
      <c r="AX233" t="inlineStr">
        <is>
          <t>991002238269702656</t>
        </is>
      </c>
      <c r="AY233" t="inlineStr">
        <is>
          <t>2263735510002656</t>
        </is>
      </c>
      <c r="AZ233" t="inlineStr">
        <is>
          <t>BOOK</t>
        </is>
      </c>
      <c r="BB233" t="inlineStr">
        <is>
          <t>9780226532318</t>
        </is>
      </c>
      <c r="BC233" t="inlineStr">
        <is>
          <t>32285002119252</t>
        </is>
      </c>
      <c r="BD233" t="inlineStr">
        <is>
          <t>893445047</t>
        </is>
      </c>
    </row>
    <row r="234">
      <c r="A234" t="inlineStr">
        <is>
          <t>No</t>
        </is>
      </c>
      <c r="B234" t="inlineStr">
        <is>
          <t>NX180.A36 A37 1995</t>
        </is>
      </c>
      <c r="C234" t="inlineStr">
        <is>
          <t>0                      NX 0180000A  36                 A  37          1995</t>
        </is>
      </c>
      <c r="D234" t="inlineStr">
        <is>
          <t>AIDS, social change, and theater : performance as protest / Cindy J. Kistenberg.</t>
        </is>
      </c>
      <c r="F234" t="inlineStr">
        <is>
          <t>No</t>
        </is>
      </c>
      <c r="G234" t="inlineStr">
        <is>
          <t>1</t>
        </is>
      </c>
      <c r="H234" t="inlineStr">
        <is>
          <t>No</t>
        </is>
      </c>
      <c r="I234" t="inlineStr">
        <is>
          <t>No</t>
        </is>
      </c>
      <c r="J234" t="inlineStr">
        <is>
          <t>0</t>
        </is>
      </c>
      <c r="K234" t="inlineStr">
        <is>
          <t>Kistenberg, Cindy J., 1964-</t>
        </is>
      </c>
      <c r="L234" t="inlineStr">
        <is>
          <t>New York : Garland Pub., 1995.</t>
        </is>
      </c>
      <c r="M234" t="inlineStr">
        <is>
          <t>1995</t>
        </is>
      </c>
      <c r="O234" t="inlineStr">
        <is>
          <t>eng</t>
        </is>
      </c>
      <c r="P234" t="inlineStr">
        <is>
          <t>nyu</t>
        </is>
      </c>
      <c r="Q234" t="inlineStr">
        <is>
          <t>Garland studies in American popular history and culture</t>
        </is>
      </c>
      <c r="R234" t="inlineStr">
        <is>
          <t xml:space="preserve">NX </t>
        </is>
      </c>
      <c r="S234" t="n">
        <v>4</v>
      </c>
      <c r="T234" t="n">
        <v>4</v>
      </c>
      <c r="U234" t="inlineStr">
        <is>
          <t>2005-03-11</t>
        </is>
      </c>
      <c r="V234" t="inlineStr">
        <is>
          <t>2005-03-11</t>
        </is>
      </c>
      <c r="W234" t="inlineStr">
        <is>
          <t>1997-06-18</t>
        </is>
      </c>
      <c r="X234" t="inlineStr">
        <is>
          <t>1997-06-18</t>
        </is>
      </c>
      <c r="Y234" t="n">
        <v>449</v>
      </c>
      <c r="Z234" t="n">
        <v>398</v>
      </c>
      <c r="AA234" t="n">
        <v>402</v>
      </c>
      <c r="AB234" t="n">
        <v>3</v>
      </c>
      <c r="AC234" t="n">
        <v>3</v>
      </c>
      <c r="AD234" t="n">
        <v>18</v>
      </c>
      <c r="AE234" t="n">
        <v>18</v>
      </c>
      <c r="AF234" t="n">
        <v>6</v>
      </c>
      <c r="AG234" t="n">
        <v>6</v>
      </c>
      <c r="AH234" t="n">
        <v>4</v>
      </c>
      <c r="AI234" t="n">
        <v>4</v>
      </c>
      <c r="AJ234" t="n">
        <v>9</v>
      </c>
      <c r="AK234" t="n">
        <v>9</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HYPERLINK("https://creighton-primo.hosted.exlibrisgroup.com/primo-explore/search?tab=default_tab&amp;search_scope=EVERYTHING&amp;vid=01CRU&amp;lang=en_US&amp;offset=0&amp;query=any,contains,991002525569702656","Catalog Record")</f>
        <v/>
      </c>
      <c r="AT234">
        <f>HYPERLINK("http://www.worldcat.org/oclc/32853062","WorldCat Record")</f>
        <v/>
      </c>
      <c r="AU234" t="inlineStr">
        <is>
          <t>141733271:eng</t>
        </is>
      </c>
      <c r="AV234" t="inlineStr">
        <is>
          <t>32853062</t>
        </is>
      </c>
      <c r="AW234" t="inlineStr">
        <is>
          <t>991002525569702656</t>
        </is>
      </c>
      <c r="AX234" t="inlineStr">
        <is>
          <t>991002525569702656</t>
        </is>
      </c>
      <c r="AY234" t="inlineStr">
        <is>
          <t>2269038900002656</t>
        </is>
      </c>
      <c r="AZ234" t="inlineStr">
        <is>
          <t>BOOK</t>
        </is>
      </c>
      <c r="BB234" t="inlineStr">
        <is>
          <t>9780815321590</t>
        </is>
      </c>
      <c r="BC234" t="inlineStr">
        <is>
          <t>32285002752243</t>
        </is>
      </c>
      <c r="BD234" t="inlineStr">
        <is>
          <t>893409197</t>
        </is>
      </c>
    </row>
    <row r="235">
      <c r="A235" t="inlineStr">
        <is>
          <t>No</t>
        </is>
      </c>
      <c r="B235" t="inlineStr">
        <is>
          <t>NX180.A77 S83 1994</t>
        </is>
      </c>
      <c r="C235" t="inlineStr">
        <is>
          <t>0                      NX 0180000A  77                 S  83          1994</t>
        </is>
      </c>
      <c r="D235" t="inlineStr">
        <is>
          <t>The Subversive imagination : artists, society, and social responsibility / edited by Carol Becker.</t>
        </is>
      </c>
      <c r="F235" t="inlineStr">
        <is>
          <t>No</t>
        </is>
      </c>
      <c r="G235" t="inlineStr">
        <is>
          <t>1</t>
        </is>
      </c>
      <c r="H235" t="inlineStr">
        <is>
          <t>No</t>
        </is>
      </c>
      <c r="I235" t="inlineStr">
        <is>
          <t>No</t>
        </is>
      </c>
      <c r="J235" t="inlineStr">
        <is>
          <t>0</t>
        </is>
      </c>
      <c r="L235" t="inlineStr">
        <is>
          <t>New York : Routledge, 1994.</t>
        </is>
      </c>
      <c r="M235" t="inlineStr">
        <is>
          <t>1994</t>
        </is>
      </c>
      <c r="O235" t="inlineStr">
        <is>
          <t>eng</t>
        </is>
      </c>
      <c r="P235" t="inlineStr">
        <is>
          <t>nyu</t>
        </is>
      </c>
      <c r="R235" t="inlineStr">
        <is>
          <t xml:space="preserve">NX </t>
        </is>
      </c>
      <c r="S235" t="n">
        <v>12</v>
      </c>
      <c r="T235" t="n">
        <v>12</v>
      </c>
      <c r="U235" t="inlineStr">
        <is>
          <t>2004-03-10</t>
        </is>
      </c>
      <c r="V235" t="inlineStr">
        <is>
          <t>2004-03-10</t>
        </is>
      </c>
      <c r="W235" t="inlineStr">
        <is>
          <t>1994-05-06</t>
        </is>
      </c>
      <c r="X235" t="inlineStr">
        <is>
          <t>1994-05-06</t>
        </is>
      </c>
      <c r="Y235" t="n">
        <v>597</v>
      </c>
      <c r="Z235" t="n">
        <v>459</v>
      </c>
      <c r="AA235" t="n">
        <v>522</v>
      </c>
      <c r="AB235" t="n">
        <v>6</v>
      </c>
      <c r="AC235" t="n">
        <v>6</v>
      </c>
      <c r="AD235" t="n">
        <v>26</v>
      </c>
      <c r="AE235" t="n">
        <v>27</v>
      </c>
      <c r="AF235" t="n">
        <v>7</v>
      </c>
      <c r="AG235" t="n">
        <v>7</v>
      </c>
      <c r="AH235" t="n">
        <v>7</v>
      </c>
      <c r="AI235" t="n">
        <v>8</v>
      </c>
      <c r="AJ235" t="n">
        <v>11</v>
      </c>
      <c r="AK235" t="n">
        <v>12</v>
      </c>
      <c r="AL235" t="n">
        <v>5</v>
      </c>
      <c r="AM235" t="n">
        <v>5</v>
      </c>
      <c r="AN235" t="n">
        <v>0</v>
      </c>
      <c r="AO235" t="n">
        <v>0</v>
      </c>
      <c r="AP235" t="inlineStr">
        <is>
          <t>No</t>
        </is>
      </c>
      <c r="AQ235" t="inlineStr">
        <is>
          <t>Yes</t>
        </is>
      </c>
      <c r="AR235">
        <f>HYPERLINK("http://catalog.hathitrust.org/Record/002816365","HathiTrust Record")</f>
        <v/>
      </c>
      <c r="AS235">
        <f>HYPERLINK("https://creighton-primo.hosted.exlibrisgroup.com/primo-explore/search?tab=default_tab&amp;search_scope=EVERYTHING&amp;vid=01CRU&amp;lang=en_US&amp;offset=0&amp;query=any,contains,991005417699702656","Catalog Record")</f>
        <v/>
      </c>
      <c r="AT235">
        <f>HYPERLINK("http://www.worldcat.org/oclc/28890180","WorldCat Record")</f>
        <v/>
      </c>
      <c r="AU235" t="inlineStr">
        <is>
          <t>836907387:eng</t>
        </is>
      </c>
      <c r="AV235" t="inlineStr">
        <is>
          <t>28890180</t>
        </is>
      </c>
      <c r="AW235" t="inlineStr">
        <is>
          <t>991005417699702656</t>
        </is>
      </c>
      <c r="AX235" t="inlineStr">
        <is>
          <t>991005417699702656</t>
        </is>
      </c>
      <c r="AY235" t="inlineStr">
        <is>
          <t>2262977200002656</t>
        </is>
      </c>
      <c r="AZ235" t="inlineStr">
        <is>
          <t>BOOK</t>
        </is>
      </c>
      <c r="BB235" t="inlineStr">
        <is>
          <t>9780415905916</t>
        </is>
      </c>
      <c r="BC235" t="inlineStr">
        <is>
          <t>32285001878312</t>
        </is>
      </c>
      <c r="BD235" t="inlineStr">
        <is>
          <t>893871153</t>
        </is>
      </c>
    </row>
    <row r="236">
      <c r="A236" t="inlineStr">
        <is>
          <t>No</t>
        </is>
      </c>
      <c r="B236" t="inlineStr">
        <is>
          <t>NX180.C44 C85 1992</t>
        </is>
      </c>
      <c r="C236" t="inlineStr">
        <is>
          <t>0                      NX 0180000C  44                 C  85          1992</t>
        </is>
      </c>
      <c r="D236" t="inlineStr">
        <is>
          <t>Culture Wars : documents from the recent controversies in the arts / edited by Richard Bolton.</t>
        </is>
      </c>
      <c r="F236" t="inlineStr">
        <is>
          <t>No</t>
        </is>
      </c>
      <c r="G236" t="inlineStr">
        <is>
          <t>1</t>
        </is>
      </c>
      <c r="H236" t="inlineStr">
        <is>
          <t>No</t>
        </is>
      </c>
      <c r="I236" t="inlineStr">
        <is>
          <t>No</t>
        </is>
      </c>
      <c r="J236" t="inlineStr">
        <is>
          <t>0</t>
        </is>
      </c>
      <c r="L236" t="inlineStr">
        <is>
          <t>New York : New Press, 1992.</t>
        </is>
      </c>
      <c r="M236" t="inlineStr">
        <is>
          <t>1992</t>
        </is>
      </c>
      <c r="N236" t="inlineStr">
        <is>
          <t>1st ed.</t>
        </is>
      </c>
      <c r="O236" t="inlineStr">
        <is>
          <t>eng</t>
        </is>
      </c>
      <c r="P236" t="inlineStr">
        <is>
          <t>nyu</t>
        </is>
      </c>
      <c r="R236" t="inlineStr">
        <is>
          <t xml:space="preserve">NX </t>
        </is>
      </c>
      <c r="S236" t="n">
        <v>7</v>
      </c>
      <c r="T236" t="n">
        <v>7</v>
      </c>
      <c r="U236" t="inlineStr">
        <is>
          <t>2005-12-11</t>
        </is>
      </c>
      <c r="V236" t="inlineStr">
        <is>
          <t>2005-12-11</t>
        </is>
      </c>
      <c r="W236" t="inlineStr">
        <is>
          <t>1998-11-23</t>
        </is>
      </c>
      <c r="X236" t="inlineStr">
        <is>
          <t>1998-11-23</t>
        </is>
      </c>
      <c r="Y236" t="n">
        <v>793</v>
      </c>
      <c r="Z236" t="n">
        <v>659</v>
      </c>
      <c r="AA236" t="n">
        <v>665</v>
      </c>
      <c r="AB236" t="n">
        <v>3</v>
      </c>
      <c r="AC236" t="n">
        <v>3</v>
      </c>
      <c r="AD236" t="n">
        <v>30</v>
      </c>
      <c r="AE236" t="n">
        <v>30</v>
      </c>
      <c r="AF236" t="n">
        <v>12</v>
      </c>
      <c r="AG236" t="n">
        <v>12</v>
      </c>
      <c r="AH236" t="n">
        <v>8</v>
      </c>
      <c r="AI236" t="n">
        <v>8</v>
      </c>
      <c r="AJ236" t="n">
        <v>14</v>
      </c>
      <c r="AK236" t="n">
        <v>14</v>
      </c>
      <c r="AL236" t="n">
        <v>0</v>
      </c>
      <c r="AM236" t="n">
        <v>0</v>
      </c>
      <c r="AN236" t="n">
        <v>3</v>
      </c>
      <c r="AO236" t="n">
        <v>3</v>
      </c>
      <c r="AP236" t="inlineStr">
        <is>
          <t>No</t>
        </is>
      </c>
      <c r="AQ236" t="inlineStr">
        <is>
          <t>No</t>
        </is>
      </c>
      <c r="AS236">
        <f>HYPERLINK("https://creighton-primo.hosted.exlibrisgroup.com/primo-explore/search?tab=default_tab&amp;search_scope=EVERYTHING&amp;vid=01CRU&amp;lang=en_US&amp;offset=0&amp;query=any,contains,991002078839702656","Catalog Record")</f>
        <v/>
      </c>
      <c r="AT236">
        <f>HYPERLINK("http://www.worldcat.org/oclc/26652907","WorldCat Record")</f>
        <v/>
      </c>
      <c r="AU236" t="inlineStr">
        <is>
          <t>114800116:eng</t>
        </is>
      </c>
      <c r="AV236" t="inlineStr">
        <is>
          <t>26652907</t>
        </is>
      </c>
      <c r="AW236" t="inlineStr">
        <is>
          <t>991002078839702656</t>
        </is>
      </c>
      <c r="AX236" t="inlineStr">
        <is>
          <t>991002078839702656</t>
        </is>
      </c>
      <c r="AY236" t="inlineStr">
        <is>
          <t>2269012480002656</t>
        </is>
      </c>
      <c r="AZ236" t="inlineStr">
        <is>
          <t>BOOK</t>
        </is>
      </c>
      <c r="BB236" t="inlineStr">
        <is>
          <t>9781565840119</t>
        </is>
      </c>
      <c r="BC236" t="inlineStr">
        <is>
          <t>32285001339984</t>
        </is>
      </c>
      <c r="BD236" t="inlineStr">
        <is>
          <t>893534838</t>
        </is>
      </c>
    </row>
    <row r="237">
      <c r="A237" t="inlineStr">
        <is>
          <t>No</t>
        </is>
      </c>
      <c r="B237" t="inlineStr">
        <is>
          <t>NX180.F4 I5</t>
        </is>
      </c>
      <c r="C237" t="inlineStr">
        <is>
          <t>0                      NX 0180000F  4                  I  5</t>
        </is>
      </c>
      <c r="D237" t="inlineStr">
        <is>
          <t>In her own image, women working in the arts / [compiled by] Elaine Hedges, Ingrid Wendt.</t>
        </is>
      </c>
      <c r="F237" t="inlineStr">
        <is>
          <t>No</t>
        </is>
      </c>
      <c r="G237" t="inlineStr">
        <is>
          <t>1</t>
        </is>
      </c>
      <c r="H237" t="inlineStr">
        <is>
          <t>No</t>
        </is>
      </c>
      <c r="I237" t="inlineStr">
        <is>
          <t>No</t>
        </is>
      </c>
      <c r="J237" t="inlineStr">
        <is>
          <t>0</t>
        </is>
      </c>
      <c r="L237" t="inlineStr">
        <is>
          <t>Old Westbury, N.Y. : Feminist Press ; New York : McGraw-Hill Book Co., c1980.</t>
        </is>
      </c>
      <c r="M237" t="inlineStr">
        <is>
          <t>1980</t>
        </is>
      </c>
      <c r="O237" t="inlineStr">
        <is>
          <t>eng</t>
        </is>
      </c>
      <c r="P237" t="inlineStr">
        <is>
          <t>nyu</t>
        </is>
      </c>
      <c r="Q237" t="inlineStr">
        <is>
          <t>Women's lives, women's work</t>
        </is>
      </c>
      <c r="R237" t="inlineStr">
        <is>
          <t xml:space="preserve">NX </t>
        </is>
      </c>
      <c r="S237" t="n">
        <v>10</v>
      </c>
      <c r="T237" t="n">
        <v>10</v>
      </c>
      <c r="U237" t="inlineStr">
        <is>
          <t>2008-03-26</t>
        </is>
      </c>
      <c r="V237" t="inlineStr">
        <is>
          <t>2008-03-26</t>
        </is>
      </c>
      <c r="W237" t="inlineStr">
        <is>
          <t>1993-04-02</t>
        </is>
      </c>
      <c r="X237" t="inlineStr">
        <is>
          <t>1993-04-02</t>
        </is>
      </c>
      <c r="Y237" t="n">
        <v>945</v>
      </c>
      <c r="Z237" t="n">
        <v>850</v>
      </c>
      <c r="AA237" t="n">
        <v>879</v>
      </c>
      <c r="AB237" t="n">
        <v>6</v>
      </c>
      <c r="AC237" t="n">
        <v>6</v>
      </c>
      <c r="AD237" t="n">
        <v>31</v>
      </c>
      <c r="AE237" t="n">
        <v>31</v>
      </c>
      <c r="AF237" t="n">
        <v>11</v>
      </c>
      <c r="AG237" t="n">
        <v>11</v>
      </c>
      <c r="AH237" t="n">
        <v>8</v>
      </c>
      <c r="AI237" t="n">
        <v>8</v>
      </c>
      <c r="AJ237" t="n">
        <v>14</v>
      </c>
      <c r="AK237" t="n">
        <v>14</v>
      </c>
      <c r="AL237" t="n">
        <v>5</v>
      </c>
      <c r="AM237" t="n">
        <v>5</v>
      </c>
      <c r="AN237" t="n">
        <v>0</v>
      </c>
      <c r="AO237" t="n">
        <v>0</v>
      </c>
      <c r="AP237" t="inlineStr">
        <is>
          <t>No</t>
        </is>
      </c>
      <c r="AQ237" t="inlineStr">
        <is>
          <t>Yes</t>
        </is>
      </c>
      <c r="AR237">
        <f>HYPERLINK("http://catalog.hathitrust.org/Record/000040069","HathiTrust Record")</f>
        <v/>
      </c>
      <c r="AS237">
        <f>HYPERLINK("https://creighton-primo.hosted.exlibrisgroup.com/primo-explore/search?tab=default_tab&amp;search_scope=EVERYTHING&amp;vid=01CRU&amp;lang=en_US&amp;offset=0&amp;query=any,contains,991004790369702656","Catalog Record")</f>
        <v/>
      </c>
      <c r="AT237">
        <f>HYPERLINK("http://www.worldcat.org/oclc/5170930","WorldCat Record")</f>
        <v/>
      </c>
      <c r="AU237" t="inlineStr">
        <is>
          <t>425668807:eng</t>
        </is>
      </c>
      <c r="AV237" t="inlineStr">
        <is>
          <t>5170930</t>
        </is>
      </c>
      <c r="AW237" t="inlineStr">
        <is>
          <t>991004790369702656</t>
        </is>
      </c>
      <c r="AX237" t="inlineStr">
        <is>
          <t>991004790369702656</t>
        </is>
      </c>
      <c r="AY237" t="inlineStr">
        <is>
          <t>2259305280002656</t>
        </is>
      </c>
      <c r="AZ237" t="inlineStr">
        <is>
          <t>BOOK</t>
        </is>
      </c>
      <c r="BB237" t="inlineStr">
        <is>
          <t>9780070204430</t>
        </is>
      </c>
      <c r="BC237" t="inlineStr">
        <is>
          <t>32285001599447</t>
        </is>
      </c>
      <c r="BD237" t="inlineStr">
        <is>
          <t>893706844</t>
        </is>
      </c>
    </row>
    <row r="238">
      <c r="A238" t="inlineStr">
        <is>
          <t>No</t>
        </is>
      </c>
      <c r="B238" t="inlineStr">
        <is>
          <t>NX180.F4 R384 1988</t>
        </is>
      </c>
      <c r="C238" t="inlineStr">
        <is>
          <t>0                      NX 0180000F  4                  R  384         1988</t>
        </is>
      </c>
      <c r="D238" t="inlineStr">
        <is>
          <t>Crossing over : feminism and art of social concern / by Arlene Raven.</t>
        </is>
      </c>
      <c r="F238" t="inlineStr">
        <is>
          <t>No</t>
        </is>
      </c>
      <c r="G238" t="inlineStr">
        <is>
          <t>1</t>
        </is>
      </c>
      <c r="H238" t="inlineStr">
        <is>
          <t>No</t>
        </is>
      </c>
      <c r="I238" t="inlineStr">
        <is>
          <t>No</t>
        </is>
      </c>
      <c r="J238" t="inlineStr">
        <is>
          <t>0</t>
        </is>
      </c>
      <c r="K238" t="inlineStr">
        <is>
          <t>Raven, Arlene.</t>
        </is>
      </c>
      <c r="L238" t="inlineStr">
        <is>
          <t>Ann Arbor, Mich. : UMI Research Press, c1988.</t>
        </is>
      </c>
      <c r="M238" t="inlineStr">
        <is>
          <t>1988</t>
        </is>
      </c>
      <c r="O238" t="inlineStr">
        <is>
          <t>eng</t>
        </is>
      </c>
      <c r="P238" t="inlineStr">
        <is>
          <t>miu</t>
        </is>
      </c>
      <c r="Q238" t="inlineStr">
        <is>
          <t>Contemporary American art critics ; no. 10</t>
        </is>
      </c>
      <c r="R238" t="inlineStr">
        <is>
          <t xml:space="preserve">NX </t>
        </is>
      </c>
      <c r="S238" t="n">
        <v>8</v>
      </c>
      <c r="T238" t="n">
        <v>8</v>
      </c>
      <c r="U238" t="inlineStr">
        <is>
          <t>2003-11-20</t>
        </is>
      </c>
      <c r="V238" t="inlineStr">
        <is>
          <t>2003-11-20</t>
        </is>
      </c>
      <c r="W238" t="inlineStr">
        <is>
          <t>1989-11-16</t>
        </is>
      </c>
      <c r="X238" t="inlineStr">
        <is>
          <t>1989-11-16</t>
        </is>
      </c>
      <c r="Y238" t="n">
        <v>443</v>
      </c>
      <c r="Z238" t="n">
        <v>372</v>
      </c>
      <c r="AA238" t="n">
        <v>382</v>
      </c>
      <c r="AB238" t="n">
        <v>5</v>
      </c>
      <c r="AC238" t="n">
        <v>5</v>
      </c>
      <c r="AD238" t="n">
        <v>14</v>
      </c>
      <c r="AE238" t="n">
        <v>14</v>
      </c>
      <c r="AF238" t="n">
        <v>4</v>
      </c>
      <c r="AG238" t="n">
        <v>4</v>
      </c>
      <c r="AH238" t="n">
        <v>2</v>
      </c>
      <c r="AI238" t="n">
        <v>2</v>
      </c>
      <c r="AJ238" t="n">
        <v>7</v>
      </c>
      <c r="AK238" t="n">
        <v>7</v>
      </c>
      <c r="AL238" t="n">
        <v>3</v>
      </c>
      <c r="AM238" t="n">
        <v>3</v>
      </c>
      <c r="AN238" t="n">
        <v>0</v>
      </c>
      <c r="AO238" t="n">
        <v>0</v>
      </c>
      <c r="AP238" t="inlineStr">
        <is>
          <t>No</t>
        </is>
      </c>
      <c r="AQ238" t="inlineStr">
        <is>
          <t>Yes</t>
        </is>
      </c>
      <c r="AR238">
        <f>HYPERLINK("http://catalog.hathitrust.org/Record/000866708","HathiTrust Record")</f>
        <v/>
      </c>
      <c r="AS238">
        <f>HYPERLINK("https://creighton-primo.hosted.exlibrisgroup.com/primo-explore/search?tab=default_tab&amp;search_scope=EVERYTHING&amp;vid=01CRU&amp;lang=en_US&amp;offset=0&amp;query=any,contains,991001153859702656","Catalog Record")</f>
        <v/>
      </c>
      <c r="AT238">
        <f>HYPERLINK("http://www.worldcat.org/oclc/16832766","WorldCat Record")</f>
        <v/>
      </c>
      <c r="AU238" t="inlineStr">
        <is>
          <t>13811154:eng</t>
        </is>
      </c>
      <c r="AV238" t="inlineStr">
        <is>
          <t>16832766</t>
        </is>
      </c>
      <c r="AW238" t="inlineStr">
        <is>
          <t>991001153859702656</t>
        </is>
      </c>
      <c r="AX238" t="inlineStr">
        <is>
          <t>991001153859702656</t>
        </is>
      </c>
      <c r="AY238" t="inlineStr">
        <is>
          <t>2257051000002656</t>
        </is>
      </c>
      <c r="AZ238" t="inlineStr">
        <is>
          <t>BOOK</t>
        </is>
      </c>
      <c r="BB238" t="inlineStr">
        <is>
          <t>9780835718486</t>
        </is>
      </c>
      <c r="BC238" t="inlineStr">
        <is>
          <t>32285000014059</t>
        </is>
      </c>
      <c r="BD238" t="inlineStr">
        <is>
          <t>893334106</t>
        </is>
      </c>
    </row>
    <row r="239">
      <c r="A239" t="inlineStr">
        <is>
          <t>No</t>
        </is>
      </c>
      <c r="B239" t="inlineStr">
        <is>
          <t>NX180.F4 S49 1992</t>
        </is>
      </c>
      <c r="C239" t="inlineStr">
        <is>
          <t>0                      NX 0180000F  4                  S  49          1992</t>
        </is>
      </c>
      <c r="D239" t="inlineStr">
        <is>
          <t>Sexuality, the female gaze, and the arts : women, the arts, and society / edited by Ronald Dotterer and Susan Bowers.</t>
        </is>
      </c>
      <c r="F239" t="inlineStr">
        <is>
          <t>No</t>
        </is>
      </c>
      <c r="G239" t="inlineStr">
        <is>
          <t>1</t>
        </is>
      </c>
      <c r="H239" t="inlineStr">
        <is>
          <t>No</t>
        </is>
      </c>
      <c r="I239" t="inlineStr">
        <is>
          <t>No</t>
        </is>
      </c>
      <c r="J239" t="inlineStr">
        <is>
          <t>0</t>
        </is>
      </c>
      <c r="L239" t="inlineStr">
        <is>
          <t>Selinsgrove [Pa.] : Susquehanna University Press ; London : Associated University Presses, 1992.</t>
        </is>
      </c>
      <c r="M239" t="inlineStr">
        <is>
          <t>1992</t>
        </is>
      </c>
      <c r="O239" t="inlineStr">
        <is>
          <t>eng</t>
        </is>
      </c>
      <c r="P239" t="inlineStr">
        <is>
          <t>pau</t>
        </is>
      </c>
      <c r="Q239" t="inlineStr">
        <is>
          <t>Susquehanna University studies</t>
        </is>
      </c>
      <c r="R239" t="inlineStr">
        <is>
          <t xml:space="preserve">NX </t>
        </is>
      </c>
      <c r="S239" t="n">
        <v>15</v>
      </c>
      <c r="T239" t="n">
        <v>15</v>
      </c>
      <c r="U239" t="inlineStr">
        <is>
          <t>2001-04-12</t>
        </is>
      </c>
      <c r="V239" t="inlineStr">
        <is>
          <t>2001-04-12</t>
        </is>
      </c>
      <c r="W239" t="inlineStr">
        <is>
          <t>1994-05-24</t>
        </is>
      </c>
      <c r="X239" t="inlineStr">
        <is>
          <t>1994-05-24</t>
        </is>
      </c>
      <c r="Y239" t="n">
        <v>388</v>
      </c>
      <c r="Z239" t="n">
        <v>333</v>
      </c>
      <c r="AA239" t="n">
        <v>335</v>
      </c>
      <c r="AB239" t="n">
        <v>4</v>
      </c>
      <c r="AC239" t="n">
        <v>4</v>
      </c>
      <c r="AD239" t="n">
        <v>18</v>
      </c>
      <c r="AE239" t="n">
        <v>18</v>
      </c>
      <c r="AF239" t="n">
        <v>6</v>
      </c>
      <c r="AG239" t="n">
        <v>6</v>
      </c>
      <c r="AH239" t="n">
        <v>6</v>
      </c>
      <c r="AI239" t="n">
        <v>6</v>
      </c>
      <c r="AJ239" t="n">
        <v>8</v>
      </c>
      <c r="AK239" t="n">
        <v>8</v>
      </c>
      <c r="AL239" t="n">
        <v>3</v>
      </c>
      <c r="AM239" t="n">
        <v>3</v>
      </c>
      <c r="AN239" t="n">
        <v>0</v>
      </c>
      <c r="AO239" t="n">
        <v>0</v>
      </c>
      <c r="AP239" t="inlineStr">
        <is>
          <t>No</t>
        </is>
      </c>
      <c r="AQ239" t="inlineStr">
        <is>
          <t>Yes</t>
        </is>
      </c>
      <c r="AR239">
        <f>HYPERLINK("http://catalog.hathitrust.org/Record/002624558","HathiTrust Record")</f>
        <v/>
      </c>
      <c r="AS239">
        <f>HYPERLINK("https://creighton-primo.hosted.exlibrisgroup.com/primo-explore/search?tab=default_tab&amp;search_scope=EVERYTHING&amp;vid=01CRU&amp;lang=en_US&amp;offset=0&amp;query=any,contains,991001880299702656","Catalog Record")</f>
        <v/>
      </c>
      <c r="AT239">
        <f>HYPERLINK("http://www.worldcat.org/oclc/23731474","WorldCat Record")</f>
        <v/>
      </c>
      <c r="AU239" t="inlineStr">
        <is>
          <t>375380260:eng</t>
        </is>
      </c>
      <c r="AV239" t="inlineStr">
        <is>
          <t>23731474</t>
        </is>
      </c>
      <c r="AW239" t="inlineStr">
        <is>
          <t>991001880299702656</t>
        </is>
      </c>
      <c r="AX239" t="inlineStr">
        <is>
          <t>991001880299702656</t>
        </is>
      </c>
      <c r="AY239" t="inlineStr">
        <is>
          <t>2266556140002656</t>
        </is>
      </c>
      <c r="AZ239" t="inlineStr">
        <is>
          <t>BOOK</t>
        </is>
      </c>
      <c r="BB239" t="inlineStr">
        <is>
          <t>9780945636328</t>
        </is>
      </c>
      <c r="BC239" t="inlineStr">
        <is>
          <t>32285001897999</t>
        </is>
      </c>
      <c r="BD239" t="inlineStr">
        <is>
          <t>893439505</t>
        </is>
      </c>
    </row>
    <row r="240">
      <c r="A240" t="inlineStr">
        <is>
          <t>No</t>
        </is>
      </c>
      <c r="B240" t="inlineStr">
        <is>
          <t>NX180.M3 C37 1998</t>
        </is>
      </c>
      <c r="C240" t="inlineStr">
        <is>
          <t>0                      NX 0180000M  3                  C  37          1998</t>
        </is>
      </c>
      <c r="D240" t="inlineStr">
        <is>
          <t>A philosophy of mass art / Noël Carroll.</t>
        </is>
      </c>
      <c r="F240" t="inlineStr">
        <is>
          <t>No</t>
        </is>
      </c>
      <c r="G240" t="inlineStr">
        <is>
          <t>1</t>
        </is>
      </c>
      <c r="H240" t="inlineStr">
        <is>
          <t>No</t>
        </is>
      </c>
      <c r="I240" t="inlineStr">
        <is>
          <t>No</t>
        </is>
      </c>
      <c r="J240" t="inlineStr">
        <is>
          <t>0</t>
        </is>
      </c>
      <c r="K240" t="inlineStr">
        <is>
          <t>Carroll, Noël, 1947-</t>
        </is>
      </c>
      <c r="L240" t="inlineStr">
        <is>
          <t>Oxford : Clarendon Press ; New York : Oxford University Press, 1998.</t>
        </is>
      </c>
      <c r="M240" t="inlineStr">
        <is>
          <t>1998</t>
        </is>
      </c>
      <c r="O240" t="inlineStr">
        <is>
          <t>eng</t>
        </is>
      </c>
      <c r="P240" t="inlineStr">
        <is>
          <t>enk</t>
        </is>
      </c>
      <c r="R240" t="inlineStr">
        <is>
          <t xml:space="preserve">NX </t>
        </is>
      </c>
      <c r="S240" t="n">
        <v>22</v>
      </c>
      <c r="T240" t="n">
        <v>22</v>
      </c>
      <c r="U240" t="inlineStr">
        <is>
          <t>2007-05-19</t>
        </is>
      </c>
      <c r="V240" t="inlineStr">
        <is>
          <t>2007-05-19</t>
        </is>
      </c>
      <c r="W240" t="inlineStr">
        <is>
          <t>1998-03-18</t>
        </is>
      </c>
      <c r="X240" t="inlineStr">
        <is>
          <t>1998-03-18</t>
        </is>
      </c>
      <c r="Y240" t="n">
        <v>572</v>
      </c>
      <c r="Z240" t="n">
        <v>391</v>
      </c>
      <c r="AA240" t="n">
        <v>392</v>
      </c>
      <c r="AB240" t="n">
        <v>2</v>
      </c>
      <c r="AC240" t="n">
        <v>2</v>
      </c>
      <c r="AD240" t="n">
        <v>22</v>
      </c>
      <c r="AE240" t="n">
        <v>22</v>
      </c>
      <c r="AF240" t="n">
        <v>8</v>
      </c>
      <c r="AG240" t="n">
        <v>8</v>
      </c>
      <c r="AH240" t="n">
        <v>6</v>
      </c>
      <c r="AI240" t="n">
        <v>6</v>
      </c>
      <c r="AJ240" t="n">
        <v>13</v>
      </c>
      <c r="AK240" t="n">
        <v>13</v>
      </c>
      <c r="AL240" t="n">
        <v>1</v>
      </c>
      <c r="AM240" t="n">
        <v>1</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HYPERLINK("https://creighton-primo.hosted.exlibrisgroup.com/primo-explore/search?tab=default_tab&amp;search_scope=EVERYTHING&amp;vid=01CRU&amp;lang=en_US&amp;offset=0&amp;query=any,contains,991002825059702656","Catalog Record")</f>
        <v/>
      </c>
      <c r="AT240">
        <f>HYPERLINK("http://www.worldcat.org/oclc/37195011","WorldCat Record")</f>
        <v/>
      </c>
      <c r="AU240" t="inlineStr">
        <is>
          <t>9459318:eng</t>
        </is>
      </c>
      <c r="AV240" t="inlineStr">
        <is>
          <t>37195011</t>
        </is>
      </c>
      <c r="AW240" t="inlineStr">
        <is>
          <t>991002825059702656</t>
        </is>
      </c>
      <c r="AX240" t="inlineStr">
        <is>
          <t>991002825059702656</t>
        </is>
      </c>
      <c r="AY240" t="inlineStr">
        <is>
          <t>2255087300002656</t>
        </is>
      </c>
      <c r="AZ240" t="inlineStr">
        <is>
          <t>BOOK</t>
        </is>
      </c>
      <c r="BB240" t="inlineStr">
        <is>
          <t>9780198711292</t>
        </is>
      </c>
      <c r="BC240" t="inlineStr">
        <is>
          <t>32285003358610</t>
        </is>
      </c>
      <c r="BD240" t="inlineStr">
        <is>
          <t>893786601</t>
        </is>
      </c>
    </row>
    <row r="241">
      <c r="A241" t="inlineStr">
        <is>
          <t>No</t>
        </is>
      </c>
      <c r="B241" t="inlineStr">
        <is>
          <t>NX180.R4 C76 2001</t>
        </is>
      </c>
      <c r="C241" t="inlineStr">
        <is>
          <t>0                      NX 0180000R  4                  C  76          2001</t>
        </is>
      </c>
      <c r="D241" t="inlineStr">
        <is>
          <t>Crossroads : art and religion in American life / edited by Alberta Arthurs and Glenn Wallach ; Center for Arts and Culture ; Henry Luce Foundation.</t>
        </is>
      </c>
      <c r="F241" t="inlineStr">
        <is>
          <t>No</t>
        </is>
      </c>
      <c r="G241" t="inlineStr">
        <is>
          <t>1</t>
        </is>
      </c>
      <c r="H241" t="inlineStr">
        <is>
          <t>No</t>
        </is>
      </c>
      <c r="I241" t="inlineStr">
        <is>
          <t>No</t>
        </is>
      </c>
      <c r="J241" t="inlineStr">
        <is>
          <t>0</t>
        </is>
      </c>
      <c r="L241" t="inlineStr">
        <is>
          <t>New York : New Press : Distributed by W.W. Norton, 2001.</t>
        </is>
      </c>
      <c r="M241" t="inlineStr">
        <is>
          <t>2001</t>
        </is>
      </c>
      <c r="O241" t="inlineStr">
        <is>
          <t>eng</t>
        </is>
      </c>
      <c r="P241" t="inlineStr">
        <is>
          <t>nyu</t>
        </is>
      </c>
      <c r="R241" t="inlineStr">
        <is>
          <t xml:space="preserve">NX </t>
        </is>
      </c>
      <c r="S241" t="n">
        <v>1</v>
      </c>
      <c r="T241" t="n">
        <v>1</v>
      </c>
      <c r="U241" t="inlineStr">
        <is>
          <t>2001-06-12</t>
        </is>
      </c>
      <c r="V241" t="inlineStr">
        <is>
          <t>2001-06-12</t>
        </is>
      </c>
      <c r="W241" t="inlineStr">
        <is>
          <t>2001-06-12</t>
        </is>
      </c>
      <c r="X241" t="inlineStr">
        <is>
          <t>2001-06-12</t>
        </is>
      </c>
      <c r="Y241" t="n">
        <v>451</v>
      </c>
      <c r="Z241" t="n">
        <v>411</v>
      </c>
      <c r="AA241" t="n">
        <v>411</v>
      </c>
      <c r="AB241" t="n">
        <v>4</v>
      </c>
      <c r="AC241" t="n">
        <v>4</v>
      </c>
      <c r="AD241" t="n">
        <v>17</v>
      </c>
      <c r="AE241" t="n">
        <v>17</v>
      </c>
      <c r="AF241" t="n">
        <v>9</v>
      </c>
      <c r="AG241" t="n">
        <v>9</v>
      </c>
      <c r="AH241" t="n">
        <v>2</v>
      </c>
      <c r="AI241" t="n">
        <v>2</v>
      </c>
      <c r="AJ241" t="n">
        <v>6</v>
      </c>
      <c r="AK241" t="n">
        <v>6</v>
      </c>
      <c r="AL241" t="n">
        <v>3</v>
      </c>
      <c r="AM241" t="n">
        <v>3</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HYPERLINK("https://creighton-primo.hosted.exlibrisgroup.com/primo-explore/search?tab=default_tab&amp;search_scope=EVERYTHING&amp;vid=01CRU&amp;lang=en_US&amp;offset=0&amp;query=any,contains,991003480679702656","Catalog Record")</f>
        <v/>
      </c>
      <c r="AT241">
        <f>HYPERLINK("http://www.worldcat.org/oclc/45058793","WorldCat Record")</f>
        <v/>
      </c>
      <c r="AU241" t="inlineStr">
        <is>
          <t>366520607:eng</t>
        </is>
      </c>
      <c r="AV241" t="inlineStr">
        <is>
          <t>45058793</t>
        </is>
      </c>
      <c r="AW241" t="inlineStr">
        <is>
          <t>991003480679702656</t>
        </is>
      </c>
      <c r="AX241" t="inlineStr">
        <is>
          <t>991003480679702656</t>
        </is>
      </c>
      <c r="AY241" t="inlineStr">
        <is>
          <t>2257208180002656</t>
        </is>
      </c>
      <c r="AZ241" t="inlineStr">
        <is>
          <t>BOOK</t>
        </is>
      </c>
      <c r="BB241" t="inlineStr">
        <is>
          <t>9781565846609</t>
        </is>
      </c>
      <c r="BC241" t="inlineStr">
        <is>
          <t>32285004326558</t>
        </is>
      </c>
      <c r="BD241" t="inlineStr">
        <is>
          <t>893505622</t>
        </is>
      </c>
    </row>
    <row r="242">
      <c r="A242" t="inlineStr">
        <is>
          <t>No</t>
        </is>
      </c>
      <c r="B242" t="inlineStr">
        <is>
          <t>NX180.S3 K46 2000</t>
        </is>
      </c>
      <c r="C242" t="inlineStr">
        <is>
          <t>0                      NX 0180000S  3                  K  46          2000</t>
        </is>
      </c>
      <c r="D242" t="inlineStr">
        <is>
          <t>Visualizations : the nature book of art and science / Martin Kemp.</t>
        </is>
      </c>
      <c r="F242" t="inlineStr">
        <is>
          <t>No</t>
        </is>
      </c>
      <c r="G242" t="inlineStr">
        <is>
          <t>1</t>
        </is>
      </c>
      <c r="H242" t="inlineStr">
        <is>
          <t>No</t>
        </is>
      </c>
      <c r="I242" t="inlineStr">
        <is>
          <t>No</t>
        </is>
      </c>
      <c r="J242" t="inlineStr">
        <is>
          <t>0</t>
        </is>
      </c>
      <c r="K242" t="inlineStr">
        <is>
          <t>Kemp, Martin.</t>
        </is>
      </c>
      <c r="L242" t="inlineStr">
        <is>
          <t>Berkeley, Calif ; University of California Press, c2000.</t>
        </is>
      </c>
      <c r="M242" t="inlineStr">
        <is>
          <t>2000</t>
        </is>
      </c>
      <c r="O242" t="inlineStr">
        <is>
          <t>eng</t>
        </is>
      </c>
      <c r="P242" t="inlineStr">
        <is>
          <t>cau</t>
        </is>
      </c>
      <c r="R242" t="inlineStr">
        <is>
          <t xml:space="preserve">NX </t>
        </is>
      </c>
      <c r="S242" t="n">
        <v>2</v>
      </c>
      <c r="T242" t="n">
        <v>2</v>
      </c>
      <c r="U242" t="inlineStr">
        <is>
          <t>2002-01-16</t>
        </is>
      </c>
      <c r="V242" t="inlineStr">
        <is>
          <t>2002-01-16</t>
        </is>
      </c>
      <c r="W242" t="inlineStr">
        <is>
          <t>2001-08-28</t>
        </is>
      </c>
      <c r="X242" t="inlineStr">
        <is>
          <t>2001-08-28</t>
        </is>
      </c>
      <c r="Y242" t="n">
        <v>251</v>
      </c>
      <c r="Z242" t="n">
        <v>221</v>
      </c>
      <c r="AA242" t="n">
        <v>336</v>
      </c>
      <c r="AB242" t="n">
        <v>2</v>
      </c>
      <c r="AC242" t="n">
        <v>3</v>
      </c>
      <c r="AD242" t="n">
        <v>10</v>
      </c>
      <c r="AE242" t="n">
        <v>14</v>
      </c>
      <c r="AF242" t="n">
        <v>4</v>
      </c>
      <c r="AG242" t="n">
        <v>4</v>
      </c>
      <c r="AH242" t="n">
        <v>2</v>
      </c>
      <c r="AI242" t="n">
        <v>4</v>
      </c>
      <c r="AJ242" t="n">
        <v>5</v>
      </c>
      <c r="AK242" t="n">
        <v>7</v>
      </c>
      <c r="AL242" t="n">
        <v>1</v>
      </c>
      <c r="AM242" t="n">
        <v>2</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HYPERLINK("https://creighton-primo.hosted.exlibrisgroup.com/primo-explore/search?tab=default_tab&amp;search_scope=EVERYTHING&amp;vid=01CRU&amp;lang=en_US&amp;offset=0&amp;query=any,contains,991003596149702656","Catalog Record")</f>
        <v/>
      </c>
      <c r="AT242">
        <f>HYPERLINK("http://www.worldcat.org/oclc/46680792","WorldCat Record")</f>
        <v/>
      </c>
      <c r="AU242" t="inlineStr">
        <is>
          <t>34439618:eng</t>
        </is>
      </c>
      <c r="AV242" t="inlineStr">
        <is>
          <t>46680792</t>
        </is>
      </c>
      <c r="AW242" t="inlineStr">
        <is>
          <t>991003596149702656</t>
        </is>
      </c>
      <c r="AX242" t="inlineStr">
        <is>
          <t>991003596149702656</t>
        </is>
      </c>
      <c r="AY242" t="inlineStr">
        <is>
          <t>2264291020002656</t>
        </is>
      </c>
      <c r="AZ242" t="inlineStr">
        <is>
          <t>BOOK</t>
        </is>
      </c>
      <c r="BB242" t="inlineStr">
        <is>
          <t>9780520223523</t>
        </is>
      </c>
      <c r="BC242" t="inlineStr">
        <is>
          <t>32285004381751</t>
        </is>
      </c>
      <c r="BD242" t="inlineStr">
        <is>
          <t>893692876</t>
        </is>
      </c>
    </row>
    <row r="243">
      <c r="A243" t="inlineStr">
        <is>
          <t>No</t>
        </is>
      </c>
      <c r="B243" t="inlineStr">
        <is>
          <t>NX180.S6 K36 1990</t>
        </is>
      </c>
      <c r="C243" t="inlineStr">
        <is>
          <t>0                      NX 0180000S  6                  K  36          1990</t>
        </is>
      </c>
      <c r="D243" t="inlineStr">
        <is>
          <t>The arts : a social perspective / Max Kaplan.</t>
        </is>
      </c>
      <c r="F243" t="inlineStr">
        <is>
          <t>No</t>
        </is>
      </c>
      <c r="G243" t="inlineStr">
        <is>
          <t>1</t>
        </is>
      </c>
      <c r="H243" t="inlineStr">
        <is>
          <t>No</t>
        </is>
      </c>
      <c r="I243" t="inlineStr">
        <is>
          <t>No</t>
        </is>
      </c>
      <c r="J243" t="inlineStr">
        <is>
          <t>0</t>
        </is>
      </c>
      <c r="K243" t="inlineStr">
        <is>
          <t>Kaplan, Max, 1911-1998.</t>
        </is>
      </c>
      <c r="L243" t="inlineStr">
        <is>
          <t>Rutherford, N.J. : Fairleigh Dickinson University Press, c1990.</t>
        </is>
      </c>
      <c r="M243" t="inlineStr">
        <is>
          <t>1990</t>
        </is>
      </c>
      <c r="O243" t="inlineStr">
        <is>
          <t>eng</t>
        </is>
      </c>
      <c r="P243" t="inlineStr">
        <is>
          <t>nju</t>
        </is>
      </c>
      <c r="R243" t="inlineStr">
        <is>
          <t xml:space="preserve">NX </t>
        </is>
      </c>
      <c r="S243" t="n">
        <v>2</v>
      </c>
      <c r="T243" t="n">
        <v>2</v>
      </c>
      <c r="U243" t="inlineStr">
        <is>
          <t>1994-11-08</t>
        </is>
      </c>
      <c r="V243" t="inlineStr">
        <is>
          <t>1994-11-08</t>
        </is>
      </c>
      <c r="W243" t="inlineStr">
        <is>
          <t>1990-06-21</t>
        </is>
      </c>
      <c r="X243" t="inlineStr">
        <is>
          <t>1990-06-21</t>
        </is>
      </c>
      <c r="Y243" t="n">
        <v>325</v>
      </c>
      <c r="Z243" t="n">
        <v>281</v>
      </c>
      <c r="AA243" t="n">
        <v>295</v>
      </c>
      <c r="AB243" t="n">
        <v>4</v>
      </c>
      <c r="AC243" t="n">
        <v>4</v>
      </c>
      <c r="AD243" t="n">
        <v>16</v>
      </c>
      <c r="AE243" t="n">
        <v>16</v>
      </c>
      <c r="AF243" t="n">
        <v>2</v>
      </c>
      <c r="AG243" t="n">
        <v>2</v>
      </c>
      <c r="AH243" t="n">
        <v>4</v>
      </c>
      <c r="AI243" t="n">
        <v>4</v>
      </c>
      <c r="AJ243" t="n">
        <v>8</v>
      </c>
      <c r="AK243" t="n">
        <v>8</v>
      </c>
      <c r="AL243" t="n">
        <v>3</v>
      </c>
      <c r="AM243" t="n">
        <v>3</v>
      </c>
      <c r="AN243" t="n">
        <v>0</v>
      </c>
      <c r="AO243" t="n">
        <v>0</v>
      </c>
      <c r="AP243" t="inlineStr">
        <is>
          <t>No</t>
        </is>
      </c>
      <c r="AQ243" t="inlineStr">
        <is>
          <t>Yes</t>
        </is>
      </c>
      <c r="AR243">
        <f>HYPERLINK("http://catalog.hathitrust.org/Record/002055889","HathiTrust Record")</f>
        <v/>
      </c>
      <c r="AS243">
        <f>HYPERLINK("https://creighton-primo.hosted.exlibrisgroup.com/primo-explore/search?tab=default_tab&amp;search_scope=EVERYTHING&amp;vid=01CRU&amp;lang=en_US&amp;offset=0&amp;query=any,contains,991001530309702656","Catalog Record")</f>
        <v/>
      </c>
      <c r="AT243">
        <f>HYPERLINK("http://www.worldcat.org/oclc/20017363","WorldCat Record")</f>
        <v/>
      </c>
      <c r="AU243" t="inlineStr">
        <is>
          <t>432281048:eng</t>
        </is>
      </c>
      <c r="AV243" t="inlineStr">
        <is>
          <t>20017363</t>
        </is>
      </c>
      <c r="AW243" t="inlineStr">
        <is>
          <t>991001530309702656</t>
        </is>
      </c>
      <c r="AX243" t="inlineStr">
        <is>
          <t>991001530309702656</t>
        </is>
      </c>
      <c r="AY243" t="inlineStr">
        <is>
          <t>2261233080002656</t>
        </is>
      </c>
      <c r="AZ243" t="inlineStr">
        <is>
          <t>BOOK</t>
        </is>
      </c>
      <c r="BB243" t="inlineStr">
        <is>
          <t>9780838633557</t>
        </is>
      </c>
      <c r="BC243" t="inlineStr">
        <is>
          <t>32285000178946</t>
        </is>
      </c>
      <c r="BD243" t="inlineStr">
        <is>
          <t>893334374</t>
        </is>
      </c>
    </row>
    <row r="244">
      <c r="A244" t="inlineStr">
        <is>
          <t>No</t>
        </is>
      </c>
      <c r="B244" t="inlineStr">
        <is>
          <t>NX180.S6 O97 1990</t>
        </is>
      </c>
      <c r="C244" t="inlineStr">
        <is>
          <t>0                      NX 0180000S  6                  O  97          1990</t>
        </is>
      </c>
      <c r="D244" t="inlineStr">
        <is>
          <t>Out there : marginalization and contemporary cultures / edited by Russell Ferguson ... [et al.] ; foreword by Marcia Tucker ; images selected by Félix González-Torres.</t>
        </is>
      </c>
      <c r="F244" t="inlineStr">
        <is>
          <t>No</t>
        </is>
      </c>
      <c r="G244" t="inlineStr">
        <is>
          <t>1</t>
        </is>
      </c>
      <c r="H244" t="inlineStr">
        <is>
          <t>No</t>
        </is>
      </c>
      <c r="I244" t="inlineStr">
        <is>
          <t>No</t>
        </is>
      </c>
      <c r="J244" t="inlineStr">
        <is>
          <t>0</t>
        </is>
      </c>
      <c r="L244" t="inlineStr">
        <is>
          <t>New York, N.Y. : New Museum of Contemporary Art ; Cambridge, Mass. : MIT Press, c1990.</t>
        </is>
      </c>
      <c r="M244" t="inlineStr">
        <is>
          <t>1990</t>
        </is>
      </c>
      <c r="O244" t="inlineStr">
        <is>
          <t>eng</t>
        </is>
      </c>
      <c r="P244" t="inlineStr">
        <is>
          <t>nyu</t>
        </is>
      </c>
      <c r="Q244" t="inlineStr">
        <is>
          <t>Documentary sources in contemporary art ; v. 4</t>
        </is>
      </c>
      <c r="R244" t="inlineStr">
        <is>
          <t xml:space="preserve">NX </t>
        </is>
      </c>
      <c r="S244" t="n">
        <v>2</v>
      </c>
      <c r="T244" t="n">
        <v>2</v>
      </c>
      <c r="U244" t="inlineStr">
        <is>
          <t>2006-10-09</t>
        </is>
      </c>
      <c r="V244" t="inlineStr">
        <is>
          <t>2006-10-09</t>
        </is>
      </c>
      <c r="W244" t="inlineStr">
        <is>
          <t>2003-09-15</t>
        </is>
      </c>
      <c r="X244" t="inlineStr">
        <is>
          <t>2003-09-15</t>
        </is>
      </c>
      <c r="Y244" t="n">
        <v>769</v>
      </c>
      <c r="Z244" t="n">
        <v>535</v>
      </c>
      <c r="AA244" t="n">
        <v>544</v>
      </c>
      <c r="AB244" t="n">
        <v>3</v>
      </c>
      <c r="AC244" t="n">
        <v>3</v>
      </c>
      <c r="AD244" t="n">
        <v>26</v>
      </c>
      <c r="AE244" t="n">
        <v>26</v>
      </c>
      <c r="AF244" t="n">
        <v>11</v>
      </c>
      <c r="AG244" t="n">
        <v>11</v>
      </c>
      <c r="AH244" t="n">
        <v>6</v>
      </c>
      <c r="AI244" t="n">
        <v>6</v>
      </c>
      <c r="AJ244" t="n">
        <v>14</v>
      </c>
      <c r="AK244" t="n">
        <v>14</v>
      </c>
      <c r="AL244" t="n">
        <v>1</v>
      </c>
      <c r="AM244" t="n">
        <v>1</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HYPERLINK("https://creighton-primo.hosted.exlibrisgroup.com/primo-explore/search?tab=default_tab&amp;search_scope=EVERYTHING&amp;vid=01CRU&amp;lang=en_US&amp;offset=0&amp;query=any,contains,991004123059702656","Catalog Record")</f>
        <v/>
      </c>
      <c r="AT244">
        <f>HYPERLINK("http://www.worldcat.org/oclc/21162781","WorldCat Record")</f>
        <v/>
      </c>
      <c r="AU244" t="inlineStr">
        <is>
          <t>787076810:eng</t>
        </is>
      </c>
      <c r="AV244" t="inlineStr">
        <is>
          <t>21162781</t>
        </is>
      </c>
      <c r="AW244" t="inlineStr">
        <is>
          <t>991004123059702656</t>
        </is>
      </c>
      <c r="AX244" t="inlineStr">
        <is>
          <t>991004123059702656</t>
        </is>
      </c>
      <c r="AY244" t="inlineStr">
        <is>
          <t>2258451510002656</t>
        </is>
      </c>
      <c r="AZ244" t="inlineStr">
        <is>
          <t>BOOK</t>
        </is>
      </c>
      <c r="BB244" t="inlineStr">
        <is>
          <t>9780262061322</t>
        </is>
      </c>
      <c r="BC244" t="inlineStr">
        <is>
          <t>32285004783113</t>
        </is>
      </c>
      <c r="BD244" t="inlineStr">
        <is>
          <t>893806682</t>
        </is>
      </c>
    </row>
    <row r="245">
      <c r="A245" t="inlineStr">
        <is>
          <t>No</t>
        </is>
      </c>
      <c r="B245" t="inlineStr">
        <is>
          <t>NX212 .P47</t>
        </is>
      </c>
      <c r="C245" t="inlineStr">
        <is>
          <t>0                      NX 0212000P  47</t>
        </is>
      </c>
      <c r="D245" t="inlineStr">
        <is>
          <t>Performance in postmodern culture / edited by Michel Benamou, Charles Caramello ; essays by Cheryl Bernstein ... [et al.].</t>
        </is>
      </c>
      <c r="F245" t="inlineStr">
        <is>
          <t>No</t>
        </is>
      </c>
      <c r="G245" t="inlineStr">
        <is>
          <t>1</t>
        </is>
      </c>
      <c r="H245" t="inlineStr">
        <is>
          <t>No</t>
        </is>
      </c>
      <c r="I245" t="inlineStr">
        <is>
          <t>No</t>
        </is>
      </c>
      <c r="J245" t="inlineStr">
        <is>
          <t>0</t>
        </is>
      </c>
      <c r="L245" t="inlineStr">
        <is>
          <t>[Milwaukee] : Center for Twentieth Century Studies, University of Wisconsin-Milwaukee, 1977.</t>
        </is>
      </c>
      <c r="M245" t="inlineStr">
        <is>
          <t>1977</t>
        </is>
      </c>
      <c r="O245" t="inlineStr">
        <is>
          <t>eng</t>
        </is>
      </c>
      <c r="P245" t="inlineStr">
        <is>
          <t>wiu</t>
        </is>
      </c>
      <c r="Q245" t="inlineStr">
        <is>
          <t>Theories of contemporary culture ; 1</t>
        </is>
      </c>
      <c r="R245" t="inlineStr">
        <is>
          <t xml:space="preserve">NX </t>
        </is>
      </c>
      <c r="S245" t="n">
        <v>1</v>
      </c>
      <c r="T245" t="n">
        <v>1</v>
      </c>
      <c r="U245" t="inlineStr">
        <is>
          <t>1994-10-25</t>
        </is>
      </c>
      <c r="V245" t="inlineStr">
        <is>
          <t>1994-10-25</t>
        </is>
      </c>
      <c r="W245" t="inlineStr">
        <is>
          <t>1993-06-02</t>
        </is>
      </c>
      <c r="X245" t="inlineStr">
        <is>
          <t>1993-06-02</t>
        </is>
      </c>
      <c r="Y245" t="n">
        <v>318</v>
      </c>
      <c r="Z245" t="n">
        <v>256</v>
      </c>
      <c r="AA245" t="n">
        <v>257</v>
      </c>
      <c r="AB245" t="n">
        <v>2</v>
      </c>
      <c r="AC245" t="n">
        <v>2</v>
      </c>
      <c r="AD245" t="n">
        <v>12</v>
      </c>
      <c r="AE245" t="n">
        <v>12</v>
      </c>
      <c r="AF245" t="n">
        <v>6</v>
      </c>
      <c r="AG245" t="n">
        <v>6</v>
      </c>
      <c r="AH245" t="n">
        <v>3</v>
      </c>
      <c r="AI245" t="n">
        <v>3</v>
      </c>
      <c r="AJ245" t="n">
        <v>5</v>
      </c>
      <c r="AK245" t="n">
        <v>5</v>
      </c>
      <c r="AL245" t="n">
        <v>1</v>
      </c>
      <c r="AM245" t="n">
        <v>1</v>
      </c>
      <c r="AN245" t="n">
        <v>0</v>
      </c>
      <c r="AO245" t="n">
        <v>0</v>
      </c>
      <c r="AP245" t="inlineStr">
        <is>
          <t>No</t>
        </is>
      </c>
      <c r="AQ245" t="inlineStr">
        <is>
          <t>Yes</t>
        </is>
      </c>
      <c r="AR245">
        <f>HYPERLINK("http://catalog.hathitrust.org/Record/000087381","HathiTrust Record")</f>
        <v/>
      </c>
      <c r="AS245">
        <f>HYPERLINK("https://creighton-primo.hosted.exlibrisgroup.com/primo-explore/search?tab=default_tab&amp;search_scope=EVERYTHING&amp;vid=01CRU&amp;lang=en_US&amp;offset=0&amp;query=any,contains,991004445059702656","Catalog Record")</f>
        <v/>
      </c>
      <c r="AT245">
        <f>HYPERLINK("http://www.worldcat.org/oclc/3481114","WorldCat Record")</f>
        <v/>
      </c>
      <c r="AU245" t="inlineStr">
        <is>
          <t>10534055:eng</t>
        </is>
      </c>
      <c r="AV245" t="inlineStr">
        <is>
          <t>3481114</t>
        </is>
      </c>
      <c r="AW245" t="inlineStr">
        <is>
          <t>991004445059702656</t>
        </is>
      </c>
      <c r="AX245" t="inlineStr">
        <is>
          <t>991004445059702656</t>
        </is>
      </c>
      <c r="AY245" t="inlineStr">
        <is>
          <t>2264419950002656</t>
        </is>
      </c>
      <c r="AZ245" t="inlineStr">
        <is>
          <t>BOOK</t>
        </is>
      </c>
      <c r="BB245" t="inlineStr">
        <is>
          <t>9780930956004</t>
        </is>
      </c>
      <c r="BC245" t="inlineStr">
        <is>
          <t>32285001716801</t>
        </is>
      </c>
      <c r="BD245" t="inlineStr">
        <is>
          <t>893229377</t>
        </is>
      </c>
    </row>
    <row r="246">
      <c r="A246" t="inlineStr">
        <is>
          <t>No</t>
        </is>
      </c>
      <c r="B246" t="inlineStr">
        <is>
          <t>NX22.N33 S84</t>
        </is>
      </c>
      <c r="C246" t="inlineStr">
        <is>
          <t>0                      NX 0022000N  33                 S  84</t>
        </is>
      </c>
      <c r="D246" t="inlineStr">
        <is>
          <t>Twigs for an eagle's nest : government and the arts, 1965-1978 / Michael Straight.</t>
        </is>
      </c>
      <c r="F246" t="inlineStr">
        <is>
          <t>No</t>
        </is>
      </c>
      <c r="G246" t="inlineStr">
        <is>
          <t>1</t>
        </is>
      </c>
      <c r="H246" t="inlineStr">
        <is>
          <t>No</t>
        </is>
      </c>
      <c r="I246" t="inlineStr">
        <is>
          <t>No</t>
        </is>
      </c>
      <c r="J246" t="inlineStr">
        <is>
          <t>0</t>
        </is>
      </c>
      <c r="K246" t="inlineStr">
        <is>
          <t>Straight, Michael Whitney.</t>
        </is>
      </c>
      <c r="L246" t="inlineStr">
        <is>
          <t>New York : Devon Press, 1979.</t>
        </is>
      </c>
      <c r="M246" t="inlineStr">
        <is>
          <t>1979</t>
        </is>
      </c>
      <c r="N246" t="inlineStr">
        <is>
          <t>1st ed.</t>
        </is>
      </c>
      <c r="O246" t="inlineStr">
        <is>
          <t>eng</t>
        </is>
      </c>
      <c r="P246" t="inlineStr">
        <is>
          <t>nyu</t>
        </is>
      </c>
      <c r="Q246" t="inlineStr">
        <is>
          <t>His In great decades ; 4</t>
        </is>
      </c>
      <c r="R246" t="inlineStr">
        <is>
          <t xml:space="preserve">NX </t>
        </is>
      </c>
      <c r="S246" t="n">
        <v>1</v>
      </c>
      <c r="T246" t="n">
        <v>1</v>
      </c>
      <c r="U246" t="inlineStr">
        <is>
          <t>1993-04-06</t>
        </is>
      </c>
      <c r="V246" t="inlineStr">
        <is>
          <t>1993-04-06</t>
        </is>
      </c>
      <c r="W246" t="inlineStr">
        <is>
          <t>1992-02-06</t>
        </is>
      </c>
      <c r="X246" t="inlineStr">
        <is>
          <t>1992-02-06</t>
        </is>
      </c>
      <c r="Y246" t="n">
        <v>401</v>
      </c>
      <c r="Z246" t="n">
        <v>378</v>
      </c>
      <c r="AA246" t="n">
        <v>380</v>
      </c>
      <c r="AB246" t="n">
        <v>4</v>
      </c>
      <c r="AC246" t="n">
        <v>4</v>
      </c>
      <c r="AD246" t="n">
        <v>16</v>
      </c>
      <c r="AE246" t="n">
        <v>16</v>
      </c>
      <c r="AF246" t="n">
        <v>6</v>
      </c>
      <c r="AG246" t="n">
        <v>6</v>
      </c>
      <c r="AH246" t="n">
        <v>4</v>
      </c>
      <c r="AI246" t="n">
        <v>4</v>
      </c>
      <c r="AJ246" t="n">
        <v>7</v>
      </c>
      <c r="AK246" t="n">
        <v>7</v>
      </c>
      <c r="AL246" t="n">
        <v>3</v>
      </c>
      <c r="AM246" t="n">
        <v>3</v>
      </c>
      <c r="AN246" t="n">
        <v>0</v>
      </c>
      <c r="AO246" t="n">
        <v>0</v>
      </c>
      <c r="AP246" t="inlineStr">
        <is>
          <t>No</t>
        </is>
      </c>
      <c r="AQ246" t="inlineStr">
        <is>
          <t>Yes</t>
        </is>
      </c>
      <c r="AR246">
        <f>HYPERLINK("http://catalog.hathitrust.org/Record/000018305","HathiTrust Record")</f>
        <v/>
      </c>
      <c r="AS246">
        <f>HYPERLINK("https://creighton-primo.hosted.exlibrisgroup.com/primo-explore/search?tab=default_tab&amp;search_scope=EVERYTHING&amp;vid=01CRU&amp;lang=en_US&amp;offset=0&amp;query=any,contains,991004809099702656","Catalog Record")</f>
        <v/>
      </c>
      <c r="AT246">
        <f>HYPERLINK("http://www.worldcat.org/oclc/5264750","WorldCat Record")</f>
        <v/>
      </c>
      <c r="AU246" t="inlineStr">
        <is>
          <t>198604585:eng</t>
        </is>
      </c>
      <c r="AV246" t="inlineStr">
        <is>
          <t>5264750</t>
        </is>
      </c>
      <c r="AW246" t="inlineStr">
        <is>
          <t>991004809099702656</t>
        </is>
      </c>
      <c r="AX246" t="inlineStr">
        <is>
          <t>991004809099702656</t>
        </is>
      </c>
      <c r="AY246" t="inlineStr">
        <is>
          <t>2259106050002656</t>
        </is>
      </c>
      <c r="AZ246" t="inlineStr">
        <is>
          <t>BOOK</t>
        </is>
      </c>
      <c r="BB246" t="inlineStr">
        <is>
          <t>9780934160049</t>
        </is>
      </c>
      <c r="BC246" t="inlineStr">
        <is>
          <t>32285000943653</t>
        </is>
      </c>
      <c r="BD246" t="inlineStr">
        <is>
          <t>893532833</t>
        </is>
      </c>
    </row>
    <row r="247">
      <c r="A247" t="inlineStr">
        <is>
          <t>No</t>
        </is>
      </c>
      <c r="B247" t="inlineStr">
        <is>
          <t>NX280 .A77</t>
        </is>
      </c>
      <c r="C247" t="inlineStr">
        <is>
          <t>0                      NX 0280000A  77</t>
        </is>
      </c>
      <c r="D247" t="inlineStr">
        <is>
          <t>The Arts, cognition and basic skills : based on a conference held at Aspen, Colorado, June 19-25, 1977 / co-sponsored by CEMREL, inc., and the Education Program of The Aspen Institute for Humanistic Studies, with support from The National Institute of Education ; Stanley S. Madeja, editor.</t>
        </is>
      </c>
      <c r="F247" t="inlineStr">
        <is>
          <t>No</t>
        </is>
      </c>
      <c r="G247" t="inlineStr">
        <is>
          <t>1</t>
        </is>
      </c>
      <c r="H247" t="inlineStr">
        <is>
          <t>No</t>
        </is>
      </c>
      <c r="I247" t="inlineStr">
        <is>
          <t>No</t>
        </is>
      </c>
      <c r="J247" t="inlineStr">
        <is>
          <t>0</t>
        </is>
      </c>
      <c r="L247" t="inlineStr">
        <is>
          <t>St. Louis : CEMREL, inc., c1978.</t>
        </is>
      </c>
      <c r="M247" t="inlineStr">
        <is>
          <t>1978</t>
        </is>
      </c>
      <c r="O247" t="inlineStr">
        <is>
          <t>eng</t>
        </is>
      </c>
      <c r="P247" t="inlineStr">
        <is>
          <t>mou</t>
        </is>
      </c>
      <c r="Q247" t="inlineStr">
        <is>
          <t>Yearbook on research in arts and aesthetic education ; 2</t>
        </is>
      </c>
      <c r="R247" t="inlineStr">
        <is>
          <t xml:space="preserve">NX </t>
        </is>
      </c>
      <c r="S247" t="n">
        <v>1</v>
      </c>
      <c r="T247" t="n">
        <v>1</v>
      </c>
      <c r="U247" t="inlineStr">
        <is>
          <t>2002-02-13</t>
        </is>
      </c>
      <c r="V247" t="inlineStr">
        <is>
          <t>2002-02-13</t>
        </is>
      </c>
      <c r="W247" t="inlineStr">
        <is>
          <t>1993-06-02</t>
        </is>
      </c>
      <c r="X247" t="inlineStr">
        <is>
          <t>1993-06-02</t>
        </is>
      </c>
      <c r="Y247" t="n">
        <v>489</v>
      </c>
      <c r="Z247" t="n">
        <v>441</v>
      </c>
      <c r="AA247" t="n">
        <v>471</v>
      </c>
      <c r="AB247" t="n">
        <v>6</v>
      </c>
      <c r="AC247" t="n">
        <v>6</v>
      </c>
      <c r="AD247" t="n">
        <v>19</v>
      </c>
      <c r="AE247" t="n">
        <v>19</v>
      </c>
      <c r="AF247" t="n">
        <v>8</v>
      </c>
      <c r="AG247" t="n">
        <v>8</v>
      </c>
      <c r="AH247" t="n">
        <v>3</v>
      </c>
      <c r="AI247" t="n">
        <v>3</v>
      </c>
      <c r="AJ247" t="n">
        <v>8</v>
      </c>
      <c r="AK247" t="n">
        <v>8</v>
      </c>
      <c r="AL247" t="n">
        <v>5</v>
      </c>
      <c r="AM247" t="n">
        <v>5</v>
      </c>
      <c r="AN247" t="n">
        <v>0</v>
      </c>
      <c r="AO247" t="n">
        <v>0</v>
      </c>
      <c r="AP247" t="inlineStr">
        <is>
          <t>No</t>
        </is>
      </c>
      <c r="AQ247" t="inlineStr">
        <is>
          <t>Yes</t>
        </is>
      </c>
      <c r="AR247">
        <f>HYPERLINK("http://catalog.hathitrust.org/Record/000214826","HathiTrust Record")</f>
        <v/>
      </c>
      <c r="AS247">
        <f>HYPERLINK("https://creighton-primo.hosted.exlibrisgroup.com/primo-explore/search?tab=default_tab&amp;search_scope=EVERYTHING&amp;vid=01CRU&amp;lang=en_US&amp;offset=0&amp;query=any,contains,991004596589702656","Catalog Record")</f>
        <v/>
      </c>
      <c r="AT247">
        <f>HYPERLINK("http://www.worldcat.org/oclc/4142425","WorldCat Record")</f>
        <v/>
      </c>
      <c r="AU247" t="inlineStr">
        <is>
          <t>362449348:eng</t>
        </is>
      </c>
      <c r="AV247" t="inlineStr">
        <is>
          <t>4142425</t>
        </is>
      </c>
      <c r="AW247" t="inlineStr">
        <is>
          <t>991004596589702656</t>
        </is>
      </c>
      <c r="AX247" t="inlineStr">
        <is>
          <t>991004596589702656</t>
        </is>
      </c>
      <c r="AY247" t="inlineStr">
        <is>
          <t>2263662510002656</t>
        </is>
      </c>
      <c r="AZ247" t="inlineStr">
        <is>
          <t>BOOK</t>
        </is>
      </c>
      <c r="BC247" t="inlineStr">
        <is>
          <t>32285001716835</t>
        </is>
      </c>
      <c r="BD247" t="inlineStr">
        <is>
          <t>893901414</t>
        </is>
      </c>
    </row>
    <row r="248">
      <c r="A248" t="inlineStr">
        <is>
          <t>No</t>
        </is>
      </c>
      <c r="B248" t="inlineStr">
        <is>
          <t>NX280 .C28 1990</t>
        </is>
      </c>
      <c r="C248" t="inlineStr">
        <is>
          <t>0                      NX 0280000C  28          1990</t>
        </is>
      </c>
      <c r="D248" t="inlineStr">
        <is>
          <t>Arts in education : the making of a grass blade / Barbara Carlisle, author.</t>
        </is>
      </c>
      <c r="F248" t="inlineStr">
        <is>
          <t>No</t>
        </is>
      </c>
      <c r="G248" t="inlineStr">
        <is>
          <t>1</t>
        </is>
      </c>
      <c r="H248" t="inlineStr">
        <is>
          <t>No</t>
        </is>
      </c>
      <c r="I248" t="inlineStr">
        <is>
          <t>No</t>
        </is>
      </c>
      <c r="J248" t="inlineStr">
        <is>
          <t>0</t>
        </is>
      </c>
      <c r="K248" t="inlineStr">
        <is>
          <t>Carlisle, Barbara.</t>
        </is>
      </c>
      <c r="L248" t="inlineStr">
        <is>
          <t>Battle Creek, Mich. : Published by the W.K. Kellogg Foundation, 1990.</t>
        </is>
      </c>
      <c r="M248" t="inlineStr">
        <is>
          <t>1990</t>
        </is>
      </c>
      <c r="O248" t="inlineStr">
        <is>
          <t>eng</t>
        </is>
      </c>
      <c r="P248" t="inlineStr">
        <is>
          <t>miu</t>
        </is>
      </c>
      <c r="R248" t="inlineStr">
        <is>
          <t xml:space="preserve">NX </t>
        </is>
      </c>
      <c r="S248" t="n">
        <v>1</v>
      </c>
      <c r="T248" t="n">
        <v>1</v>
      </c>
      <c r="U248" t="inlineStr">
        <is>
          <t>2000-12-06</t>
        </is>
      </c>
      <c r="V248" t="inlineStr">
        <is>
          <t>2000-12-06</t>
        </is>
      </c>
      <c r="W248" t="inlineStr">
        <is>
          <t>1990-05-17</t>
        </is>
      </c>
      <c r="X248" t="inlineStr">
        <is>
          <t>1990-05-17</t>
        </is>
      </c>
      <c r="Y248" t="n">
        <v>600</v>
      </c>
      <c r="Z248" t="n">
        <v>598</v>
      </c>
      <c r="AA248" t="n">
        <v>603</v>
      </c>
      <c r="AB248" t="n">
        <v>7</v>
      </c>
      <c r="AC248" t="n">
        <v>7</v>
      </c>
      <c r="AD248" t="n">
        <v>21</v>
      </c>
      <c r="AE248" t="n">
        <v>21</v>
      </c>
      <c r="AF248" t="n">
        <v>9</v>
      </c>
      <c r="AG248" t="n">
        <v>9</v>
      </c>
      <c r="AH248" t="n">
        <v>1</v>
      </c>
      <c r="AI248" t="n">
        <v>1</v>
      </c>
      <c r="AJ248" t="n">
        <v>10</v>
      </c>
      <c r="AK248" t="n">
        <v>10</v>
      </c>
      <c r="AL248" t="n">
        <v>5</v>
      </c>
      <c r="AM248" t="n">
        <v>5</v>
      </c>
      <c r="AN248" t="n">
        <v>0</v>
      </c>
      <c r="AO248" t="n">
        <v>0</v>
      </c>
      <c r="AP248" t="inlineStr">
        <is>
          <t>No</t>
        </is>
      </c>
      <c r="AQ248" t="inlineStr">
        <is>
          <t>Yes</t>
        </is>
      </c>
      <c r="AR248">
        <f>HYPERLINK("http://catalog.hathitrust.org/Record/002479954","HathiTrust Record")</f>
        <v/>
      </c>
      <c r="AS248">
        <f>HYPERLINK("https://creighton-primo.hosted.exlibrisgroup.com/primo-explore/search?tab=default_tab&amp;search_scope=EVERYTHING&amp;vid=01CRU&amp;lang=en_US&amp;offset=0&amp;query=any,contains,991001689639702656","Catalog Record")</f>
        <v/>
      </c>
      <c r="AT248">
        <f>HYPERLINK("http://www.worldcat.org/oclc/22386608","WorldCat Record")</f>
        <v/>
      </c>
      <c r="AU248" t="inlineStr">
        <is>
          <t>992388409:eng</t>
        </is>
      </c>
      <c r="AV248" t="inlineStr">
        <is>
          <t>22386608</t>
        </is>
      </c>
      <c r="AW248" t="inlineStr">
        <is>
          <t>991001689639702656</t>
        </is>
      </c>
      <c r="AX248" t="inlineStr">
        <is>
          <t>991001689639702656</t>
        </is>
      </c>
      <c r="AY248" t="inlineStr">
        <is>
          <t>2256707440002656</t>
        </is>
      </c>
      <c r="AZ248" t="inlineStr">
        <is>
          <t>BOOK</t>
        </is>
      </c>
      <c r="BC248" t="inlineStr">
        <is>
          <t>32285000137389</t>
        </is>
      </c>
      <c r="BD248" t="inlineStr">
        <is>
          <t>893721115</t>
        </is>
      </c>
    </row>
    <row r="249">
      <c r="A249" t="inlineStr">
        <is>
          <t>No</t>
        </is>
      </c>
      <c r="B249" t="inlineStr">
        <is>
          <t>NX280 .D35 1994</t>
        </is>
      </c>
      <c r="C249" t="inlineStr">
        <is>
          <t>0                      NX 0280000D  35          1994</t>
        </is>
      </c>
      <c r="D249" t="inlineStr">
        <is>
          <t>Dance, music, theatre, visual arts : what every young American should know and be able to do in the arts : National standards for arts education / developed by the Consortium of National Arts Education Associations.</t>
        </is>
      </c>
      <c r="F249" t="inlineStr">
        <is>
          <t>No</t>
        </is>
      </c>
      <c r="G249" t="inlineStr">
        <is>
          <t>1</t>
        </is>
      </c>
      <c r="H249" t="inlineStr">
        <is>
          <t>No</t>
        </is>
      </c>
      <c r="I249" t="inlineStr">
        <is>
          <t>No</t>
        </is>
      </c>
      <c r="J249" t="inlineStr">
        <is>
          <t>0</t>
        </is>
      </c>
      <c r="K249" t="inlineStr">
        <is>
          <t>National standards for arts education.</t>
        </is>
      </c>
      <c r="L249" t="inlineStr">
        <is>
          <t>Reston, Va. : Music Educators National Conference, c1994.</t>
        </is>
      </c>
      <c r="M249" t="inlineStr">
        <is>
          <t>1994</t>
        </is>
      </c>
      <c r="O249" t="inlineStr">
        <is>
          <t>eng</t>
        </is>
      </c>
      <c r="P249" t="inlineStr">
        <is>
          <t>vau</t>
        </is>
      </c>
      <c r="R249" t="inlineStr">
        <is>
          <t xml:space="preserve">NX </t>
        </is>
      </c>
      <c r="S249" t="n">
        <v>6</v>
      </c>
      <c r="T249" t="n">
        <v>6</v>
      </c>
      <c r="U249" t="inlineStr">
        <is>
          <t>2000-12-06</t>
        </is>
      </c>
      <c r="V249" t="inlineStr">
        <is>
          <t>2000-12-06</t>
        </is>
      </c>
      <c r="W249" t="inlineStr">
        <is>
          <t>1997-11-05</t>
        </is>
      </c>
      <c r="X249" t="inlineStr">
        <is>
          <t>1997-11-05</t>
        </is>
      </c>
      <c r="Y249" t="n">
        <v>469</v>
      </c>
      <c r="Z249" t="n">
        <v>436</v>
      </c>
      <c r="AA249" t="n">
        <v>445</v>
      </c>
      <c r="AB249" t="n">
        <v>6</v>
      </c>
      <c r="AC249" t="n">
        <v>6</v>
      </c>
      <c r="AD249" t="n">
        <v>16</v>
      </c>
      <c r="AE249" t="n">
        <v>16</v>
      </c>
      <c r="AF249" t="n">
        <v>9</v>
      </c>
      <c r="AG249" t="n">
        <v>9</v>
      </c>
      <c r="AH249" t="n">
        <v>2</v>
      </c>
      <c r="AI249" t="n">
        <v>2</v>
      </c>
      <c r="AJ249" t="n">
        <v>5</v>
      </c>
      <c r="AK249" t="n">
        <v>5</v>
      </c>
      <c r="AL249" t="n">
        <v>4</v>
      </c>
      <c r="AM249" t="n">
        <v>4</v>
      </c>
      <c r="AN249" t="n">
        <v>0</v>
      </c>
      <c r="AO249" t="n">
        <v>0</v>
      </c>
      <c r="AP249" t="inlineStr">
        <is>
          <t>No</t>
        </is>
      </c>
      <c r="AQ249" t="inlineStr">
        <is>
          <t>Yes</t>
        </is>
      </c>
      <c r="AR249">
        <f>HYPERLINK("http://catalog.hathitrust.org/Record/003044817","HathiTrust Record")</f>
        <v/>
      </c>
      <c r="AS249">
        <f>HYPERLINK("https://creighton-primo.hosted.exlibrisgroup.com/primo-explore/search?tab=default_tab&amp;search_scope=EVERYTHING&amp;vid=01CRU&amp;lang=en_US&amp;offset=0&amp;query=any,contains,991002337029702656","Catalog Record")</f>
        <v/>
      </c>
      <c r="AT249">
        <f>HYPERLINK("http://www.worldcat.org/oclc/30413886","WorldCat Record")</f>
        <v/>
      </c>
      <c r="AU249" t="inlineStr">
        <is>
          <t>55819160:eng</t>
        </is>
      </c>
      <c r="AV249" t="inlineStr">
        <is>
          <t>30413886</t>
        </is>
      </c>
      <c r="AW249" t="inlineStr">
        <is>
          <t>991002337029702656</t>
        </is>
      </c>
      <c r="AX249" t="inlineStr">
        <is>
          <t>991002337029702656</t>
        </is>
      </c>
      <c r="AY249" t="inlineStr">
        <is>
          <t>2265381280002656</t>
        </is>
      </c>
      <c r="AZ249" t="inlineStr">
        <is>
          <t>BOOK</t>
        </is>
      </c>
      <c r="BB249" t="inlineStr">
        <is>
          <t>9781565450363</t>
        </is>
      </c>
      <c r="BC249" t="inlineStr">
        <is>
          <t>32285003276143</t>
        </is>
      </c>
      <c r="BD249" t="inlineStr">
        <is>
          <t>893510611</t>
        </is>
      </c>
    </row>
    <row r="250">
      <c r="A250" t="inlineStr">
        <is>
          <t>No</t>
        </is>
      </c>
      <c r="B250" t="inlineStr">
        <is>
          <t>NX280 .E3</t>
        </is>
      </c>
      <c r="C250" t="inlineStr">
        <is>
          <t>0                      NX 0280000E  3</t>
        </is>
      </c>
      <c r="D250" t="inlineStr">
        <is>
          <t>The role of the fine arts in education.</t>
        </is>
      </c>
      <c r="F250" t="inlineStr">
        <is>
          <t>No</t>
        </is>
      </c>
      <c r="G250" t="inlineStr">
        <is>
          <t>1</t>
        </is>
      </c>
      <c r="H250" t="inlineStr">
        <is>
          <t>No</t>
        </is>
      </c>
      <c r="I250" t="inlineStr">
        <is>
          <t>No</t>
        </is>
      </c>
      <c r="J250" t="inlineStr">
        <is>
          <t>0</t>
        </is>
      </c>
      <c r="K250" t="inlineStr">
        <is>
          <t>Educational Policies Commission.</t>
        </is>
      </c>
      <c r="M250" t="inlineStr">
        <is>
          <t>1968</t>
        </is>
      </c>
      <c r="O250" t="inlineStr">
        <is>
          <t>eng</t>
        </is>
      </c>
      <c r="P250" t="inlineStr">
        <is>
          <t>dcu</t>
        </is>
      </c>
      <c r="R250" t="inlineStr">
        <is>
          <t xml:space="preserve">NX </t>
        </is>
      </c>
      <c r="S250" t="n">
        <v>2</v>
      </c>
      <c r="T250" t="n">
        <v>2</v>
      </c>
      <c r="U250" t="inlineStr">
        <is>
          <t>2000-12-06</t>
        </is>
      </c>
      <c r="V250" t="inlineStr">
        <is>
          <t>2000-12-06</t>
        </is>
      </c>
      <c r="W250" t="inlineStr">
        <is>
          <t>1997-08-08</t>
        </is>
      </c>
      <c r="X250" t="inlineStr">
        <is>
          <t>1997-08-08</t>
        </is>
      </c>
      <c r="Y250" t="n">
        <v>242</v>
      </c>
      <c r="Z250" t="n">
        <v>239</v>
      </c>
      <c r="AA250" t="n">
        <v>240</v>
      </c>
      <c r="AB250" t="n">
        <v>6</v>
      </c>
      <c r="AC250" t="n">
        <v>6</v>
      </c>
      <c r="AD250" t="n">
        <v>21</v>
      </c>
      <c r="AE250" t="n">
        <v>21</v>
      </c>
      <c r="AF250" t="n">
        <v>6</v>
      </c>
      <c r="AG250" t="n">
        <v>6</v>
      </c>
      <c r="AH250" t="n">
        <v>4</v>
      </c>
      <c r="AI250" t="n">
        <v>4</v>
      </c>
      <c r="AJ250" t="n">
        <v>11</v>
      </c>
      <c r="AK250" t="n">
        <v>11</v>
      </c>
      <c r="AL250" t="n">
        <v>5</v>
      </c>
      <c r="AM250" t="n">
        <v>5</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HYPERLINK("https://creighton-primo.hosted.exlibrisgroup.com/primo-explore/search?tab=default_tab&amp;search_scope=EVERYTHING&amp;vid=01CRU&amp;lang=en_US&amp;offset=0&amp;query=any,contains,991002808149702656","Catalog Record")</f>
        <v/>
      </c>
      <c r="AT250">
        <f>HYPERLINK("http://www.worldcat.org/oclc/451391","WorldCat Record")</f>
        <v/>
      </c>
      <c r="AU250" t="inlineStr">
        <is>
          <t>1435410:eng</t>
        </is>
      </c>
      <c r="AV250" t="inlineStr">
        <is>
          <t>451391</t>
        </is>
      </c>
      <c r="AW250" t="inlineStr">
        <is>
          <t>991002808149702656</t>
        </is>
      </c>
      <c r="AX250" t="inlineStr">
        <is>
          <t>991002808149702656</t>
        </is>
      </c>
      <c r="AY250" t="inlineStr">
        <is>
          <t>2261181220002656</t>
        </is>
      </c>
      <c r="AZ250" t="inlineStr">
        <is>
          <t>BOOK</t>
        </is>
      </c>
      <c r="BC250" t="inlineStr">
        <is>
          <t>32285003048401</t>
        </is>
      </c>
      <c r="BD250" t="inlineStr">
        <is>
          <t>893341879</t>
        </is>
      </c>
    </row>
    <row r="251">
      <c r="A251" t="inlineStr">
        <is>
          <t>No</t>
        </is>
      </c>
      <c r="B251" t="inlineStr">
        <is>
          <t>NX280 .T417 1990</t>
        </is>
      </c>
      <c r="C251" t="inlineStr">
        <is>
          <t>0                      NX 0280000T  417         1990</t>
        </is>
      </c>
      <c r="D251" t="inlineStr">
        <is>
          <t>Teaching literature and other arts / edited by Jean-Pierre Barricelli, Joseph Gibaldi, and Estella Lauter.</t>
        </is>
      </c>
      <c r="F251" t="inlineStr">
        <is>
          <t>No</t>
        </is>
      </c>
      <c r="G251" t="inlineStr">
        <is>
          <t>1</t>
        </is>
      </c>
      <c r="H251" t="inlineStr">
        <is>
          <t>No</t>
        </is>
      </c>
      <c r="I251" t="inlineStr">
        <is>
          <t>No</t>
        </is>
      </c>
      <c r="J251" t="inlineStr">
        <is>
          <t>0</t>
        </is>
      </c>
      <c r="L251" t="inlineStr">
        <is>
          <t>New York : Modern Language Association of America, 1990.</t>
        </is>
      </c>
      <c r="M251" t="inlineStr">
        <is>
          <t>1990</t>
        </is>
      </c>
      <c r="O251" t="inlineStr">
        <is>
          <t>eng</t>
        </is>
      </c>
      <c r="P251" t="inlineStr">
        <is>
          <t>nyu</t>
        </is>
      </c>
      <c r="Q251" t="inlineStr">
        <is>
          <t>Options for teaching ; 10</t>
        </is>
      </c>
      <c r="R251" t="inlineStr">
        <is>
          <t xml:space="preserve">NX </t>
        </is>
      </c>
      <c r="S251" t="n">
        <v>1</v>
      </c>
      <c r="T251" t="n">
        <v>1</v>
      </c>
      <c r="U251" t="inlineStr">
        <is>
          <t>2007-03-13</t>
        </is>
      </c>
      <c r="V251" t="inlineStr">
        <is>
          <t>2007-03-13</t>
        </is>
      </c>
      <c r="W251" t="inlineStr">
        <is>
          <t>2007-03-13</t>
        </is>
      </c>
      <c r="X251" t="inlineStr">
        <is>
          <t>2007-03-13</t>
        </is>
      </c>
      <c r="Y251" t="n">
        <v>476</v>
      </c>
      <c r="Z251" t="n">
        <v>425</v>
      </c>
      <c r="AA251" t="n">
        <v>427</v>
      </c>
      <c r="AB251" t="n">
        <v>5</v>
      </c>
      <c r="AC251" t="n">
        <v>5</v>
      </c>
      <c r="AD251" t="n">
        <v>21</v>
      </c>
      <c r="AE251" t="n">
        <v>21</v>
      </c>
      <c r="AF251" t="n">
        <v>8</v>
      </c>
      <c r="AG251" t="n">
        <v>8</v>
      </c>
      <c r="AH251" t="n">
        <v>3</v>
      </c>
      <c r="AI251" t="n">
        <v>3</v>
      </c>
      <c r="AJ251" t="n">
        <v>7</v>
      </c>
      <c r="AK251" t="n">
        <v>7</v>
      </c>
      <c r="AL251" t="n">
        <v>4</v>
      </c>
      <c r="AM251" t="n">
        <v>4</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HYPERLINK("https://creighton-primo.hosted.exlibrisgroup.com/primo-explore/search?tab=default_tab&amp;search_scope=EVERYTHING&amp;vid=01CRU&amp;lang=en_US&amp;offset=0&amp;query=any,contains,991005043779702656","Catalog Record")</f>
        <v/>
      </c>
      <c r="AT251">
        <f>HYPERLINK("http://www.worldcat.org/oclc/20824321","WorldCat Record")</f>
        <v/>
      </c>
      <c r="AU251" t="inlineStr">
        <is>
          <t>365542344:eng</t>
        </is>
      </c>
      <c r="AV251" t="inlineStr">
        <is>
          <t>20824321</t>
        </is>
      </c>
      <c r="AW251" t="inlineStr">
        <is>
          <t>991005043779702656</t>
        </is>
      </c>
      <c r="AX251" t="inlineStr">
        <is>
          <t>991005043779702656</t>
        </is>
      </c>
      <c r="AY251" t="inlineStr">
        <is>
          <t>2260050690002656</t>
        </is>
      </c>
      <c r="AZ251" t="inlineStr">
        <is>
          <t>BOOK</t>
        </is>
      </c>
      <c r="BB251" t="inlineStr">
        <is>
          <t>9780873523646</t>
        </is>
      </c>
      <c r="BC251" t="inlineStr">
        <is>
          <t>32285005281299</t>
        </is>
      </c>
      <c r="BD251" t="inlineStr">
        <is>
          <t>893606737</t>
        </is>
      </c>
    </row>
    <row r="252">
      <c r="A252" t="inlineStr">
        <is>
          <t>No</t>
        </is>
      </c>
      <c r="B252" t="inlineStr">
        <is>
          <t>NX303 .A73 1988</t>
        </is>
      </c>
      <c r="C252" t="inlineStr">
        <is>
          <t>0                      NX 0303000A  73          1988</t>
        </is>
      </c>
      <c r="D252" t="inlineStr">
        <is>
          <t>Arts education beyond the classroom / edited by Judith H. Balfe and Joni Cherbo Heine.</t>
        </is>
      </c>
      <c r="F252" t="inlineStr">
        <is>
          <t>No</t>
        </is>
      </c>
      <c r="G252" t="inlineStr">
        <is>
          <t>1</t>
        </is>
      </c>
      <c r="H252" t="inlineStr">
        <is>
          <t>No</t>
        </is>
      </c>
      <c r="I252" t="inlineStr">
        <is>
          <t>No</t>
        </is>
      </c>
      <c r="J252" t="inlineStr">
        <is>
          <t>0</t>
        </is>
      </c>
      <c r="L252" t="inlineStr">
        <is>
          <t>New York, N.Y. : ACA Books, c1988.</t>
        </is>
      </c>
      <c r="M252" t="inlineStr">
        <is>
          <t>1988</t>
        </is>
      </c>
      <c r="O252" t="inlineStr">
        <is>
          <t>eng</t>
        </is>
      </c>
      <c r="P252" t="inlineStr">
        <is>
          <t>nyu</t>
        </is>
      </c>
      <c r="Q252" t="inlineStr">
        <is>
          <t>ACA arts research seminar series ; 2</t>
        </is>
      </c>
      <c r="R252" t="inlineStr">
        <is>
          <t xml:space="preserve">NX </t>
        </is>
      </c>
      <c r="S252" t="n">
        <v>1</v>
      </c>
      <c r="T252" t="n">
        <v>1</v>
      </c>
      <c r="U252" t="inlineStr">
        <is>
          <t>2002-02-13</t>
        </is>
      </c>
      <c r="V252" t="inlineStr">
        <is>
          <t>2002-02-13</t>
        </is>
      </c>
      <c r="W252" t="inlineStr">
        <is>
          <t>1993-06-02</t>
        </is>
      </c>
      <c r="X252" t="inlineStr">
        <is>
          <t>1993-06-02</t>
        </is>
      </c>
      <c r="Y252" t="n">
        <v>210</v>
      </c>
      <c r="Z252" t="n">
        <v>198</v>
      </c>
      <c r="AA252" t="n">
        <v>198</v>
      </c>
      <c r="AB252" t="n">
        <v>2</v>
      </c>
      <c r="AC252" t="n">
        <v>2</v>
      </c>
      <c r="AD252" t="n">
        <v>5</v>
      </c>
      <c r="AE252" t="n">
        <v>5</v>
      </c>
      <c r="AF252" t="n">
        <v>4</v>
      </c>
      <c r="AG252" t="n">
        <v>4</v>
      </c>
      <c r="AH252" t="n">
        <v>0</v>
      </c>
      <c r="AI252" t="n">
        <v>0</v>
      </c>
      <c r="AJ252" t="n">
        <v>3</v>
      </c>
      <c r="AK252" t="n">
        <v>3</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HYPERLINK("https://creighton-primo.hosted.exlibrisgroup.com/primo-explore/search?tab=default_tab&amp;search_scope=EVERYTHING&amp;vid=01CRU&amp;lang=en_US&amp;offset=0&amp;query=any,contains,991001332209702656","Catalog Record")</f>
        <v/>
      </c>
      <c r="AT252">
        <f>HYPERLINK("http://www.worldcat.org/oclc/18325271","WorldCat Record")</f>
        <v/>
      </c>
      <c r="AU252" t="inlineStr">
        <is>
          <t>475778543:eng</t>
        </is>
      </c>
      <c r="AV252" t="inlineStr">
        <is>
          <t>18325271</t>
        </is>
      </c>
      <c r="AW252" t="inlineStr">
        <is>
          <t>991001332209702656</t>
        </is>
      </c>
      <c r="AX252" t="inlineStr">
        <is>
          <t>991001332209702656</t>
        </is>
      </c>
      <c r="AY252" t="inlineStr">
        <is>
          <t>2259346610002656</t>
        </is>
      </c>
      <c r="AZ252" t="inlineStr">
        <is>
          <t>BOOK</t>
        </is>
      </c>
      <c r="BB252" t="inlineStr">
        <is>
          <t>9780915400720</t>
        </is>
      </c>
      <c r="BC252" t="inlineStr">
        <is>
          <t>32285001716850</t>
        </is>
      </c>
      <c r="BD252" t="inlineStr">
        <is>
          <t>893522503</t>
        </is>
      </c>
    </row>
    <row r="253">
      <c r="A253" t="inlineStr">
        <is>
          <t>No</t>
        </is>
      </c>
      <c r="B253" t="inlineStr">
        <is>
          <t>NX303 .S7 1988</t>
        </is>
      </c>
      <c r="C253" t="inlineStr">
        <is>
          <t>0                      NX 0303000S  7           1988</t>
        </is>
      </c>
      <c r="D253" t="inlineStr">
        <is>
          <t>Arts in schools, state by state / [compiled and edited by Daniel V. Steinel].</t>
        </is>
      </c>
      <c r="F253" t="inlineStr">
        <is>
          <t>No</t>
        </is>
      </c>
      <c r="G253" t="inlineStr">
        <is>
          <t>1</t>
        </is>
      </c>
      <c r="H253" t="inlineStr">
        <is>
          <t>No</t>
        </is>
      </c>
      <c r="I253" t="inlineStr">
        <is>
          <t>No</t>
        </is>
      </c>
      <c r="J253" t="inlineStr">
        <is>
          <t>0</t>
        </is>
      </c>
      <c r="K253" t="inlineStr">
        <is>
          <t>Steinel, Daniel V.</t>
        </is>
      </c>
      <c r="L253" t="inlineStr">
        <is>
          <t>Reston, VA : Music Educators National Conference, c1988.</t>
        </is>
      </c>
      <c r="M253" t="inlineStr">
        <is>
          <t>1988</t>
        </is>
      </c>
      <c r="N253" t="inlineStr">
        <is>
          <t>2nd ed.</t>
        </is>
      </c>
      <c r="O253" t="inlineStr">
        <is>
          <t>eng</t>
        </is>
      </c>
      <c r="P253" t="inlineStr">
        <is>
          <t>vau</t>
        </is>
      </c>
      <c r="R253" t="inlineStr">
        <is>
          <t xml:space="preserve">NX </t>
        </is>
      </c>
      <c r="S253" t="n">
        <v>3</v>
      </c>
      <c r="T253" t="n">
        <v>3</v>
      </c>
      <c r="U253" t="inlineStr">
        <is>
          <t>2000-12-06</t>
        </is>
      </c>
      <c r="V253" t="inlineStr">
        <is>
          <t>2000-12-06</t>
        </is>
      </c>
      <c r="W253" t="inlineStr">
        <is>
          <t>1996-11-01</t>
        </is>
      </c>
      <c r="X253" t="inlineStr">
        <is>
          <t>1996-11-01</t>
        </is>
      </c>
      <c r="Y253" t="n">
        <v>124</v>
      </c>
      <c r="Z253" t="n">
        <v>113</v>
      </c>
      <c r="AA253" t="n">
        <v>185</v>
      </c>
      <c r="AB253" t="n">
        <v>3</v>
      </c>
      <c r="AC253" t="n">
        <v>3</v>
      </c>
      <c r="AD253" t="n">
        <v>4</v>
      </c>
      <c r="AE253" t="n">
        <v>6</v>
      </c>
      <c r="AF253" t="n">
        <v>2</v>
      </c>
      <c r="AG253" t="n">
        <v>3</v>
      </c>
      <c r="AH253" t="n">
        <v>0</v>
      </c>
      <c r="AI253" t="n">
        <v>2</v>
      </c>
      <c r="AJ253" t="n">
        <v>1</v>
      </c>
      <c r="AK253" t="n">
        <v>1</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HYPERLINK("https://creighton-primo.hosted.exlibrisgroup.com/primo-explore/search?tab=default_tab&amp;search_scope=EVERYTHING&amp;vid=01CRU&amp;lang=en_US&amp;offset=0&amp;query=any,contains,991001426169702656","Catalog Record")</f>
        <v/>
      </c>
      <c r="AT253">
        <f>HYPERLINK("http://www.worldcat.org/oclc/19027367","WorldCat Record")</f>
        <v/>
      </c>
      <c r="AU253" t="inlineStr">
        <is>
          <t>1908994784:eng</t>
        </is>
      </c>
      <c r="AV253" t="inlineStr">
        <is>
          <t>19027367</t>
        </is>
      </c>
      <c r="AW253" t="inlineStr">
        <is>
          <t>991001426169702656</t>
        </is>
      </c>
      <c r="AX253" t="inlineStr">
        <is>
          <t>991001426169702656</t>
        </is>
      </c>
      <c r="AY253" t="inlineStr">
        <is>
          <t>2270408260002656</t>
        </is>
      </c>
      <c r="AZ253" t="inlineStr">
        <is>
          <t>BOOK</t>
        </is>
      </c>
      <c r="BC253" t="inlineStr">
        <is>
          <t>32285002370723</t>
        </is>
      </c>
      <c r="BD253" t="inlineStr">
        <is>
          <t>893256238</t>
        </is>
      </c>
    </row>
    <row r="254">
      <c r="A254" t="inlineStr">
        <is>
          <t>No</t>
        </is>
      </c>
      <c r="B254" t="inlineStr">
        <is>
          <t>NX448.5 .H87 1985</t>
        </is>
      </c>
      <c r="C254" t="inlineStr">
        <is>
          <t>0                      NX 0448500H  87          1985</t>
        </is>
      </c>
      <c r="D254" t="inlineStr">
        <is>
          <t>The art and culture of early Greece, 1100-480 B.C. / Jeffrey M. Hurwit.</t>
        </is>
      </c>
      <c r="F254" t="inlineStr">
        <is>
          <t>No</t>
        </is>
      </c>
      <c r="G254" t="inlineStr">
        <is>
          <t>1</t>
        </is>
      </c>
      <c r="H254" t="inlineStr">
        <is>
          <t>No</t>
        </is>
      </c>
      <c r="I254" t="inlineStr">
        <is>
          <t>No</t>
        </is>
      </c>
      <c r="J254" t="inlineStr">
        <is>
          <t>0</t>
        </is>
      </c>
      <c r="K254" t="inlineStr">
        <is>
          <t>Hurwit, Jeffrey M., 1949-</t>
        </is>
      </c>
      <c r="L254" t="inlineStr">
        <is>
          <t>Ithaca : Cornell University Press, 1985.</t>
        </is>
      </c>
      <c r="M254" t="inlineStr">
        <is>
          <t>1985</t>
        </is>
      </c>
      <c r="O254" t="inlineStr">
        <is>
          <t>eng</t>
        </is>
      </c>
      <c r="P254" t="inlineStr">
        <is>
          <t>nyu</t>
        </is>
      </c>
      <c r="R254" t="inlineStr">
        <is>
          <t xml:space="preserve">NX </t>
        </is>
      </c>
      <c r="S254" t="n">
        <v>5</v>
      </c>
      <c r="T254" t="n">
        <v>5</v>
      </c>
      <c r="U254" t="inlineStr">
        <is>
          <t>2002-05-23</t>
        </is>
      </c>
      <c r="V254" t="inlineStr">
        <is>
          <t>2002-05-23</t>
        </is>
      </c>
      <c r="W254" t="inlineStr">
        <is>
          <t>1993-06-02</t>
        </is>
      </c>
      <c r="X254" t="inlineStr">
        <is>
          <t>1993-06-02</t>
        </is>
      </c>
      <c r="Y254" t="n">
        <v>822</v>
      </c>
      <c r="Z254" t="n">
        <v>651</v>
      </c>
      <c r="AA254" t="n">
        <v>656</v>
      </c>
      <c r="AB254" t="n">
        <v>4</v>
      </c>
      <c r="AC254" t="n">
        <v>4</v>
      </c>
      <c r="AD254" t="n">
        <v>35</v>
      </c>
      <c r="AE254" t="n">
        <v>35</v>
      </c>
      <c r="AF254" t="n">
        <v>16</v>
      </c>
      <c r="AG254" t="n">
        <v>16</v>
      </c>
      <c r="AH254" t="n">
        <v>8</v>
      </c>
      <c r="AI254" t="n">
        <v>8</v>
      </c>
      <c r="AJ254" t="n">
        <v>19</v>
      </c>
      <c r="AK254" t="n">
        <v>19</v>
      </c>
      <c r="AL254" t="n">
        <v>2</v>
      </c>
      <c r="AM254" t="n">
        <v>2</v>
      </c>
      <c r="AN254" t="n">
        <v>0</v>
      </c>
      <c r="AO254" t="n">
        <v>0</v>
      </c>
      <c r="AP254" t="inlineStr">
        <is>
          <t>No</t>
        </is>
      </c>
      <c r="AQ254" t="inlineStr">
        <is>
          <t>Yes</t>
        </is>
      </c>
      <c r="AR254">
        <f>HYPERLINK("http://catalog.hathitrust.org/Record/000377965","HathiTrust Record")</f>
        <v/>
      </c>
      <c r="AS254">
        <f>HYPERLINK("https://creighton-primo.hosted.exlibrisgroup.com/primo-explore/search?tab=default_tab&amp;search_scope=EVERYTHING&amp;vid=01CRU&amp;lang=en_US&amp;offset=0&amp;query=any,contains,991000588489702656","Catalog Record")</f>
        <v/>
      </c>
      <c r="AT254">
        <f>HYPERLINK("http://www.worldcat.org/oclc/11783172","WorldCat Record")</f>
        <v/>
      </c>
      <c r="AU254" t="inlineStr">
        <is>
          <t>4600119:eng</t>
        </is>
      </c>
      <c r="AV254" t="inlineStr">
        <is>
          <t>11783172</t>
        </is>
      </c>
      <c r="AW254" t="inlineStr">
        <is>
          <t>991000588489702656</t>
        </is>
      </c>
      <c r="AX254" t="inlineStr">
        <is>
          <t>991000588489702656</t>
        </is>
      </c>
      <c r="AY254" t="inlineStr">
        <is>
          <t>2255337720002656</t>
        </is>
      </c>
      <c r="AZ254" t="inlineStr">
        <is>
          <t>BOOK</t>
        </is>
      </c>
      <c r="BB254" t="inlineStr">
        <is>
          <t>9780801417672</t>
        </is>
      </c>
      <c r="BC254" t="inlineStr">
        <is>
          <t>32285001716918</t>
        </is>
      </c>
      <c r="BD254" t="inlineStr">
        <is>
          <t>893315074</t>
        </is>
      </c>
    </row>
    <row r="255">
      <c r="A255" t="inlineStr">
        <is>
          <t>No</t>
        </is>
      </c>
      <c r="B255" t="inlineStr">
        <is>
          <t>NX449 .N5 1983</t>
        </is>
      </c>
      <c r="C255" t="inlineStr">
        <is>
          <t>0                      NX 0449000N  5           1983</t>
        </is>
      </c>
      <c r="D255" t="inlineStr">
        <is>
          <t>Romanesque signs : early medieval narrative and iconography / Stephen G. Nichols, Jr.</t>
        </is>
      </c>
      <c r="F255" t="inlineStr">
        <is>
          <t>No</t>
        </is>
      </c>
      <c r="G255" t="inlineStr">
        <is>
          <t>1</t>
        </is>
      </c>
      <c r="H255" t="inlineStr">
        <is>
          <t>No</t>
        </is>
      </c>
      <c r="I255" t="inlineStr">
        <is>
          <t>No</t>
        </is>
      </c>
      <c r="J255" t="inlineStr">
        <is>
          <t>0</t>
        </is>
      </c>
      <c r="K255" t="inlineStr">
        <is>
          <t>Nichols, Stephen G.</t>
        </is>
      </c>
      <c r="L255" t="inlineStr">
        <is>
          <t>New Haven, Conn. : Yale University Press, c1983.</t>
        </is>
      </c>
      <c r="M255" t="inlineStr">
        <is>
          <t>1983</t>
        </is>
      </c>
      <c r="O255" t="inlineStr">
        <is>
          <t>eng</t>
        </is>
      </c>
      <c r="P255" t="inlineStr">
        <is>
          <t>ctu</t>
        </is>
      </c>
      <c r="R255" t="inlineStr">
        <is>
          <t xml:space="preserve">NX </t>
        </is>
      </c>
      <c r="S255" t="n">
        <v>8</v>
      </c>
      <c r="T255" t="n">
        <v>8</v>
      </c>
      <c r="U255" t="inlineStr">
        <is>
          <t>1999-03-15</t>
        </is>
      </c>
      <c r="V255" t="inlineStr">
        <is>
          <t>1999-03-15</t>
        </is>
      </c>
      <c r="W255" t="inlineStr">
        <is>
          <t>1993-06-02</t>
        </is>
      </c>
      <c r="X255" t="inlineStr">
        <is>
          <t>1993-06-02</t>
        </is>
      </c>
      <c r="Y255" t="n">
        <v>685</v>
      </c>
      <c r="Z255" t="n">
        <v>541</v>
      </c>
      <c r="AA255" t="n">
        <v>821</v>
      </c>
      <c r="AB255" t="n">
        <v>4</v>
      </c>
      <c r="AC255" t="n">
        <v>7</v>
      </c>
      <c r="AD255" t="n">
        <v>28</v>
      </c>
      <c r="AE255" t="n">
        <v>39</v>
      </c>
      <c r="AF255" t="n">
        <v>12</v>
      </c>
      <c r="AG255" t="n">
        <v>16</v>
      </c>
      <c r="AH255" t="n">
        <v>8</v>
      </c>
      <c r="AI255" t="n">
        <v>9</v>
      </c>
      <c r="AJ255" t="n">
        <v>15</v>
      </c>
      <c r="AK255" t="n">
        <v>18</v>
      </c>
      <c r="AL255" t="n">
        <v>2</v>
      </c>
      <c r="AM255" t="n">
        <v>5</v>
      </c>
      <c r="AN255" t="n">
        <v>0</v>
      </c>
      <c r="AO255" t="n">
        <v>1</v>
      </c>
      <c r="AP255" t="inlineStr">
        <is>
          <t>No</t>
        </is>
      </c>
      <c r="AQ255" t="inlineStr">
        <is>
          <t>No</t>
        </is>
      </c>
      <c r="AS255">
        <f>HYPERLINK("https://creighton-primo.hosted.exlibrisgroup.com/primo-explore/search?tab=default_tab&amp;search_scope=EVERYTHING&amp;vid=01CRU&amp;lang=en_US&amp;offset=0&amp;query=any,contains,991000042529702656","Catalog Record")</f>
        <v/>
      </c>
      <c r="AT255">
        <f>HYPERLINK("http://www.worldcat.org/oclc/8666773","WorldCat Record")</f>
        <v/>
      </c>
      <c r="AU255" t="inlineStr">
        <is>
          <t>863762753:eng</t>
        </is>
      </c>
      <c r="AV255" t="inlineStr">
        <is>
          <t>8666773</t>
        </is>
      </c>
      <c r="AW255" t="inlineStr">
        <is>
          <t>991000042529702656</t>
        </is>
      </c>
      <c r="AX255" t="inlineStr">
        <is>
          <t>991000042529702656</t>
        </is>
      </c>
      <c r="AY255" t="inlineStr">
        <is>
          <t>2272438810002656</t>
        </is>
      </c>
      <c r="AZ255" t="inlineStr">
        <is>
          <t>BOOK</t>
        </is>
      </c>
      <c r="BB255" t="inlineStr">
        <is>
          <t>9780300028331</t>
        </is>
      </c>
      <c r="BC255" t="inlineStr">
        <is>
          <t>32285001716926</t>
        </is>
      </c>
      <c r="BD255" t="inlineStr">
        <is>
          <t>893508452</t>
        </is>
      </c>
    </row>
    <row r="256">
      <c r="A256" t="inlineStr">
        <is>
          <t>No</t>
        </is>
      </c>
      <c r="B256" t="inlineStr">
        <is>
          <t>NX449.7.G68 D38 1999</t>
        </is>
      </c>
      <c r="C256" t="inlineStr">
        <is>
          <t>0                      NX 0449700G  68                 D  38          1999</t>
        </is>
      </c>
      <c r="D256" t="inlineStr">
        <is>
          <t>Gothic : four hundred years of excess, horror, evil, and ruin / Richard Davenport-Hines.</t>
        </is>
      </c>
      <c r="F256" t="inlineStr">
        <is>
          <t>No</t>
        </is>
      </c>
      <c r="G256" t="inlineStr">
        <is>
          <t>1</t>
        </is>
      </c>
      <c r="H256" t="inlineStr">
        <is>
          <t>No</t>
        </is>
      </c>
      <c r="I256" t="inlineStr">
        <is>
          <t>No</t>
        </is>
      </c>
      <c r="J256" t="inlineStr">
        <is>
          <t>0</t>
        </is>
      </c>
      <c r="K256" t="inlineStr">
        <is>
          <t>Davenport-Hines, R. P. T. (Richard Peter Treadwell), 1953-</t>
        </is>
      </c>
      <c r="L256" t="inlineStr">
        <is>
          <t>New York : North Point Press, 1999.</t>
        </is>
      </c>
      <c r="M256" t="inlineStr">
        <is>
          <t>1999</t>
        </is>
      </c>
      <c r="N256" t="inlineStr">
        <is>
          <t>1st North Point Press ed.</t>
        </is>
      </c>
      <c r="O256" t="inlineStr">
        <is>
          <t>eng</t>
        </is>
      </c>
      <c r="P256" t="inlineStr">
        <is>
          <t>nyu</t>
        </is>
      </c>
      <c r="R256" t="inlineStr">
        <is>
          <t xml:space="preserve">NX </t>
        </is>
      </c>
      <c r="S256" t="n">
        <v>6</v>
      </c>
      <c r="T256" t="n">
        <v>6</v>
      </c>
      <c r="U256" t="inlineStr">
        <is>
          <t>2006-12-06</t>
        </is>
      </c>
      <c r="V256" t="inlineStr">
        <is>
          <t>2006-12-06</t>
        </is>
      </c>
      <c r="W256" t="inlineStr">
        <is>
          <t>1999-08-12</t>
        </is>
      </c>
      <c r="X256" t="inlineStr">
        <is>
          <t>1999-08-12</t>
        </is>
      </c>
      <c r="Y256" t="n">
        <v>630</v>
      </c>
      <c r="Z256" t="n">
        <v>592</v>
      </c>
      <c r="AA256" t="n">
        <v>655</v>
      </c>
      <c r="AB256" t="n">
        <v>4</v>
      </c>
      <c r="AC256" t="n">
        <v>4</v>
      </c>
      <c r="AD256" t="n">
        <v>16</v>
      </c>
      <c r="AE256" t="n">
        <v>18</v>
      </c>
      <c r="AF256" t="n">
        <v>4</v>
      </c>
      <c r="AG256" t="n">
        <v>5</v>
      </c>
      <c r="AH256" t="n">
        <v>4</v>
      </c>
      <c r="AI256" t="n">
        <v>5</v>
      </c>
      <c r="AJ256" t="n">
        <v>8</v>
      </c>
      <c r="AK256" t="n">
        <v>10</v>
      </c>
      <c r="AL256" t="n">
        <v>2</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HYPERLINK("https://creighton-primo.hosted.exlibrisgroup.com/primo-explore/search?tab=default_tab&amp;search_scope=EVERYTHING&amp;vid=01CRU&amp;lang=en_US&amp;offset=0&amp;query=any,contains,991002972439702656","Catalog Record")</f>
        <v/>
      </c>
      <c r="AT256">
        <f>HYPERLINK("http://www.worldcat.org/oclc/39811751","WorldCat Record")</f>
        <v/>
      </c>
      <c r="AU256" t="inlineStr">
        <is>
          <t>26041640:eng</t>
        </is>
      </c>
      <c r="AV256" t="inlineStr">
        <is>
          <t>39811751</t>
        </is>
      </c>
      <c r="AW256" t="inlineStr">
        <is>
          <t>991002972439702656</t>
        </is>
      </c>
      <c r="AX256" t="inlineStr">
        <is>
          <t>991002972439702656</t>
        </is>
      </c>
      <c r="AY256" t="inlineStr">
        <is>
          <t>2269883650002656</t>
        </is>
      </c>
      <c r="AZ256" t="inlineStr">
        <is>
          <t>BOOK</t>
        </is>
      </c>
      <c r="BB256" t="inlineStr">
        <is>
          <t>9780865475441</t>
        </is>
      </c>
      <c r="BC256" t="inlineStr">
        <is>
          <t>32285003581609</t>
        </is>
      </c>
      <c r="BD256" t="inlineStr">
        <is>
          <t>893498787</t>
        </is>
      </c>
    </row>
    <row r="257">
      <c r="A257" t="inlineStr">
        <is>
          <t>No</t>
        </is>
      </c>
      <c r="B257" t="inlineStr">
        <is>
          <t>NX450.5 .G67</t>
        </is>
      </c>
      <c r="C257" t="inlineStr">
        <is>
          <t>0                      NX 0450500G  67</t>
        </is>
      </c>
      <c r="D257" t="inlineStr">
        <is>
          <t>The Renaissance imagination : essays and lectures / by D. J. Gordon ; collected and edited by Stephen Orgel.</t>
        </is>
      </c>
      <c r="F257" t="inlineStr">
        <is>
          <t>No</t>
        </is>
      </c>
      <c r="G257" t="inlineStr">
        <is>
          <t>1</t>
        </is>
      </c>
      <c r="H257" t="inlineStr">
        <is>
          <t>No</t>
        </is>
      </c>
      <c r="I257" t="inlineStr">
        <is>
          <t>No</t>
        </is>
      </c>
      <c r="J257" t="inlineStr">
        <is>
          <t>0</t>
        </is>
      </c>
      <c r="K257" t="inlineStr">
        <is>
          <t>Gordon, D. J. (Donald James)</t>
        </is>
      </c>
      <c r="L257" t="inlineStr">
        <is>
          <t>Berkeley : University of California Press, c1975.</t>
        </is>
      </c>
      <c r="M257" t="inlineStr">
        <is>
          <t>1975</t>
        </is>
      </c>
      <c r="O257" t="inlineStr">
        <is>
          <t>eng</t>
        </is>
      </c>
      <c r="P257" t="inlineStr">
        <is>
          <t>cau</t>
        </is>
      </c>
      <c r="R257" t="inlineStr">
        <is>
          <t xml:space="preserve">NX </t>
        </is>
      </c>
      <c r="S257" t="n">
        <v>1</v>
      </c>
      <c r="T257" t="n">
        <v>1</v>
      </c>
      <c r="U257" t="inlineStr">
        <is>
          <t>2002-04-16</t>
        </is>
      </c>
      <c r="V257" t="inlineStr">
        <is>
          <t>2002-04-16</t>
        </is>
      </c>
      <c r="W257" t="inlineStr">
        <is>
          <t>1997-08-08</t>
        </is>
      </c>
      <c r="X257" t="inlineStr">
        <is>
          <t>1997-08-08</t>
        </is>
      </c>
      <c r="Y257" t="n">
        <v>943</v>
      </c>
      <c r="Z257" t="n">
        <v>766</v>
      </c>
      <c r="AA257" t="n">
        <v>779</v>
      </c>
      <c r="AB257" t="n">
        <v>7</v>
      </c>
      <c r="AC257" t="n">
        <v>7</v>
      </c>
      <c r="AD257" t="n">
        <v>37</v>
      </c>
      <c r="AE257" t="n">
        <v>38</v>
      </c>
      <c r="AF257" t="n">
        <v>16</v>
      </c>
      <c r="AG257" t="n">
        <v>17</v>
      </c>
      <c r="AH257" t="n">
        <v>8</v>
      </c>
      <c r="AI257" t="n">
        <v>8</v>
      </c>
      <c r="AJ257" t="n">
        <v>17</v>
      </c>
      <c r="AK257" t="n">
        <v>18</v>
      </c>
      <c r="AL257" t="n">
        <v>6</v>
      </c>
      <c r="AM257" t="n">
        <v>6</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HYPERLINK("https://creighton-primo.hosted.exlibrisgroup.com/primo-explore/search?tab=default_tab&amp;search_scope=EVERYTHING&amp;vid=01CRU&amp;lang=en_US&amp;offset=0&amp;query=any,contains,991004039479702656","Catalog Record")</f>
        <v/>
      </c>
      <c r="AT257">
        <f>HYPERLINK("http://www.worldcat.org/oclc/2183784","WorldCat Record")</f>
        <v/>
      </c>
      <c r="AU257" t="inlineStr">
        <is>
          <t>4213524:eng</t>
        </is>
      </c>
      <c r="AV257" t="inlineStr">
        <is>
          <t>2183784</t>
        </is>
      </c>
      <c r="AW257" t="inlineStr">
        <is>
          <t>991004039479702656</t>
        </is>
      </c>
      <c r="AX257" t="inlineStr">
        <is>
          <t>991004039479702656</t>
        </is>
      </c>
      <c r="AY257" t="inlineStr">
        <is>
          <t>2261781840002656</t>
        </is>
      </c>
      <c r="AZ257" t="inlineStr">
        <is>
          <t>BOOK</t>
        </is>
      </c>
      <c r="BB257" t="inlineStr">
        <is>
          <t>9780520028173</t>
        </is>
      </c>
      <c r="BC257" t="inlineStr">
        <is>
          <t>32285003048450</t>
        </is>
      </c>
      <c r="BD257" t="inlineStr">
        <is>
          <t>893506297</t>
        </is>
      </c>
    </row>
    <row r="258">
      <c r="A258" t="inlineStr">
        <is>
          <t>No</t>
        </is>
      </c>
      <c r="B258" t="inlineStr">
        <is>
          <t>NX450.5 .P37 1980</t>
        </is>
      </c>
      <c r="C258" t="inlineStr">
        <is>
          <t>0                      NX 0450500P  37          1980</t>
        </is>
      </c>
      <c r="D258" t="inlineStr">
        <is>
          <t>The Renaissance : studies in art and poetry : the 1893 text / Walter Pater ; edited, with textual and explanatory notes, by Donald L. Hill.</t>
        </is>
      </c>
      <c r="F258" t="inlineStr">
        <is>
          <t>No</t>
        </is>
      </c>
      <c r="G258" t="inlineStr">
        <is>
          <t>1</t>
        </is>
      </c>
      <c r="H258" t="inlineStr">
        <is>
          <t>No</t>
        </is>
      </c>
      <c r="I258" t="inlineStr">
        <is>
          <t>No</t>
        </is>
      </c>
      <c r="J258" t="inlineStr">
        <is>
          <t>0</t>
        </is>
      </c>
      <c r="K258" t="inlineStr">
        <is>
          <t>Pater, Walter, 1839-1894.</t>
        </is>
      </c>
      <c r="L258" t="inlineStr">
        <is>
          <t>Berkeley : University of California Press, c1980.</t>
        </is>
      </c>
      <c r="M258" t="inlineStr">
        <is>
          <t>1980</t>
        </is>
      </c>
      <c r="O258" t="inlineStr">
        <is>
          <t>eng</t>
        </is>
      </c>
      <c r="P258" t="inlineStr">
        <is>
          <t>cau</t>
        </is>
      </c>
      <c r="R258" t="inlineStr">
        <is>
          <t xml:space="preserve">NX </t>
        </is>
      </c>
      <c r="S258" t="n">
        <v>5</v>
      </c>
      <c r="T258" t="n">
        <v>5</v>
      </c>
      <c r="U258" t="inlineStr">
        <is>
          <t>2004-11-06</t>
        </is>
      </c>
      <c r="V258" t="inlineStr">
        <is>
          <t>2004-11-06</t>
        </is>
      </c>
      <c r="W258" t="inlineStr">
        <is>
          <t>1993-06-02</t>
        </is>
      </c>
      <c r="X258" t="inlineStr">
        <is>
          <t>1993-06-02</t>
        </is>
      </c>
      <c r="Y258" t="n">
        <v>722</v>
      </c>
      <c r="Z258" t="n">
        <v>598</v>
      </c>
      <c r="AA258" t="n">
        <v>670</v>
      </c>
      <c r="AB258" t="n">
        <v>5</v>
      </c>
      <c r="AC258" t="n">
        <v>5</v>
      </c>
      <c r="AD258" t="n">
        <v>31</v>
      </c>
      <c r="AE258" t="n">
        <v>31</v>
      </c>
      <c r="AF258" t="n">
        <v>12</v>
      </c>
      <c r="AG258" t="n">
        <v>12</v>
      </c>
      <c r="AH258" t="n">
        <v>10</v>
      </c>
      <c r="AI258" t="n">
        <v>10</v>
      </c>
      <c r="AJ258" t="n">
        <v>16</v>
      </c>
      <c r="AK258" t="n">
        <v>16</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HYPERLINK("https://creighton-primo.hosted.exlibrisgroup.com/primo-explore/search?tab=default_tab&amp;search_scope=EVERYTHING&amp;vid=01CRU&amp;lang=en_US&amp;offset=0&amp;query=any,contains,991004959159702656","Catalog Record")</f>
        <v/>
      </c>
      <c r="AT258">
        <f>HYPERLINK("http://www.worldcat.org/oclc/6301220","WorldCat Record")</f>
        <v/>
      </c>
      <c r="AU258" t="inlineStr">
        <is>
          <t>4915291509:eng</t>
        </is>
      </c>
      <c r="AV258" t="inlineStr">
        <is>
          <t>6301220</t>
        </is>
      </c>
      <c r="AW258" t="inlineStr">
        <is>
          <t>991004959159702656</t>
        </is>
      </c>
      <c r="AX258" t="inlineStr">
        <is>
          <t>991004959159702656</t>
        </is>
      </c>
      <c r="AY258" t="inlineStr">
        <is>
          <t>2270028120002656</t>
        </is>
      </c>
      <c r="AZ258" t="inlineStr">
        <is>
          <t>BOOK</t>
        </is>
      </c>
      <c r="BB258" t="inlineStr">
        <is>
          <t>9780520033252</t>
        </is>
      </c>
      <c r="BC258" t="inlineStr">
        <is>
          <t>32285001716934</t>
        </is>
      </c>
      <c r="BD258" t="inlineStr">
        <is>
          <t>893722674</t>
        </is>
      </c>
    </row>
    <row r="259">
      <c r="A259" t="inlineStr">
        <is>
          <t>No</t>
        </is>
      </c>
      <c r="B259" t="inlineStr">
        <is>
          <t>NX450.6.M3 H3813 1986</t>
        </is>
      </c>
      <c r="C259" t="inlineStr">
        <is>
          <t>0                      NX 0450600M  3                  H  3813        1986</t>
        </is>
      </c>
      <c r="D259" t="inlineStr">
        <is>
          <t>Mannerism : the crisis of the Renaissance and the origin of modern art / Arnold Hauser ; [translated in collaboration with the author by Eric Mosbacher].</t>
        </is>
      </c>
      <c r="F259" t="inlineStr">
        <is>
          <t>No</t>
        </is>
      </c>
      <c r="G259" t="inlineStr">
        <is>
          <t>1</t>
        </is>
      </c>
      <c r="H259" t="inlineStr">
        <is>
          <t>No</t>
        </is>
      </c>
      <c r="I259" t="inlineStr">
        <is>
          <t>No</t>
        </is>
      </c>
      <c r="J259" t="inlineStr">
        <is>
          <t>0</t>
        </is>
      </c>
      <c r="K259" t="inlineStr">
        <is>
          <t>Hauser, Arnold, 1892-1978.</t>
        </is>
      </c>
      <c r="L259" t="inlineStr">
        <is>
          <t>Cambridge, Mass. : Belknap Press of Harvard University Press, [1986], c1965.</t>
        </is>
      </c>
      <c r="M259" t="inlineStr">
        <is>
          <t>1986</t>
        </is>
      </c>
      <c r="O259" t="inlineStr">
        <is>
          <t>eng</t>
        </is>
      </c>
      <c r="P259" t="inlineStr">
        <is>
          <t>mau</t>
        </is>
      </c>
      <c r="R259" t="inlineStr">
        <is>
          <t xml:space="preserve">NX </t>
        </is>
      </c>
      <c r="S259" t="n">
        <v>6</v>
      </c>
      <c r="T259" t="n">
        <v>6</v>
      </c>
      <c r="U259" t="inlineStr">
        <is>
          <t>2008-10-12</t>
        </is>
      </c>
      <c r="V259" t="inlineStr">
        <is>
          <t>2008-10-12</t>
        </is>
      </c>
      <c r="W259" t="inlineStr">
        <is>
          <t>1992-12-18</t>
        </is>
      </c>
      <c r="X259" t="inlineStr">
        <is>
          <t>1992-12-18</t>
        </is>
      </c>
      <c r="Y259" t="n">
        <v>221</v>
      </c>
      <c r="Z259" t="n">
        <v>191</v>
      </c>
      <c r="AA259" t="n">
        <v>402</v>
      </c>
      <c r="AB259" t="n">
        <v>1</v>
      </c>
      <c r="AC259" t="n">
        <v>3</v>
      </c>
      <c r="AD259" t="n">
        <v>10</v>
      </c>
      <c r="AE259" t="n">
        <v>20</v>
      </c>
      <c r="AF259" t="n">
        <v>5</v>
      </c>
      <c r="AG259" t="n">
        <v>10</v>
      </c>
      <c r="AH259" t="n">
        <v>2</v>
      </c>
      <c r="AI259" t="n">
        <v>3</v>
      </c>
      <c r="AJ259" t="n">
        <v>5</v>
      </c>
      <c r="AK259" t="n">
        <v>10</v>
      </c>
      <c r="AL259" t="n">
        <v>0</v>
      </c>
      <c r="AM259" t="n">
        <v>2</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HYPERLINK("https://creighton-primo.hosted.exlibrisgroup.com/primo-explore/search?tab=default_tab&amp;search_scope=EVERYTHING&amp;vid=01CRU&amp;lang=en_US&amp;offset=0&amp;query=any,contains,991000734059702656","Catalog Record")</f>
        <v/>
      </c>
      <c r="AT259">
        <f>HYPERLINK("http://www.worldcat.org/oclc/12751818","WorldCat Record")</f>
        <v/>
      </c>
      <c r="AU259" t="inlineStr">
        <is>
          <t>2542135254:eng</t>
        </is>
      </c>
      <c r="AV259" t="inlineStr">
        <is>
          <t>12751818</t>
        </is>
      </c>
      <c r="AW259" t="inlineStr">
        <is>
          <t>991000734059702656</t>
        </is>
      </c>
      <c r="AX259" t="inlineStr">
        <is>
          <t>991000734059702656</t>
        </is>
      </c>
      <c r="AY259" t="inlineStr">
        <is>
          <t>2269116850002656</t>
        </is>
      </c>
      <c r="AZ259" t="inlineStr">
        <is>
          <t>BOOK</t>
        </is>
      </c>
      <c r="BB259" t="inlineStr">
        <is>
          <t>9780674548152</t>
        </is>
      </c>
      <c r="BC259" t="inlineStr">
        <is>
          <t>32285001444677</t>
        </is>
      </c>
      <c r="BD259" t="inlineStr">
        <is>
          <t>893878316</t>
        </is>
      </c>
    </row>
    <row r="260">
      <c r="A260" t="inlineStr">
        <is>
          <t>No</t>
        </is>
      </c>
      <c r="B260" t="inlineStr">
        <is>
          <t>NX452.5.N4 P3 1983</t>
        </is>
      </c>
      <c r="C260" t="inlineStr">
        <is>
          <t>0                      NX 0452500N  4                  P  3           1983</t>
        </is>
      </c>
      <c r="D260" t="inlineStr">
        <is>
          <t>Representations of revolution, 1789-1820 / Ronald Paulson.</t>
        </is>
      </c>
      <c r="F260" t="inlineStr">
        <is>
          <t>No</t>
        </is>
      </c>
      <c r="G260" t="inlineStr">
        <is>
          <t>1</t>
        </is>
      </c>
      <c r="H260" t="inlineStr">
        <is>
          <t>No</t>
        </is>
      </c>
      <c r="I260" t="inlineStr">
        <is>
          <t>No</t>
        </is>
      </c>
      <c r="J260" t="inlineStr">
        <is>
          <t>0</t>
        </is>
      </c>
      <c r="K260" t="inlineStr">
        <is>
          <t>Paulson, Ronald.</t>
        </is>
      </c>
      <c r="L260" t="inlineStr">
        <is>
          <t>New Haven [Conn.] : Yale University Press, c1983.</t>
        </is>
      </c>
      <c r="M260" t="inlineStr">
        <is>
          <t>1983</t>
        </is>
      </c>
      <c r="O260" t="inlineStr">
        <is>
          <t>eng</t>
        </is>
      </c>
      <c r="P260" t="inlineStr">
        <is>
          <t>ctu</t>
        </is>
      </c>
      <c r="R260" t="inlineStr">
        <is>
          <t xml:space="preserve">NX </t>
        </is>
      </c>
      <c r="S260" t="n">
        <v>4</v>
      </c>
      <c r="T260" t="n">
        <v>4</v>
      </c>
      <c r="U260" t="inlineStr">
        <is>
          <t>2003-02-28</t>
        </is>
      </c>
      <c r="V260" t="inlineStr">
        <is>
          <t>2003-02-28</t>
        </is>
      </c>
      <c r="W260" t="inlineStr">
        <is>
          <t>1993-06-02</t>
        </is>
      </c>
      <c r="X260" t="inlineStr">
        <is>
          <t>1993-06-02</t>
        </is>
      </c>
      <c r="Y260" t="n">
        <v>855</v>
      </c>
      <c r="Z260" t="n">
        <v>655</v>
      </c>
      <c r="AA260" t="n">
        <v>655</v>
      </c>
      <c r="AB260" t="n">
        <v>7</v>
      </c>
      <c r="AC260" t="n">
        <v>7</v>
      </c>
      <c r="AD260" t="n">
        <v>39</v>
      </c>
      <c r="AE260" t="n">
        <v>39</v>
      </c>
      <c r="AF260" t="n">
        <v>14</v>
      </c>
      <c r="AG260" t="n">
        <v>14</v>
      </c>
      <c r="AH260" t="n">
        <v>10</v>
      </c>
      <c r="AI260" t="n">
        <v>10</v>
      </c>
      <c r="AJ260" t="n">
        <v>22</v>
      </c>
      <c r="AK260" t="n">
        <v>22</v>
      </c>
      <c r="AL260" t="n">
        <v>6</v>
      </c>
      <c r="AM260" t="n">
        <v>6</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HYPERLINK("https://creighton-primo.hosted.exlibrisgroup.com/primo-explore/search?tab=default_tab&amp;search_scope=EVERYTHING&amp;vid=01CRU&amp;lang=en_US&amp;offset=0&amp;query=any,contains,991000035769702656","Catalog Record")</f>
        <v/>
      </c>
      <c r="AT260">
        <f>HYPERLINK("http://www.worldcat.org/oclc/8627547","WorldCat Record")</f>
        <v/>
      </c>
      <c r="AU260" t="inlineStr">
        <is>
          <t>10035986:eng</t>
        </is>
      </c>
      <c r="AV260" t="inlineStr">
        <is>
          <t>8627547</t>
        </is>
      </c>
      <c r="AW260" t="inlineStr">
        <is>
          <t>991000035769702656</t>
        </is>
      </c>
      <c r="AX260" t="inlineStr">
        <is>
          <t>991000035769702656</t>
        </is>
      </c>
      <c r="AY260" t="inlineStr">
        <is>
          <t>2261703150002656</t>
        </is>
      </c>
      <c r="AZ260" t="inlineStr">
        <is>
          <t>BOOK</t>
        </is>
      </c>
      <c r="BB260" t="inlineStr">
        <is>
          <t>9780300028645</t>
        </is>
      </c>
      <c r="BC260" t="inlineStr">
        <is>
          <t>32285001716942</t>
        </is>
      </c>
      <c r="BD260" t="inlineStr">
        <is>
          <t>893695523</t>
        </is>
      </c>
    </row>
    <row r="261">
      <c r="A261" t="inlineStr">
        <is>
          <t>No</t>
        </is>
      </c>
      <c r="B261" t="inlineStr">
        <is>
          <t>NX454.5.M63 M6 1986</t>
        </is>
      </c>
      <c r="C261" t="inlineStr">
        <is>
          <t>0                      NX 0454500M  63                 M  6           1986</t>
        </is>
      </c>
      <c r="D261" t="inlineStr">
        <is>
          <t>Modernism : challenges and perspectives / edited by Monique Chefdor, Ricardo Quinones and Albert Wachtel.</t>
        </is>
      </c>
      <c r="F261" t="inlineStr">
        <is>
          <t>No</t>
        </is>
      </c>
      <c r="G261" t="inlineStr">
        <is>
          <t>1</t>
        </is>
      </c>
      <c r="H261" t="inlineStr">
        <is>
          <t>No</t>
        </is>
      </c>
      <c r="I261" t="inlineStr">
        <is>
          <t>No</t>
        </is>
      </c>
      <c r="J261" t="inlineStr">
        <is>
          <t>0</t>
        </is>
      </c>
      <c r="L261" t="inlineStr">
        <is>
          <t>Urbana : University of Illinois Press, c1986.</t>
        </is>
      </c>
      <c r="M261" t="inlineStr">
        <is>
          <t>1986</t>
        </is>
      </c>
      <c r="O261" t="inlineStr">
        <is>
          <t>eng</t>
        </is>
      </c>
      <c r="P261" t="inlineStr">
        <is>
          <t>ilu</t>
        </is>
      </c>
      <c r="R261" t="inlineStr">
        <is>
          <t xml:space="preserve">NX </t>
        </is>
      </c>
      <c r="S261" t="n">
        <v>4</v>
      </c>
      <c r="T261" t="n">
        <v>4</v>
      </c>
      <c r="U261" t="inlineStr">
        <is>
          <t>1996-10-01</t>
        </is>
      </c>
      <c r="V261" t="inlineStr">
        <is>
          <t>1996-10-01</t>
        </is>
      </c>
      <c r="W261" t="inlineStr">
        <is>
          <t>1990-03-29</t>
        </is>
      </c>
      <c r="X261" t="inlineStr">
        <is>
          <t>1990-03-29</t>
        </is>
      </c>
      <c r="Y261" t="n">
        <v>649</v>
      </c>
      <c r="Z261" t="n">
        <v>539</v>
      </c>
      <c r="AA261" t="n">
        <v>546</v>
      </c>
      <c r="AB261" t="n">
        <v>4</v>
      </c>
      <c r="AC261" t="n">
        <v>4</v>
      </c>
      <c r="AD261" t="n">
        <v>25</v>
      </c>
      <c r="AE261" t="n">
        <v>25</v>
      </c>
      <c r="AF261" t="n">
        <v>9</v>
      </c>
      <c r="AG261" t="n">
        <v>9</v>
      </c>
      <c r="AH261" t="n">
        <v>7</v>
      </c>
      <c r="AI261" t="n">
        <v>7</v>
      </c>
      <c r="AJ261" t="n">
        <v>13</v>
      </c>
      <c r="AK261" t="n">
        <v>13</v>
      </c>
      <c r="AL261" t="n">
        <v>3</v>
      </c>
      <c r="AM261" t="n">
        <v>3</v>
      </c>
      <c r="AN261" t="n">
        <v>0</v>
      </c>
      <c r="AO261" t="n">
        <v>0</v>
      </c>
      <c r="AP261" t="inlineStr">
        <is>
          <t>No</t>
        </is>
      </c>
      <c r="AQ261" t="inlineStr">
        <is>
          <t>Yes</t>
        </is>
      </c>
      <c r="AR261">
        <f>HYPERLINK("http://catalog.hathitrust.org/Record/000483898","HathiTrust Record")</f>
        <v/>
      </c>
      <c r="AS261">
        <f>HYPERLINK("https://creighton-primo.hosted.exlibrisgroup.com/primo-explore/search?tab=default_tab&amp;search_scope=EVERYTHING&amp;vid=01CRU&amp;lang=en_US&amp;offset=0&amp;query=any,contains,991000513359702656","Catalog Record")</f>
        <v/>
      </c>
      <c r="AT261">
        <f>HYPERLINK("http://www.worldcat.org/oclc/11261350","WorldCat Record")</f>
        <v/>
      </c>
      <c r="AU261" t="inlineStr">
        <is>
          <t>452680830:eng</t>
        </is>
      </c>
      <c r="AV261" t="inlineStr">
        <is>
          <t>11261350</t>
        </is>
      </c>
      <c r="AW261" t="inlineStr">
        <is>
          <t>991000513359702656</t>
        </is>
      </c>
      <c r="AX261" t="inlineStr">
        <is>
          <t>991000513359702656</t>
        </is>
      </c>
      <c r="AY261" t="inlineStr">
        <is>
          <t>2265562750002656</t>
        </is>
      </c>
      <c r="AZ261" t="inlineStr">
        <is>
          <t>BOOK</t>
        </is>
      </c>
      <c r="BB261" t="inlineStr">
        <is>
          <t>9780252012075</t>
        </is>
      </c>
      <c r="BC261" t="inlineStr">
        <is>
          <t>32285000107333</t>
        </is>
      </c>
      <c r="BD261" t="inlineStr">
        <is>
          <t>893878099</t>
        </is>
      </c>
    </row>
    <row r="262">
      <c r="A262" t="inlineStr">
        <is>
          <t>No</t>
        </is>
      </c>
      <c r="B262" t="inlineStr">
        <is>
          <t>NX454.5.R6 R67 1984</t>
        </is>
      </c>
      <c r="C262" t="inlineStr">
        <is>
          <t>0                      NX 0454500R  6                  R  67          1984</t>
        </is>
      </c>
      <c r="D262" t="inlineStr">
        <is>
          <t>Romanticism and realism : the mythology of nineteenth-century art / Charles Rosen and Henri Zerner.</t>
        </is>
      </c>
      <c r="F262" t="inlineStr">
        <is>
          <t>No</t>
        </is>
      </c>
      <c r="G262" t="inlineStr">
        <is>
          <t>1</t>
        </is>
      </c>
      <c r="H262" t="inlineStr">
        <is>
          <t>No</t>
        </is>
      </c>
      <c r="I262" t="inlineStr">
        <is>
          <t>No</t>
        </is>
      </c>
      <c r="J262" t="inlineStr">
        <is>
          <t>0</t>
        </is>
      </c>
      <c r="K262" t="inlineStr">
        <is>
          <t>Rosen, Charles, 1927-2012.</t>
        </is>
      </c>
      <c r="L262" t="inlineStr">
        <is>
          <t>New York : Viking Press, 1984.</t>
        </is>
      </c>
      <c r="M262" t="inlineStr">
        <is>
          <t>1984</t>
        </is>
      </c>
      <c r="O262" t="inlineStr">
        <is>
          <t>eng</t>
        </is>
      </c>
      <c r="P262" t="inlineStr">
        <is>
          <t>nyu</t>
        </is>
      </c>
      <c r="R262" t="inlineStr">
        <is>
          <t xml:space="preserve">NX </t>
        </is>
      </c>
      <c r="S262" t="n">
        <v>4</v>
      </c>
      <c r="T262" t="n">
        <v>4</v>
      </c>
      <c r="U262" t="inlineStr">
        <is>
          <t>2007-04-20</t>
        </is>
      </c>
      <c r="V262" t="inlineStr">
        <is>
          <t>2007-04-20</t>
        </is>
      </c>
      <c r="W262" t="inlineStr">
        <is>
          <t>1993-01-19</t>
        </is>
      </c>
      <c r="X262" t="inlineStr">
        <is>
          <t>1993-01-19</t>
        </is>
      </c>
      <c r="Y262" t="n">
        <v>793</v>
      </c>
      <c r="Z262" t="n">
        <v>694</v>
      </c>
      <c r="AA262" t="n">
        <v>776</v>
      </c>
      <c r="AB262" t="n">
        <v>5</v>
      </c>
      <c r="AC262" t="n">
        <v>5</v>
      </c>
      <c r="AD262" t="n">
        <v>26</v>
      </c>
      <c r="AE262" t="n">
        <v>31</v>
      </c>
      <c r="AF262" t="n">
        <v>11</v>
      </c>
      <c r="AG262" t="n">
        <v>14</v>
      </c>
      <c r="AH262" t="n">
        <v>9</v>
      </c>
      <c r="AI262" t="n">
        <v>10</v>
      </c>
      <c r="AJ262" t="n">
        <v>10</v>
      </c>
      <c r="AK262" t="n">
        <v>13</v>
      </c>
      <c r="AL262" t="n">
        <v>2</v>
      </c>
      <c r="AM262" t="n">
        <v>2</v>
      </c>
      <c r="AN262" t="n">
        <v>0</v>
      </c>
      <c r="AO262" t="n">
        <v>0</v>
      </c>
      <c r="AP262" t="inlineStr">
        <is>
          <t>No</t>
        </is>
      </c>
      <c r="AQ262" t="inlineStr">
        <is>
          <t>Yes</t>
        </is>
      </c>
      <c r="AR262">
        <f>HYPERLINK("http://catalog.hathitrust.org/Record/000284336","HathiTrust Record")</f>
        <v/>
      </c>
      <c r="AS262">
        <f>HYPERLINK("https://creighton-primo.hosted.exlibrisgroup.com/primo-explore/search?tab=default_tab&amp;search_scope=EVERYTHING&amp;vid=01CRU&amp;lang=en_US&amp;offset=0&amp;query=any,contains,991000234529702656","Catalog Record")</f>
        <v/>
      </c>
      <c r="AT262">
        <f>HYPERLINK("http://www.worldcat.org/oclc/9646424","WorldCat Record")</f>
        <v/>
      </c>
      <c r="AU262" t="inlineStr">
        <is>
          <t>4451798882:eng</t>
        </is>
      </c>
      <c r="AV262" t="inlineStr">
        <is>
          <t>9646424</t>
        </is>
      </c>
      <c r="AW262" t="inlineStr">
        <is>
          <t>991000234529702656</t>
        </is>
      </c>
      <c r="AX262" t="inlineStr">
        <is>
          <t>991000234529702656</t>
        </is>
      </c>
      <c r="AY262" t="inlineStr">
        <is>
          <t>2268963540002656</t>
        </is>
      </c>
      <c r="AZ262" t="inlineStr">
        <is>
          <t>BOOK</t>
        </is>
      </c>
      <c r="BB262" t="inlineStr">
        <is>
          <t>9780670548170</t>
        </is>
      </c>
      <c r="BC262" t="inlineStr">
        <is>
          <t>32285001476588</t>
        </is>
      </c>
      <c r="BD262" t="inlineStr">
        <is>
          <t>893589292</t>
        </is>
      </c>
    </row>
    <row r="263">
      <c r="A263" t="inlineStr">
        <is>
          <t>No</t>
        </is>
      </c>
      <c r="B263" t="inlineStr">
        <is>
          <t>NX456 .A76 1991</t>
        </is>
      </c>
      <c r="C263" t="inlineStr">
        <is>
          <t>0                      NX 0456000A  76          1991</t>
        </is>
      </c>
      <c r="D263" t="inlineStr">
        <is>
          <t>The Arts : a history of expression in the 20th century / edited by Ronald Tamplin.</t>
        </is>
      </c>
      <c r="F263" t="inlineStr">
        <is>
          <t>No</t>
        </is>
      </c>
      <c r="G263" t="inlineStr">
        <is>
          <t>1</t>
        </is>
      </c>
      <c r="H263" t="inlineStr">
        <is>
          <t>No</t>
        </is>
      </c>
      <c r="I263" t="inlineStr">
        <is>
          <t>No</t>
        </is>
      </c>
      <c r="J263" t="inlineStr">
        <is>
          <t>0</t>
        </is>
      </c>
      <c r="L263" t="inlineStr">
        <is>
          <t>Oxford ; New York : Oxford University Press, 1991.</t>
        </is>
      </c>
      <c r="M263" t="inlineStr">
        <is>
          <t>1991</t>
        </is>
      </c>
      <c r="O263" t="inlineStr">
        <is>
          <t>eng</t>
        </is>
      </c>
      <c r="P263" t="inlineStr">
        <is>
          <t>enk</t>
        </is>
      </c>
      <c r="R263" t="inlineStr">
        <is>
          <t xml:space="preserve">NX </t>
        </is>
      </c>
      <c r="S263" t="n">
        <v>3</v>
      </c>
      <c r="T263" t="n">
        <v>3</v>
      </c>
      <c r="U263" t="inlineStr">
        <is>
          <t>1993-09-19</t>
        </is>
      </c>
      <c r="V263" t="inlineStr">
        <is>
          <t>1993-09-19</t>
        </is>
      </c>
      <c r="W263" t="inlineStr">
        <is>
          <t>1991-10-24</t>
        </is>
      </c>
      <c r="X263" t="inlineStr">
        <is>
          <t>1991-10-24</t>
        </is>
      </c>
      <c r="Y263" t="n">
        <v>746</v>
      </c>
      <c r="Z263" t="n">
        <v>669</v>
      </c>
      <c r="AA263" t="n">
        <v>691</v>
      </c>
      <c r="AB263" t="n">
        <v>5</v>
      </c>
      <c r="AC263" t="n">
        <v>5</v>
      </c>
      <c r="AD263" t="n">
        <v>16</v>
      </c>
      <c r="AE263" t="n">
        <v>17</v>
      </c>
      <c r="AF263" t="n">
        <v>7</v>
      </c>
      <c r="AG263" t="n">
        <v>7</v>
      </c>
      <c r="AH263" t="n">
        <v>3</v>
      </c>
      <c r="AI263" t="n">
        <v>3</v>
      </c>
      <c r="AJ263" t="n">
        <v>7</v>
      </c>
      <c r="AK263" t="n">
        <v>8</v>
      </c>
      <c r="AL263" t="n">
        <v>2</v>
      </c>
      <c r="AM263" t="n">
        <v>2</v>
      </c>
      <c r="AN263" t="n">
        <v>0</v>
      </c>
      <c r="AO263" t="n">
        <v>0</v>
      </c>
      <c r="AP263" t="inlineStr">
        <is>
          <t>No</t>
        </is>
      </c>
      <c r="AQ263" t="inlineStr">
        <is>
          <t>Yes</t>
        </is>
      </c>
      <c r="AR263">
        <f>HYPERLINK("http://catalog.hathitrust.org/Record/002471708","HathiTrust Record")</f>
        <v/>
      </c>
      <c r="AS263">
        <f>HYPERLINK("https://creighton-primo.hosted.exlibrisgroup.com/primo-explore/search?tab=default_tab&amp;search_scope=EVERYTHING&amp;vid=01CRU&amp;lang=en_US&amp;offset=0&amp;query=any,contains,991001889909702656","Catalog Record")</f>
        <v/>
      </c>
      <c r="AT263">
        <f>HYPERLINK("http://www.worldcat.org/oclc/23861182","WorldCat Record")</f>
        <v/>
      </c>
      <c r="AU263" t="inlineStr">
        <is>
          <t>836838788:eng</t>
        </is>
      </c>
      <c r="AV263" t="inlineStr">
        <is>
          <t>23861182</t>
        </is>
      </c>
      <c r="AW263" t="inlineStr">
        <is>
          <t>991001889909702656</t>
        </is>
      </c>
      <c r="AX263" t="inlineStr">
        <is>
          <t>991001889909702656</t>
        </is>
      </c>
      <c r="AY263" t="inlineStr">
        <is>
          <t>2271841700002656</t>
        </is>
      </c>
      <c r="AZ263" t="inlineStr">
        <is>
          <t>BOOK</t>
        </is>
      </c>
      <c r="BB263" t="inlineStr">
        <is>
          <t>9780195208528</t>
        </is>
      </c>
      <c r="BC263" t="inlineStr">
        <is>
          <t>32285000728260</t>
        </is>
      </c>
      <c r="BD263" t="inlineStr">
        <is>
          <t>893340787</t>
        </is>
      </c>
    </row>
    <row r="264">
      <c r="A264" t="inlineStr">
        <is>
          <t>No</t>
        </is>
      </c>
      <c r="B264" t="inlineStr">
        <is>
          <t>NX456 .B38</t>
        </is>
      </c>
      <c r="C264" t="inlineStr">
        <is>
          <t>0                      NX 0456000B  38</t>
        </is>
      </c>
      <c r="D264" t="inlineStr">
        <is>
          <t>The use and abuse of art.</t>
        </is>
      </c>
      <c r="F264" t="inlineStr">
        <is>
          <t>No</t>
        </is>
      </c>
      <c r="G264" t="inlineStr">
        <is>
          <t>1</t>
        </is>
      </c>
      <c r="H264" t="inlineStr">
        <is>
          <t>No</t>
        </is>
      </c>
      <c r="I264" t="inlineStr">
        <is>
          <t>No</t>
        </is>
      </c>
      <c r="J264" t="inlineStr">
        <is>
          <t>0</t>
        </is>
      </c>
      <c r="K264" t="inlineStr">
        <is>
          <t>Barzun, Jacques, 1907-2012.</t>
        </is>
      </c>
      <c r="L264" t="inlineStr">
        <is>
          <t>[Princeton, N.J.] : Princeton University Press, [1974]</t>
        </is>
      </c>
      <c r="M264" t="inlineStr">
        <is>
          <t>1974</t>
        </is>
      </c>
      <c r="O264" t="inlineStr">
        <is>
          <t>eng</t>
        </is>
      </c>
      <c r="P264" t="inlineStr">
        <is>
          <t>nju</t>
        </is>
      </c>
      <c r="Q264" t="inlineStr">
        <is>
          <t>Bollingen series, 35. The A. W. Mellon lectures in the fine arts, 22</t>
        </is>
      </c>
      <c r="R264" t="inlineStr">
        <is>
          <t xml:space="preserve">NX </t>
        </is>
      </c>
      <c r="S264" t="n">
        <v>1</v>
      </c>
      <c r="T264" t="n">
        <v>1</v>
      </c>
      <c r="U264" t="inlineStr">
        <is>
          <t>2004-11-20</t>
        </is>
      </c>
      <c r="V264" t="inlineStr">
        <is>
          <t>2004-11-20</t>
        </is>
      </c>
      <c r="W264" t="inlineStr">
        <is>
          <t>1997-08-08</t>
        </is>
      </c>
      <c r="X264" t="inlineStr">
        <is>
          <t>1997-08-08</t>
        </is>
      </c>
      <c r="Y264" t="n">
        <v>1287</v>
      </c>
      <c r="Z264" t="n">
        <v>1074</v>
      </c>
      <c r="AA264" t="n">
        <v>1273</v>
      </c>
      <c r="AB264" t="n">
        <v>7</v>
      </c>
      <c r="AC264" t="n">
        <v>8</v>
      </c>
      <c r="AD264" t="n">
        <v>42</v>
      </c>
      <c r="AE264" t="n">
        <v>47</v>
      </c>
      <c r="AF264" t="n">
        <v>17</v>
      </c>
      <c r="AG264" t="n">
        <v>20</v>
      </c>
      <c r="AH264" t="n">
        <v>11</v>
      </c>
      <c r="AI264" t="n">
        <v>11</v>
      </c>
      <c r="AJ264" t="n">
        <v>22</v>
      </c>
      <c r="AK264" t="n">
        <v>23</v>
      </c>
      <c r="AL264" t="n">
        <v>5</v>
      </c>
      <c r="AM264" t="n">
        <v>6</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HYPERLINK("https://creighton-primo.hosted.exlibrisgroup.com/primo-explore/search?tab=default_tab&amp;search_scope=EVERYTHING&amp;vid=01CRU&amp;lang=en_US&amp;offset=0&amp;query=any,contains,991003276569702656","Catalog Record")</f>
        <v/>
      </c>
      <c r="AT264">
        <f>HYPERLINK("http://www.worldcat.org/oclc/800578","WorldCat Record")</f>
        <v/>
      </c>
      <c r="AU264" t="inlineStr">
        <is>
          <t>440809:eng</t>
        </is>
      </c>
      <c r="AV264" t="inlineStr">
        <is>
          <t>800578</t>
        </is>
      </c>
      <c r="AW264" t="inlineStr">
        <is>
          <t>991003276569702656</t>
        </is>
      </c>
      <c r="AX264" t="inlineStr">
        <is>
          <t>991003276569702656</t>
        </is>
      </c>
      <c r="AY264" t="inlineStr">
        <is>
          <t>2266983670002656</t>
        </is>
      </c>
      <c r="AZ264" t="inlineStr">
        <is>
          <t>BOOK</t>
        </is>
      </c>
      <c r="BB264" t="inlineStr">
        <is>
          <t>9780691099033</t>
        </is>
      </c>
      <c r="BC264" t="inlineStr">
        <is>
          <t>32285003048492</t>
        </is>
      </c>
      <c r="BD264" t="inlineStr">
        <is>
          <t>893793479</t>
        </is>
      </c>
    </row>
    <row r="265">
      <c r="A265" t="inlineStr">
        <is>
          <t>No</t>
        </is>
      </c>
      <c r="B265" t="inlineStr">
        <is>
          <t>NX456 .G265 2000</t>
        </is>
      </c>
      <c r="C265" t="inlineStr">
        <is>
          <t>0                      NX 0456000G  265         2000</t>
        </is>
      </c>
      <c r="D265" t="inlineStr">
        <is>
          <t>Making choices : 1929, 1939, 1948, 1955 / Peter Galassi, Robert Storr, Anne Umland.</t>
        </is>
      </c>
      <c r="F265" t="inlineStr">
        <is>
          <t>No</t>
        </is>
      </c>
      <c r="G265" t="inlineStr">
        <is>
          <t>1</t>
        </is>
      </c>
      <c r="H265" t="inlineStr">
        <is>
          <t>No</t>
        </is>
      </c>
      <c r="I265" t="inlineStr">
        <is>
          <t>No</t>
        </is>
      </c>
      <c r="J265" t="inlineStr">
        <is>
          <t>0</t>
        </is>
      </c>
      <c r="K265" t="inlineStr">
        <is>
          <t>Galassi, Peter.</t>
        </is>
      </c>
      <c r="L265" t="inlineStr">
        <is>
          <t>New York : Museum of Modern Art : Distributed by Harry N. Abrams, 2000.</t>
        </is>
      </c>
      <c r="M265" t="inlineStr">
        <is>
          <t>2000</t>
        </is>
      </c>
      <c r="O265" t="inlineStr">
        <is>
          <t>eng</t>
        </is>
      </c>
      <c r="P265" t="inlineStr">
        <is>
          <t>nyu</t>
        </is>
      </c>
      <c r="R265" t="inlineStr">
        <is>
          <t xml:space="preserve">NX </t>
        </is>
      </c>
      <c r="S265" t="n">
        <v>3</v>
      </c>
      <c r="T265" t="n">
        <v>3</v>
      </c>
      <c r="U265" t="inlineStr">
        <is>
          <t>2008-10-23</t>
        </is>
      </c>
      <c r="V265" t="inlineStr">
        <is>
          <t>2008-10-23</t>
        </is>
      </c>
      <c r="W265" t="inlineStr">
        <is>
          <t>2005-04-25</t>
        </is>
      </c>
      <c r="X265" t="inlineStr">
        <is>
          <t>2005-04-25</t>
        </is>
      </c>
      <c r="Y265" t="n">
        <v>610</v>
      </c>
      <c r="Z265" t="n">
        <v>522</v>
      </c>
      <c r="AA265" t="n">
        <v>528</v>
      </c>
      <c r="AB265" t="n">
        <v>4</v>
      </c>
      <c r="AC265" t="n">
        <v>4</v>
      </c>
      <c r="AD265" t="n">
        <v>18</v>
      </c>
      <c r="AE265" t="n">
        <v>18</v>
      </c>
      <c r="AF265" t="n">
        <v>9</v>
      </c>
      <c r="AG265" t="n">
        <v>9</v>
      </c>
      <c r="AH265" t="n">
        <v>3</v>
      </c>
      <c r="AI265" t="n">
        <v>3</v>
      </c>
      <c r="AJ265" t="n">
        <v>8</v>
      </c>
      <c r="AK265" t="n">
        <v>8</v>
      </c>
      <c r="AL265" t="n">
        <v>3</v>
      </c>
      <c r="AM265" t="n">
        <v>3</v>
      </c>
      <c r="AN265" t="n">
        <v>0</v>
      </c>
      <c r="AO265" t="n">
        <v>0</v>
      </c>
      <c r="AP265" t="inlineStr">
        <is>
          <t>No</t>
        </is>
      </c>
      <c r="AQ265" t="inlineStr">
        <is>
          <t>Yes</t>
        </is>
      </c>
      <c r="AR265">
        <f>HYPERLINK("http://catalog.hathitrust.org/Record/004134087","HathiTrust Record")</f>
        <v/>
      </c>
      <c r="AS265">
        <f>HYPERLINK("https://creighton-primo.hosted.exlibrisgroup.com/primo-explore/search?tab=default_tab&amp;search_scope=EVERYTHING&amp;vid=01CRU&amp;lang=en_US&amp;offset=0&amp;query=any,contains,991004525419702656","Catalog Record")</f>
        <v/>
      </c>
      <c r="AT265">
        <f>HYPERLINK("http://www.worldcat.org/oclc/44096809","WorldCat Record")</f>
        <v/>
      </c>
      <c r="AU265" t="inlineStr">
        <is>
          <t>33863157:eng</t>
        </is>
      </c>
      <c r="AV265" t="inlineStr">
        <is>
          <t>44096809</t>
        </is>
      </c>
      <c r="AW265" t="inlineStr">
        <is>
          <t>991004525419702656</t>
        </is>
      </c>
      <c r="AX265" t="inlineStr">
        <is>
          <t>991004525419702656</t>
        </is>
      </c>
      <c r="AY265" t="inlineStr">
        <is>
          <t>2269645890002656</t>
        </is>
      </c>
      <c r="AZ265" t="inlineStr">
        <is>
          <t>BOOK</t>
        </is>
      </c>
      <c r="BB265" t="inlineStr">
        <is>
          <t>9780810962132</t>
        </is>
      </c>
      <c r="BC265" t="inlineStr">
        <is>
          <t>32285005033112</t>
        </is>
      </c>
      <c r="BD265" t="inlineStr">
        <is>
          <t>893794961</t>
        </is>
      </c>
    </row>
    <row r="266">
      <c r="A266" t="inlineStr">
        <is>
          <t>No</t>
        </is>
      </c>
      <c r="B266" t="inlineStr">
        <is>
          <t>NX456 .S58 1981</t>
        </is>
      </c>
      <c r="C266" t="inlineStr">
        <is>
          <t>0                      NX 0456000S  58          1981</t>
        </is>
      </c>
      <c r="D266" t="inlineStr">
        <is>
          <t>Under the sign of Saturn / Susan Sontag.</t>
        </is>
      </c>
      <c r="F266" t="inlineStr">
        <is>
          <t>No</t>
        </is>
      </c>
      <c r="G266" t="inlineStr">
        <is>
          <t>1</t>
        </is>
      </c>
      <c r="H266" t="inlineStr">
        <is>
          <t>No</t>
        </is>
      </c>
      <c r="I266" t="inlineStr">
        <is>
          <t>No</t>
        </is>
      </c>
      <c r="J266" t="inlineStr">
        <is>
          <t>0</t>
        </is>
      </c>
      <c r="K266" t="inlineStr">
        <is>
          <t>Sontag, Susan, 1933-2004.</t>
        </is>
      </c>
      <c r="L266" t="inlineStr">
        <is>
          <t>New York : Vintage Books, 1981, c1980.</t>
        </is>
      </c>
      <c r="M266" t="inlineStr">
        <is>
          <t>1981</t>
        </is>
      </c>
      <c r="N266" t="inlineStr">
        <is>
          <t>1st Vintage Books ed.</t>
        </is>
      </c>
      <c r="O266" t="inlineStr">
        <is>
          <t>eng</t>
        </is>
      </c>
      <c r="P266" t="inlineStr">
        <is>
          <t>nyu</t>
        </is>
      </c>
      <c r="R266" t="inlineStr">
        <is>
          <t xml:space="preserve">NX </t>
        </is>
      </c>
      <c r="S266" t="n">
        <v>1</v>
      </c>
      <c r="T266" t="n">
        <v>1</v>
      </c>
      <c r="U266" t="inlineStr">
        <is>
          <t>2003-09-23</t>
        </is>
      </c>
      <c r="V266" t="inlineStr">
        <is>
          <t>2003-09-23</t>
        </is>
      </c>
      <c r="W266" t="inlineStr">
        <is>
          <t>2003-09-23</t>
        </is>
      </c>
      <c r="X266" t="inlineStr">
        <is>
          <t>2003-09-23</t>
        </is>
      </c>
      <c r="Y266" t="n">
        <v>93</v>
      </c>
      <c r="Z266" t="n">
        <v>68</v>
      </c>
      <c r="AA266" t="n">
        <v>1066</v>
      </c>
      <c r="AB266" t="n">
        <v>1</v>
      </c>
      <c r="AC266" t="n">
        <v>6</v>
      </c>
      <c r="AD266" t="n">
        <v>1</v>
      </c>
      <c r="AE266" t="n">
        <v>40</v>
      </c>
      <c r="AF266" t="n">
        <v>0</v>
      </c>
      <c r="AG266" t="n">
        <v>15</v>
      </c>
      <c r="AH266" t="n">
        <v>0</v>
      </c>
      <c r="AI266" t="n">
        <v>11</v>
      </c>
      <c r="AJ266" t="n">
        <v>1</v>
      </c>
      <c r="AK266" t="n">
        <v>19</v>
      </c>
      <c r="AL266" t="n">
        <v>0</v>
      </c>
      <c r="AM266" t="n">
        <v>5</v>
      </c>
      <c r="AN266" t="n">
        <v>0</v>
      </c>
      <c r="AO266" t="n">
        <v>1</v>
      </c>
      <c r="AP266" t="inlineStr">
        <is>
          <t>No</t>
        </is>
      </c>
      <c r="AQ266" t="inlineStr">
        <is>
          <t>No</t>
        </is>
      </c>
      <c r="AS266">
        <f>HYPERLINK("https://creighton-primo.hosted.exlibrisgroup.com/primo-explore/search?tab=default_tab&amp;search_scope=EVERYTHING&amp;vid=01CRU&amp;lang=en_US&amp;offset=0&amp;query=any,contains,991004130639702656","Catalog Record")</f>
        <v/>
      </c>
      <c r="AT266">
        <f>HYPERLINK("http://www.worldcat.org/oclc/7459464","WorldCat Record")</f>
        <v/>
      </c>
      <c r="AU266" t="inlineStr">
        <is>
          <t>48254000:eng</t>
        </is>
      </c>
      <c r="AV266" t="inlineStr">
        <is>
          <t>7459464</t>
        </is>
      </c>
      <c r="AW266" t="inlineStr">
        <is>
          <t>991004130639702656</t>
        </is>
      </c>
      <c r="AX266" t="inlineStr">
        <is>
          <t>991004130639702656</t>
        </is>
      </c>
      <c r="AY266" t="inlineStr">
        <is>
          <t>2255249630002656</t>
        </is>
      </c>
      <c r="AZ266" t="inlineStr">
        <is>
          <t>BOOK</t>
        </is>
      </c>
      <c r="BB266" t="inlineStr">
        <is>
          <t>9780394747422</t>
        </is>
      </c>
      <c r="BC266" t="inlineStr">
        <is>
          <t>32285004784350</t>
        </is>
      </c>
      <c r="BD266" t="inlineStr">
        <is>
          <t>893263108</t>
        </is>
      </c>
    </row>
    <row r="267">
      <c r="A267" t="inlineStr">
        <is>
          <t>No</t>
        </is>
      </c>
      <c r="B267" t="inlineStr">
        <is>
          <t>NX456.5.A66 M67 2000</t>
        </is>
      </c>
      <c r="C267" t="inlineStr">
        <is>
          <t>0                      NX 0456500A  66                 M  67          2000</t>
        </is>
      </c>
      <c r="D267" t="inlineStr">
        <is>
          <t>Encounters : new art from old / Richard Morphet ; introduction by Robert Rosenblum ; contributions by Judith Bumpus ... [et al.].</t>
        </is>
      </c>
      <c r="F267" t="inlineStr">
        <is>
          <t>No</t>
        </is>
      </c>
      <c r="G267" t="inlineStr">
        <is>
          <t>1</t>
        </is>
      </c>
      <c r="H267" t="inlineStr">
        <is>
          <t>No</t>
        </is>
      </c>
      <c r="I267" t="inlineStr">
        <is>
          <t>No</t>
        </is>
      </c>
      <c r="J267" t="inlineStr">
        <is>
          <t>0</t>
        </is>
      </c>
      <c r="K267" t="inlineStr">
        <is>
          <t>Morphet, Richard.</t>
        </is>
      </c>
      <c r="L267" t="inlineStr">
        <is>
          <t>London : National Gallery Co., c2000.</t>
        </is>
      </c>
      <c r="M267" t="inlineStr">
        <is>
          <t>2000</t>
        </is>
      </c>
      <c r="O267" t="inlineStr">
        <is>
          <t>eng</t>
        </is>
      </c>
      <c r="P267" t="inlineStr">
        <is>
          <t>enk</t>
        </is>
      </c>
      <c r="R267" t="inlineStr">
        <is>
          <t xml:space="preserve">NX </t>
        </is>
      </c>
      <c r="S267" t="n">
        <v>4</v>
      </c>
      <c r="T267" t="n">
        <v>4</v>
      </c>
      <c r="U267" t="inlineStr">
        <is>
          <t>2005-03-02</t>
        </is>
      </c>
      <c r="V267" t="inlineStr">
        <is>
          <t>2005-03-02</t>
        </is>
      </c>
      <c r="W267" t="inlineStr">
        <is>
          <t>2002-04-15</t>
        </is>
      </c>
      <c r="X267" t="inlineStr">
        <is>
          <t>2002-04-15</t>
        </is>
      </c>
      <c r="Y267" t="n">
        <v>659</v>
      </c>
      <c r="Z267" t="n">
        <v>522</v>
      </c>
      <c r="AA267" t="n">
        <v>522</v>
      </c>
      <c r="AB267" t="n">
        <v>4</v>
      </c>
      <c r="AC267" t="n">
        <v>4</v>
      </c>
      <c r="AD267" t="n">
        <v>21</v>
      </c>
      <c r="AE267" t="n">
        <v>21</v>
      </c>
      <c r="AF267" t="n">
        <v>9</v>
      </c>
      <c r="AG267" t="n">
        <v>9</v>
      </c>
      <c r="AH267" t="n">
        <v>5</v>
      </c>
      <c r="AI267" t="n">
        <v>5</v>
      </c>
      <c r="AJ267" t="n">
        <v>9</v>
      </c>
      <c r="AK267" t="n">
        <v>9</v>
      </c>
      <c r="AL267" t="n">
        <v>3</v>
      </c>
      <c r="AM267" t="n">
        <v>3</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HYPERLINK("https://creighton-primo.hosted.exlibrisgroup.com/primo-explore/search?tab=default_tab&amp;search_scope=EVERYTHING&amp;vid=01CRU&amp;lang=en_US&amp;offset=0&amp;query=any,contains,991003782149702656","Catalog Record")</f>
        <v/>
      </c>
      <c r="AT267">
        <f>HYPERLINK("http://www.worldcat.org/oclc/43879151","WorldCat Record")</f>
        <v/>
      </c>
      <c r="AU267" t="inlineStr">
        <is>
          <t>836984443:eng</t>
        </is>
      </c>
      <c r="AV267" t="inlineStr">
        <is>
          <t>43879151</t>
        </is>
      </c>
      <c r="AW267" t="inlineStr">
        <is>
          <t>991003782149702656</t>
        </is>
      </c>
      <c r="AX267" t="inlineStr">
        <is>
          <t>991003782149702656</t>
        </is>
      </c>
      <c r="AY267" t="inlineStr">
        <is>
          <t>2270410890002656</t>
        </is>
      </c>
      <c r="AZ267" t="inlineStr">
        <is>
          <t>BOOK</t>
        </is>
      </c>
      <c r="BB267" t="inlineStr">
        <is>
          <t>9780300084818</t>
        </is>
      </c>
      <c r="BC267" t="inlineStr">
        <is>
          <t>32285004479043</t>
        </is>
      </c>
      <c r="BD267" t="inlineStr">
        <is>
          <t>893627770</t>
        </is>
      </c>
    </row>
    <row r="268">
      <c r="A268" t="inlineStr">
        <is>
          <t>No</t>
        </is>
      </c>
      <c r="B268" t="inlineStr">
        <is>
          <t>NX456.5.D3 D32513 1990</t>
        </is>
      </c>
      <c r="C268" t="inlineStr">
        <is>
          <t>0                      NX 0456500D  3                  D  32513       1990</t>
        </is>
      </c>
      <c r="D268" t="inlineStr">
        <is>
          <t>The Dada movement, 1915-1923 / Marc Dachy.</t>
        </is>
      </c>
      <c r="F268" t="inlineStr">
        <is>
          <t>No</t>
        </is>
      </c>
      <c r="G268" t="inlineStr">
        <is>
          <t>1</t>
        </is>
      </c>
      <c r="H268" t="inlineStr">
        <is>
          <t>No</t>
        </is>
      </c>
      <c r="I268" t="inlineStr">
        <is>
          <t>No</t>
        </is>
      </c>
      <c r="J268" t="inlineStr">
        <is>
          <t>0</t>
        </is>
      </c>
      <c r="K268" t="inlineStr">
        <is>
          <t>Dachy, Marc.</t>
        </is>
      </c>
      <c r="L268" t="inlineStr">
        <is>
          <t>Geneva : Skira ; New York : Rizzoli, 1990.</t>
        </is>
      </c>
      <c r="M268" t="inlineStr">
        <is>
          <t>1990</t>
        </is>
      </c>
      <c r="O268" t="inlineStr">
        <is>
          <t>eng</t>
        </is>
      </c>
      <c r="P268" t="inlineStr">
        <is>
          <t xml:space="preserve">sw </t>
        </is>
      </c>
      <c r="R268" t="inlineStr">
        <is>
          <t xml:space="preserve">NX </t>
        </is>
      </c>
      <c r="S268" t="n">
        <v>21</v>
      </c>
      <c r="T268" t="n">
        <v>21</v>
      </c>
      <c r="U268" t="inlineStr">
        <is>
          <t>1999-03-22</t>
        </is>
      </c>
      <c r="V268" t="inlineStr">
        <is>
          <t>1999-03-22</t>
        </is>
      </c>
      <c r="W268" t="inlineStr">
        <is>
          <t>1991-06-13</t>
        </is>
      </c>
      <c r="X268" t="inlineStr">
        <is>
          <t>1991-06-13</t>
        </is>
      </c>
      <c r="Y268" t="n">
        <v>720</v>
      </c>
      <c r="Z268" t="n">
        <v>586</v>
      </c>
      <c r="AA268" t="n">
        <v>598</v>
      </c>
      <c r="AB268" t="n">
        <v>5</v>
      </c>
      <c r="AC268" t="n">
        <v>5</v>
      </c>
      <c r="AD268" t="n">
        <v>25</v>
      </c>
      <c r="AE268" t="n">
        <v>25</v>
      </c>
      <c r="AF268" t="n">
        <v>9</v>
      </c>
      <c r="AG268" t="n">
        <v>9</v>
      </c>
      <c r="AH268" t="n">
        <v>5</v>
      </c>
      <c r="AI268" t="n">
        <v>5</v>
      </c>
      <c r="AJ268" t="n">
        <v>12</v>
      </c>
      <c r="AK268" t="n">
        <v>12</v>
      </c>
      <c r="AL268" t="n">
        <v>4</v>
      </c>
      <c r="AM268" t="n">
        <v>4</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HYPERLINK("https://creighton-primo.hosted.exlibrisgroup.com/primo-explore/search?tab=default_tab&amp;search_scope=EVERYTHING&amp;vid=01CRU&amp;lang=en_US&amp;offset=0&amp;query=any,contains,991001592249702656","Catalog Record")</f>
        <v/>
      </c>
      <c r="AT268">
        <f>HYPERLINK("http://www.worldcat.org/oclc/20593701","WorldCat Record")</f>
        <v/>
      </c>
      <c r="AU268" t="inlineStr">
        <is>
          <t>22708484:eng</t>
        </is>
      </c>
      <c r="AV268" t="inlineStr">
        <is>
          <t>20593701</t>
        </is>
      </c>
      <c r="AW268" t="inlineStr">
        <is>
          <t>991001592249702656</t>
        </is>
      </c>
      <c r="AX268" t="inlineStr">
        <is>
          <t>991001592249702656</t>
        </is>
      </c>
      <c r="AY268" t="inlineStr">
        <is>
          <t>2267027430002656</t>
        </is>
      </c>
      <c r="AZ268" t="inlineStr">
        <is>
          <t>BOOK</t>
        </is>
      </c>
      <c r="BB268" t="inlineStr">
        <is>
          <t>9780847811106</t>
        </is>
      </c>
      <c r="BC268" t="inlineStr">
        <is>
          <t>32285000656156</t>
        </is>
      </c>
      <c r="BD268" t="inlineStr">
        <is>
          <t>893432939</t>
        </is>
      </c>
    </row>
    <row r="269">
      <c r="A269" t="inlineStr">
        <is>
          <t>No</t>
        </is>
      </c>
      <c r="B269" t="inlineStr">
        <is>
          <t>NX456.5.E9 E86 1993</t>
        </is>
      </c>
      <c r="C269" t="inlineStr">
        <is>
          <t>0                      NX 0456500E  9                  E  86          1993</t>
        </is>
      </c>
      <c r="D269" t="inlineStr">
        <is>
          <t>Expressionism reassessed / Shulamith Behr, David Fanning, Douglas Jarman, editors.</t>
        </is>
      </c>
      <c r="F269" t="inlineStr">
        <is>
          <t>No</t>
        </is>
      </c>
      <c r="G269" t="inlineStr">
        <is>
          <t>1</t>
        </is>
      </c>
      <c r="H269" t="inlineStr">
        <is>
          <t>No</t>
        </is>
      </c>
      <c r="I269" t="inlineStr">
        <is>
          <t>No</t>
        </is>
      </c>
      <c r="J269" t="inlineStr">
        <is>
          <t>0</t>
        </is>
      </c>
      <c r="L269" t="inlineStr">
        <is>
          <t>Manchester [England] ; New York : Manchester University Press; New York, NY, USA: Distributed exclusively in the USA and Canada by St. Martin's Press, c1993.</t>
        </is>
      </c>
      <c r="M269" t="inlineStr">
        <is>
          <t>1993</t>
        </is>
      </c>
      <c r="O269" t="inlineStr">
        <is>
          <t>eng</t>
        </is>
      </c>
      <c r="P269" t="inlineStr">
        <is>
          <t>enk</t>
        </is>
      </c>
      <c r="R269" t="inlineStr">
        <is>
          <t xml:space="preserve">NX </t>
        </is>
      </c>
      <c r="S269" t="n">
        <v>1</v>
      </c>
      <c r="T269" t="n">
        <v>1</v>
      </c>
      <c r="U269" t="inlineStr">
        <is>
          <t>2006-03-15</t>
        </is>
      </c>
      <c r="V269" t="inlineStr">
        <is>
          <t>2006-03-15</t>
        </is>
      </c>
      <c r="W269" t="inlineStr">
        <is>
          <t>1996-03-18</t>
        </is>
      </c>
      <c r="X269" t="inlineStr">
        <is>
          <t>1996-03-18</t>
        </is>
      </c>
      <c r="Y269" t="n">
        <v>518</v>
      </c>
      <c r="Z269" t="n">
        <v>367</v>
      </c>
      <c r="AA269" t="n">
        <v>372</v>
      </c>
      <c r="AB269" t="n">
        <v>4</v>
      </c>
      <c r="AC269" t="n">
        <v>4</v>
      </c>
      <c r="AD269" t="n">
        <v>15</v>
      </c>
      <c r="AE269" t="n">
        <v>15</v>
      </c>
      <c r="AF269" t="n">
        <v>4</v>
      </c>
      <c r="AG269" t="n">
        <v>4</v>
      </c>
      <c r="AH269" t="n">
        <v>3</v>
      </c>
      <c r="AI269" t="n">
        <v>3</v>
      </c>
      <c r="AJ269" t="n">
        <v>7</v>
      </c>
      <c r="AK269" t="n">
        <v>7</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HYPERLINK("https://creighton-primo.hosted.exlibrisgroup.com/primo-explore/search?tab=default_tab&amp;search_scope=EVERYTHING&amp;vid=01CRU&amp;lang=en_US&amp;offset=0&amp;query=any,contains,991002132599702656","Catalog Record")</f>
        <v/>
      </c>
      <c r="AT269">
        <f>HYPERLINK("http://www.worldcat.org/oclc/27338847","WorldCat Record")</f>
        <v/>
      </c>
      <c r="AU269" t="inlineStr">
        <is>
          <t>365483028:eng</t>
        </is>
      </c>
      <c r="AV269" t="inlineStr">
        <is>
          <t>27338847</t>
        </is>
      </c>
      <c r="AW269" t="inlineStr">
        <is>
          <t>991002132599702656</t>
        </is>
      </c>
      <c r="AX269" t="inlineStr">
        <is>
          <t>991002132599702656</t>
        </is>
      </c>
      <c r="AY269" t="inlineStr">
        <is>
          <t>2271644570002656</t>
        </is>
      </c>
      <c r="AZ269" t="inlineStr">
        <is>
          <t>BOOK</t>
        </is>
      </c>
      <c r="BB269" t="inlineStr">
        <is>
          <t>9780719038433</t>
        </is>
      </c>
      <c r="BC269" t="inlineStr">
        <is>
          <t>32285002144045</t>
        </is>
      </c>
      <c r="BD269" t="inlineStr">
        <is>
          <t>893866832</t>
        </is>
      </c>
    </row>
    <row r="270">
      <c r="A270" t="inlineStr">
        <is>
          <t>No</t>
        </is>
      </c>
      <c r="B270" t="inlineStr">
        <is>
          <t>NX456.5.M64 W5 1989</t>
        </is>
      </c>
      <c r="C270" t="inlineStr">
        <is>
          <t>0                      NX 0456500M  64                 W  5           1989</t>
        </is>
      </c>
      <c r="D270" t="inlineStr">
        <is>
          <t>The politics of modernism : against the new conformists / Raymond Williams ; edited and introduced by Tony Pinkney.</t>
        </is>
      </c>
      <c r="F270" t="inlineStr">
        <is>
          <t>No</t>
        </is>
      </c>
      <c r="G270" t="inlineStr">
        <is>
          <t>1</t>
        </is>
      </c>
      <c r="H270" t="inlineStr">
        <is>
          <t>No</t>
        </is>
      </c>
      <c r="I270" t="inlineStr">
        <is>
          <t>No</t>
        </is>
      </c>
      <c r="J270" t="inlineStr">
        <is>
          <t>0</t>
        </is>
      </c>
      <c r="K270" t="inlineStr">
        <is>
          <t>Williams, Raymond.</t>
        </is>
      </c>
      <c r="L270" t="inlineStr">
        <is>
          <t>London [England] ; New York : Verso, 1989.</t>
        </is>
      </c>
      <c r="M270" t="inlineStr">
        <is>
          <t>1989</t>
        </is>
      </c>
      <c r="O270" t="inlineStr">
        <is>
          <t>eng</t>
        </is>
      </c>
      <c r="P270" t="inlineStr">
        <is>
          <t>enk</t>
        </is>
      </c>
      <c r="R270" t="inlineStr">
        <is>
          <t xml:space="preserve">NX </t>
        </is>
      </c>
      <c r="S270" t="n">
        <v>4</v>
      </c>
      <c r="T270" t="n">
        <v>4</v>
      </c>
      <c r="U270" t="inlineStr">
        <is>
          <t>1999-11-15</t>
        </is>
      </c>
      <c r="V270" t="inlineStr">
        <is>
          <t>1999-11-15</t>
        </is>
      </c>
      <c r="W270" t="inlineStr">
        <is>
          <t>1991-06-04</t>
        </is>
      </c>
      <c r="X270" t="inlineStr">
        <is>
          <t>1991-06-04</t>
        </is>
      </c>
      <c r="Y270" t="n">
        <v>530</v>
      </c>
      <c r="Z270" t="n">
        <v>306</v>
      </c>
      <c r="AA270" t="n">
        <v>368</v>
      </c>
      <c r="AB270" t="n">
        <v>3</v>
      </c>
      <c r="AC270" t="n">
        <v>3</v>
      </c>
      <c r="AD270" t="n">
        <v>16</v>
      </c>
      <c r="AE270" t="n">
        <v>17</v>
      </c>
      <c r="AF270" t="n">
        <v>4</v>
      </c>
      <c r="AG270" t="n">
        <v>4</v>
      </c>
      <c r="AH270" t="n">
        <v>7</v>
      </c>
      <c r="AI270" t="n">
        <v>7</v>
      </c>
      <c r="AJ270" t="n">
        <v>7</v>
      </c>
      <c r="AK270" t="n">
        <v>8</v>
      </c>
      <c r="AL270" t="n">
        <v>2</v>
      </c>
      <c r="AM270" t="n">
        <v>2</v>
      </c>
      <c r="AN270" t="n">
        <v>0</v>
      </c>
      <c r="AO270" t="n">
        <v>0</v>
      </c>
      <c r="AP270" t="inlineStr">
        <is>
          <t>No</t>
        </is>
      </c>
      <c r="AQ270" t="inlineStr">
        <is>
          <t>Yes</t>
        </is>
      </c>
      <c r="AR270">
        <f>HYPERLINK("http://catalog.hathitrust.org/Record/001541687","HathiTrust Record")</f>
        <v/>
      </c>
      <c r="AS270">
        <f>HYPERLINK("https://creighton-primo.hosted.exlibrisgroup.com/primo-explore/search?tab=default_tab&amp;search_scope=EVERYTHING&amp;vid=01CRU&amp;lang=en_US&amp;offset=0&amp;query=any,contains,991001462459702656","Catalog Record")</f>
        <v/>
      </c>
      <c r="AT270">
        <f>HYPERLINK("http://www.worldcat.org/oclc/19456727","WorldCat Record")</f>
        <v/>
      </c>
      <c r="AU270" t="inlineStr">
        <is>
          <t>21199888:eng</t>
        </is>
      </c>
      <c r="AV270" t="inlineStr">
        <is>
          <t>19456727</t>
        </is>
      </c>
      <c r="AW270" t="inlineStr">
        <is>
          <t>991001462459702656</t>
        </is>
      </c>
      <c r="AX270" t="inlineStr">
        <is>
          <t>991001462459702656</t>
        </is>
      </c>
      <c r="AY270" t="inlineStr">
        <is>
          <t>2270005910002656</t>
        </is>
      </c>
      <c r="AZ270" t="inlineStr">
        <is>
          <t>BOOK</t>
        </is>
      </c>
      <c r="BB270" t="inlineStr">
        <is>
          <t>9780860919551</t>
        </is>
      </c>
      <c r="BC270" t="inlineStr">
        <is>
          <t>32285000592542</t>
        </is>
      </c>
      <c r="BD270" t="inlineStr">
        <is>
          <t>893426616</t>
        </is>
      </c>
    </row>
    <row r="271">
      <c r="A271" t="inlineStr">
        <is>
          <t>No</t>
        </is>
      </c>
      <c r="B271" t="inlineStr">
        <is>
          <t>NX456.5.P66 B87 1986</t>
        </is>
      </c>
      <c r="C271" t="inlineStr">
        <is>
          <t>0                      NX 0456500P  66                 B  87          1986</t>
        </is>
      </c>
      <c r="D271" t="inlineStr">
        <is>
          <t>The end of art theory : criticism and postmodernity / Victor Burgin.</t>
        </is>
      </c>
      <c r="F271" t="inlineStr">
        <is>
          <t>No</t>
        </is>
      </c>
      <c r="G271" t="inlineStr">
        <is>
          <t>1</t>
        </is>
      </c>
      <c r="H271" t="inlineStr">
        <is>
          <t>No</t>
        </is>
      </c>
      <c r="I271" t="inlineStr">
        <is>
          <t>No</t>
        </is>
      </c>
      <c r="J271" t="inlineStr">
        <is>
          <t>0</t>
        </is>
      </c>
      <c r="K271" t="inlineStr">
        <is>
          <t>Burgin, Victor.</t>
        </is>
      </c>
      <c r="L271" t="inlineStr">
        <is>
          <t>Atlantic Highlands, NJ : Humanities Press International, 1986.</t>
        </is>
      </c>
      <c r="M271" t="inlineStr">
        <is>
          <t>1986</t>
        </is>
      </c>
      <c r="O271" t="inlineStr">
        <is>
          <t>eng</t>
        </is>
      </c>
      <c r="P271" t="inlineStr">
        <is>
          <t>nju</t>
        </is>
      </c>
      <c r="R271" t="inlineStr">
        <is>
          <t xml:space="preserve">NX </t>
        </is>
      </c>
      <c r="S271" t="n">
        <v>10</v>
      </c>
      <c r="T271" t="n">
        <v>10</v>
      </c>
      <c r="U271" t="inlineStr">
        <is>
          <t>2001-04-17</t>
        </is>
      </c>
      <c r="V271" t="inlineStr">
        <is>
          <t>2001-04-17</t>
        </is>
      </c>
      <c r="W271" t="inlineStr">
        <is>
          <t>1992-06-10</t>
        </is>
      </c>
      <c r="X271" t="inlineStr">
        <is>
          <t>1992-06-10</t>
        </is>
      </c>
      <c r="Y271" t="n">
        <v>348</v>
      </c>
      <c r="Z271" t="n">
        <v>299</v>
      </c>
      <c r="AA271" t="n">
        <v>364</v>
      </c>
      <c r="AB271" t="n">
        <v>3</v>
      </c>
      <c r="AC271" t="n">
        <v>4</v>
      </c>
      <c r="AD271" t="n">
        <v>13</v>
      </c>
      <c r="AE271" t="n">
        <v>16</v>
      </c>
      <c r="AF271" t="n">
        <v>5</v>
      </c>
      <c r="AG271" t="n">
        <v>5</v>
      </c>
      <c r="AH271" t="n">
        <v>2</v>
      </c>
      <c r="AI271" t="n">
        <v>2</v>
      </c>
      <c r="AJ271" t="n">
        <v>8</v>
      </c>
      <c r="AK271" t="n">
        <v>10</v>
      </c>
      <c r="AL271" t="n">
        <v>2</v>
      </c>
      <c r="AM271" t="n">
        <v>3</v>
      </c>
      <c r="AN271" t="n">
        <v>0</v>
      </c>
      <c r="AO271" t="n">
        <v>0</v>
      </c>
      <c r="AP271" t="inlineStr">
        <is>
          <t>No</t>
        </is>
      </c>
      <c r="AQ271" t="inlineStr">
        <is>
          <t>Yes</t>
        </is>
      </c>
      <c r="AR271">
        <f>HYPERLINK("http://catalog.hathitrust.org/Record/000433314","HathiTrust Record")</f>
        <v/>
      </c>
      <c r="AS271">
        <f>HYPERLINK("https://creighton-primo.hosted.exlibrisgroup.com/primo-explore/search?tab=default_tab&amp;search_scope=EVERYTHING&amp;vid=01CRU&amp;lang=en_US&amp;offset=0&amp;query=any,contains,991000808139702656","Catalog Record")</f>
        <v/>
      </c>
      <c r="AT271">
        <f>HYPERLINK("http://www.worldcat.org/oclc/13327823","WorldCat Record")</f>
        <v/>
      </c>
      <c r="AU271" t="inlineStr">
        <is>
          <t>197481239:eng</t>
        </is>
      </c>
      <c r="AV271" t="inlineStr">
        <is>
          <t>13327823</t>
        </is>
      </c>
      <c r="AW271" t="inlineStr">
        <is>
          <t>991000808139702656</t>
        </is>
      </c>
      <c r="AX271" t="inlineStr">
        <is>
          <t>991000808139702656</t>
        </is>
      </c>
      <c r="AY271" t="inlineStr">
        <is>
          <t>2259116100002656</t>
        </is>
      </c>
      <c r="AZ271" t="inlineStr">
        <is>
          <t>BOOK</t>
        </is>
      </c>
      <c r="BB271" t="inlineStr">
        <is>
          <t>9780391034310</t>
        </is>
      </c>
      <c r="BC271" t="inlineStr">
        <is>
          <t>32285001127553</t>
        </is>
      </c>
      <c r="BD271" t="inlineStr">
        <is>
          <t>893225330</t>
        </is>
      </c>
    </row>
    <row r="272">
      <c r="A272" t="inlineStr">
        <is>
          <t>No</t>
        </is>
      </c>
      <c r="B272" t="inlineStr">
        <is>
          <t>NX456.5.P66 D57 1990</t>
        </is>
      </c>
      <c r="C272" t="inlineStr">
        <is>
          <t>0                      NX 0456500P  66                 D  57          1990</t>
        </is>
      </c>
      <c r="D272" t="inlineStr">
        <is>
          <t>Discourses : conversations in postmodern art and culture / edited by Russell Ferguson ... [et al.] ; foreword by Marcia Tucker ; a photographic sketchbook by John Baldessari.</t>
        </is>
      </c>
      <c r="F272" t="inlineStr">
        <is>
          <t>No</t>
        </is>
      </c>
      <c r="G272" t="inlineStr">
        <is>
          <t>1</t>
        </is>
      </c>
      <c r="H272" t="inlineStr">
        <is>
          <t>No</t>
        </is>
      </c>
      <c r="I272" t="inlineStr">
        <is>
          <t>No</t>
        </is>
      </c>
      <c r="J272" t="inlineStr">
        <is>
          <t>0</t>
        </is>
      </c>
      <c r="L272" t="inlineStr">
        <is>
          <t>New York : New Museum of Contemporary Art ; Cambridge, Mass. : MIT Press, c1990.</t>
        </is>
      </c>
      <c r="M272" t="inlineStr">
        <is>
          <t>1990</t>
        </is>
      </c>
      <c r="O272" t="inlineStr">
        <is>
          <t>eng</t>
        </is>
      </c>
      <c r="P272" t="inlineStr">
        <is>
          <t>nyu</t>
        </is>
      </c>
      <c r="Q272" t="inlineStr">
        <is>
          <t>Documentary sources in contemporary art ; v. 3</t>
        </is>
      </c>
      <c r="R272" t="inlineStr">
        <is>
          <t xml:space="preserve">NX </t>
        </is>
      </c>
      <c r="S272" t="n">
        <v>1</v>
      </c>
      <c r="T272" t="n">
        <v>1</v>
      </c>
      <c r="U272" t="inlineStr">
        <is>
          <t>1993-01-07</t>
        </is>
      </c>
      <c r="V272" t="inlineStr">
        <is>
          <t>1993-01-07</t>
        </is>
      </c>
      <c r="W272" t="inlineStr">
        <is>
          <t>1991-06-20</t>
        </is>
      </c>
      <c r="X272" t="inlineStr">
        <is>
          <t>1991-06-20</t>
        </is>
      </c>
      <c r="Y272" t="n">
        <v>713</v>
      </c>
      <c r="Z272" t="n">
        <v>522</v>
      </c>
      <c r="AA272" t="n">
        <v>527</v>
      </c>
      <c r="AB272" t="n">
        <v>5</v>
      </c>
      <c r="AC272" t="n">
        <v>5</v>
      </c>
      <c r="AD272" t="n">
        <v>23</v>
      </c>
      <c r="AE272" t="n">
        <v>23</v>
      </c>
      <c r="AF272" t="n">
        <v>11</v>
      </c>
      <c r="AG272" t="n">
        <v>11</v>
      </c>
      <c r="AH272" t="n">
        <v>4</v>
      </c>
      <c r="AI272" t="n">
        <v>4</v>
      </c>
      <c r="AJ272" t="n">
        <v>11</v>
      </c>
      <c r="AK272" t="n">
        <v>11</v>
      </c>
      <c r="AL272" t="n">
        <v>3</v>
      </c>
      <c r="AM272" t="n">
        <v>3</v>
      </c>
      <c r="AN272" t="n">
        <v>0</v>
      </c>
      <c r="AO272" t="n">
        <v>0</v>
      </c>
      <c r="AP272" t="inlineStr">
        <is>
          <t>No</t>
        </is>
      </c>
      <c r="AQ272" t="inlineStr">
        <is>
          <t>Yes</t>
        </is>
      </c>
      <c r="AR272">
        <f>HYPERLINK("http://catalog.hathitrust.org/Record/002518212","HathiTrust Record")</f>
        <v/>
      </c>
      <c r="AS272">
        <f>HYPERLINK("https://creighton-primo.hosted.exlibrisgroup.com/primo-explore/search?tab=default_tab&amp;search_scope=EVERYTHING&amp;vid=01CRU&amp;lang=en_US&amp;offset=0&amp;query=any,contains,991001649209702656","Catalog Record")</f>
        <v/>
      </c>
      <c r="AT272">
        <f>HYPERLINK("http://www.worldcat.org/oclc/21078500","WorldCat Record")</f>
        <v/>
      </c>
      <c r="AU272" t="inlineStr">
        <is>
          <t>836779793:eng</t>
        </is>
      </c>
      <c r="AV272" t="inlineStr">
        <is>
          <t>21078500</t>
        </is>
      </c>
      <c r="AW272" t="inlineStr">
        <is>
          <t>991001649209702656</t>
        </is>
      </c>
      <c r="AX272" t="inlineStr">
        <is>
          <t>991001649209702656</t>
        </is>
      </c>
      <c r="AY272" t="inlineStr">
        <is>
          <t>2272411050002656</t>
        </is>
      </c>
      <c r="AZ272" t="inlineStr">
        <is>
          <t>BOOK</t>
        </is>
      </c>
      <c r="BB272" t="inlineStr">
        <is>
          <t>9780262061254</t>
        </is>
      </c>
      <c r="BC272" t="inlineStr">
        <is>
          <t>32285000657857</t>
        </is>
      </c>
      <c r="BD272" t="inlineStr">
        <is>
          <t>893497249</t>
        </is>
      </c>
    </row>
    <row r="273">
      <c r="A273" t="inlineStr">
        <is>
          <t>No</t>
        </is>
      </c>
      <c r="B273" t="inlineStr">
        <is>
          <t>NX456.5.P66 F67 1985</t>
        </is>
      </c>
      <c r="C273" t="inlineStr">
        <is>
          <t>0                      NX 0456500P  66                 F  67          1985</t>
        </is>
      </c>
      <c r="D273" t="inlineStr">
        <is>
          <t>Recodings : art, spectacle, cultural politics / Hal Foster.</t>
        </is>
      </c>
      <c r="F273" t="inlineStr">
        <is>
          <t>No</t>
        </is>
      </c>
      <c r="G273" t="inlineStr">
        <is>
          <t>1</t>
        </is>
      </c>
      <c r="H273" t="inlineStr">
        <is>
          <t>No</t>
        </is>
      </c>
      <c r="I273" t="inlineStr">
        <is>
          <t>No</t>
        </is>
      </c>
      <c r="J273" t="inlineStr">
        <is>
          <t>0</t>
        </is>
      </c>
      <c r="K273" t="inlineStr">
        <is>
          <t>Foster, Hal.</t>
        </is>
      </c>
      <c r="L273" t="inlineStr">
        <is>
          <t>Port Townsend, Wash. : Bay Press, c1985.</t>
        </is>
      </c>
      <c r="M273" t="inlineStr">
        <is>
          <t>1985</t>
        </is>
      </c>
      <c r="N273" t="inlineStr">
        <is>
          <t>1st ed.</t>
        </is>
      </c>
      <c r="O273" t="inlineStr">
        <is>
          <t>eng</t>
        </is>
      </c>
      <c r="P273" t="inlineStr">
        <is>
          <t>wau</t>
        </is>
      </c>
      <c r="R273" t="inlineStr">
        <is>
          <t xml:space="preserve">NX </t>
        </is>
      </c>
      <c r="S273" t="n">
        <v>2</v>
      </c>
      <c r="T273" t="n">
        <v>2</v>
      </c>
      <c r="U273" t="inlineStr">
        <is>
          <t>1996-08-26</t>
        </is>
      </c>
      <c r="V273" t="inlineStr">
        <is>
          <t>1996-08-26</t>
        </is>
      </c>
      <c r="W273" t="inlineStr">
        <is>
          <t>1994-01-07</t>
        </is>
      </c>
      <c r="X273" t="inlineStr">
        <is>
          <t>1994-01-07</t>
        </is>
      </c>
      <c r="Y273" t="n">
        <v>537</v>
      </c>
      <c r="Z273" t="n">
        <v>366</v>
      </c>
      <c r="AA273" t="n">
        <v>417</v>
      </c>
      <c r="AB273" t="n">
        <v>2</v>
      </c>
      <c r="AC273" t="n">
        <v>2</v>
      </c>
      <c r="AD273" t="n">
        <v>15</v>
      </c>
      <c r="AE273" t="n">
        <v>15</v>
      </c>
      <c r="AF273" t="n">
        <v>5</v>
      </c>
      <c r="AG273" t="n">
        <v>5</v>
      </c>
      <c r="AH273" t="n">
        <v>4</v>
      </c>
      <c r="AI273" t="n">
        <v>4</v>
      </c>
      <c r="AJ273" t="n">
        <v>9</v>
      </c>
      <c r="AK273" t="n">
        <v>9</v>
      </c>
      <c r="AL273" t="n">
        <v>1</v>
      </c>
      <c r="AM273" t="n">
        <v>1</v>
      </c>
      <c r="AN273" t="n">
        <v>0</v>
      </c>
      <c r="AO273" t="n">
        <v>0</v>
      </c>
      <c r="AP273" t="inlineStr">
        <is>
          <t>No</t>
        </is>
      </c>
      <c r="AQ273" t="inlineStr">
        <is>
          <t>Yes</t>
        </is>
      </c>
      <c r="AR273">
        <f>HYPERLINK("http://catalog.hathitrust.org/Record/000390027","HathiTrust Record")</f>
        <v/>
      </c>
      <c r="AS273">
        <f>HYPERLINK("https://creighton-primo.hosted.exlibrisgroup.com/primo-explore/search?tab=default_tab&amp;search_scope=EVERYTHING&amp;vid=01CRU&amp;lang=en_US&amp;offset=0&amp;query=any,contains,991000721679702656","Catalog Record")</f>
        <v/>
      </c>
      <c r="AT273">
        <f>HYPERLINK("http://www.worldcat.org/oclc/12667099","WorldCat Record")</f>
        <v/>
      </c>
      <c r="AU273" t="inlineStr">
        <is>
          <t>5432170:eng</t>
        </is>
      </c>
      <c r="AV273" t="inlineStr">
        <is>
          <t>12667099</t>
        </is>
      </c>
      <c r="AW273" t="inlineStr">
        <is>
          <t>991000721679702656</t>
        </is>
      </c>
      <c r="AX273" t="inlineStr">
        <is>
          <t>991000721679702656</t>
        </is>
      </c>
      <c r="AY273" t="inlineStr">
        <is>
          <t>2262759270002656</t>
        </is>
      </c>
      <c r="AZ273" t="inlineStr">
        <is>
          <t>BOOK</t>
        </is>
      </c>
      <c r="BB273" t="inlineStr">
        <is>
          <t>9780941920032</t>
        </is>
      </c>
      <c r="BC273" t="inlineStr">
        <is>
          <t>32285001829000</t>
        </is>
      </c>
      <c r="BD273" t="inlineStr">
        <is>
          <t>893897154</t>
        </is>
      </c>
    </row>
    <row r="274">
      <c r="A274" t="inlineStr">
        <is>
          <t>No</t>
        </is>
      </c>
      <c r="B274" t="inlineStr">
        <is>
          <t>NX456.5.P66 G34 1989</t>
        </is>
      </c>
      <c r="C274" t="inlineStr">
        <is>
          <t>0                      NX 0456500P  66                 G  34          1989</t>
        </is>
      </c>
      <c r="D274" t="inlineStr">
        <is>
          <t>Modern/postmodern : a study in twentieth-century arts and ideas / Silvio Gaggi.</t>
        </is>
      </c>
      <c r="F274" t="inlineStr">
        <is>
          <t>No</t>
        </is>
      </c>
      <c r="G274" t="inlineStr">
        <is>
          <t>1</t>
        </is>
      </c>
      <c r="H274" t="inlineStr">
        <is>
          <t>No</t>
        </is>
      </c>
      <c r="I274" t="inlineStr">
        <is>
          <t>No</t>
        </is>
      </c>
      <c r="J274" t="inlineStr">
        <is>
          <t>0</t>
        </is>
      </c>
      <c r="K274" t="inlineStr">
        <is>
          <t>Gaggi, Silvio.</t>
        </is>
      </c>
      <c r="L274" t="inlineStr">
        <is>
          <t>Philadelphia : University of Pennsylvania Press, c1989.</t>
        </is>
      </c>
      <c r="M274" t="inlineStr">
        <is>
          <t>1989</t>
        </is>
      </c>
      <c r="O274" t="inlineStr">
        <is>
          <t>eng</t>
        </is>
      </c>
      <c r="P274" t="inlineStr">
        <is>
          <t>pau</t>
        </is>
      </c>
      <c r="Q274" t="inlineStr">
        <is>
          <t>Penn studies in contemporary American fiction</t>
        </is>
      </c>
      <c r="R274" t="inlineStr">
        <is>
          <t xml:space="preserve">NX </t>
        </is>
      </c>
      <c r="S274" t="n">
        <v>7</v>
      </c>
      <c r="T274" t="n">
        <v>7</v>
      </c>
      <c r="U274" t="inlineStr">
        <is>
          <t>1996-08-26</t>
        </is>
      </c>
      <c r="V274" t="inlineStr">
        <is>
          <t>1996-08-26</t>
        </is>
      </c>
      <c r="W274" t="inlineStr">
        <is>
          <t>1990-08-01</t>
        </is>
      </c>
      <c r="X274" t="inlineStr">
        <is>
          <t>1990-08-01</t>
        </is>
      </c>
      <c r="Y274" t="n">
        <v>544</v>
      </c>
      <c r="Z274" t="n">
        <v>454</v>
      </c>
      <c r="AA274" t="n">
        <v>778</v>
      </c>
      <c r="AB274" t="n">
        <v>5</v>
      </c>
      <c r="AC274" t="n">
        <v>5</v>
      </c>
      <c r="AD274" t="n">
        <v>25</v>
      </c>
      <c r="AE274" t="n">
        <v>36</v>
      </c>
      <c r="AF274" t="n">
        <v>8</v>
      </c>
      <c r="AG274" t="n">
        <v>15</v>
      </c>
      <c r="AH274" t="n">
        <v>8</v>
      </c>
      <c r="AI274" t="n">
        <v>11</v>
      </c>
      <c r="AJ274" t="n">
        <v>12</v>
      </c>
      <c r="AK274" t="n">
        <v>16</v>
      </c>
      <c r="AL274" t="n">
        <v>3</v>
      </c>
      <c r="AM274" t="n">
        <v>3</v>
      </c>
      <c r="AN274" t="n">
        <v>0</v>
      </c>
      <c r="AO274" t="n">
        <v>0</v>
      </c>
      <c r="AP274" t="inlineStr">
        <is>
          <t>No</t>
        </is>
      </c>
      <c r="AQ274" t="inlineStr">
        <is>
          <t>Yes</t>
        </is>
      </c>
      <c r="AR274">
        <f>HYPERLINK("http://catalog.hathitrust.org/Record/001297776","HathiTrust Record")</f>
        <v/>
      </c>
      <c r="AS274">
        <f>HYPERLINK("https://creighton-primo.hosted.exlibrisgroup.com/primo-explore/search?tab=default_tab&amp;search_scope=EVERYTHING&amp;vid=01CRU&amp;lang=en_US&amp;offset=0&amp;query=any,contains,991001401859702656","Catalog Record")</f>
        <v/>
      </c>
      <c r="AT274">
        <f>HYPERLINK("http://www.worldcat.org/oclc/18832884","WorldCat Record")</f>
        <v/>
      </c>
      <c r="AU274" t="inlineStr">
        <is>
          <t>865160846:eng</t>
        </is>
      </c>
      <c r="AV274" t="inlineStr">
        <is>
          <t>18832884</t>
        </is>
      </c>
      <c r="AW274" t="inlineStr">
        <is>
          <t>991001401859702656</t>
        </is>
      </c>
      <c r="AX274" t="inlineStr">
        <is>
          <t>991001401859702656</t>
        </is>
      </c>
      <c r="AY274" t="inlineStr">
        <is>
          <t>2259182840002656</t>
        </is>
      </c>
      <c r="AZ274" t="inlineStr">
        <is>
          <t>BOOK</t>
        </is>
      </c>
      <c r="BB274" t="inlineStr">
        <is>
          <t>9780812281545</t>
        </is>
      </c>
      <c r="BC274" t="inlineStr">
        <is>
          <t>32285000241199</t>
        </is>
      </c>
      <c r="BD274" t="inlineStr">
        <is>
          <t>893503388</t>
        </is>
      </c>
    </row>
    <row r="275">
      <c r="A275" t="inlineStr">
        <is>
          <t>No</t>
        </is>
      </c>
      <c r="B275" t="inlineStr">
        <is>
          <t>NX456.5.P66 K75 1986</t>
        </is>
      </c>
      <c r="C275" t="inlineStr">
        <is>
          <t>0                      NX 0456500P  66                 K  75          1986</t>
        </is>
      </c>
      <c r="D275" t="inlineStr">
        <is>
          <t>The postmodern scene : excremental culture and hyper-aesthetics / Arthur Kroker, David Cook.</t>
        </is>
      </c>
      <c r="F275" t="inlineStr">
        <is>
          <t>No</t>
        </is>
      </c>
      <c r="G275" t="inlineStr">
        <is>
          <t>1</t>
        </is>
      </c>
      <c r="H275" t="inlineStr">
        <is>
          <t>No</t>
        </is>
      </c>
      <c r="I275" t="inlineStr">
        <is>
          <t>No</t>
        </is>
      </c>
      <c r="J275" t="inlineStr">
        <is>
          <t>0</t>
        </is>
      </c>
      <c r="K275" t="inlineStr">
        <is>
          <t>Kroker, Arthur, 1945-</t>
        </is>
      </c>
      <c r="L275" t="inlineStr">
        <is>
          <t>New York : St. Martin's Press, 1986.</t>
        </is>
      </c>
      <c r="M275" t="inlineStr">
        <is>
          <t>1986</t>
        </is>
      </c>
      <c r="O275" t="inlineStr">
        <is>
          <t>eng</t>
        </is>
      </c>
      <c r="P275" t="inlineStr">
        <is>
          <t>nyu</t>
        </is>
      </c>
      <c r="R275" t="inlineStr">
        <is>
          <t xml:space="preserve">NX </t>
        </is>
      </c>
      <c r="S275" t="n">
        <v>4</v>
      </c>
      <c r="T275" t="n">
        <v>4</v>
      </c>
      <c r="U275" t="inlineStr">
        <is>
          <t>1992-11-28</t>
        </is>
      </c>
      <c r="V275" t="inlineStr">
        <is>
          <t>1992-11-28</t>
        </is>
      </c>
      <c r="W275" t="inlineStr">
        <is>
          <t>1990-07-11</t>
        </is>
      </c>
      <c r="X275" t="inlineStr">
        <is>
          <t>1990-07-11</t>
        </is>
      </c>
      <c r="Y275" t="n">
        <v>294</v>
      </c>
      <c r="Z275" t="n">
        <v>238</v>
      </c>
      <c r="AA275" t="n">
        <v>310</v>
      </c>
      <c r="AB275" t="n">
        <v>2</v>
      </c>
      <c r="AC275" t="n">
        <v>2</v>
      </c>
      <c r="AD275" t="n">
        <v>6</v>
      </c>
      <c r="AE275" t="n">
        <v>10</v>
      </c>
      <c r="AF275" t="n">
        <v>2</v>
      </c>
      <c r="AG275" t="n">
        <v>4</v>
      </c>
      <c r="AH275" t="n">
        <v>1</v>
      </c>
      <c r="AI275" t="n">
        <v>2</v>
      </c>
      <c r="AJ275" t="n">
        <v>5</v>
      </c>
      <c r="AK275" t="n">
        <v>7</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HYPERLINK("https://creighton-primo.hosted.exlibrisgroup.com/primo-explore/search?tab=default_tab&amp;search_scope=EVERYTHING&amp;vid=01CRU&amp;lang=en_US&amp;offset=0&amp;query=any,contains,991000914899702656","Catalog Record")</f>
        <v/>
      </c>
      <c r="AT275">
        <f>HYPERLINK("http://www.worldcat.org/oclc/14167041","WorldCat Record")</f>
        <v/>
      </c>
      <c r="AU275" t="inlineStr">
        <is>
          <t>7212696:eng</t>
        </is>
      </c>
      <c r="AV275" t="inlineStr">
        <is>
          <t>14167041</t>
        </is>
      </c>
      <c r="AW275" t="inlineStr">
        <is>
          <t>991000914899702656</t>
        </is>
      </c>
      <c r="AX275" t="inlineStr">
        <is>
          <t>991000914899702656</t>
        </is>
      </c>
      <c r="AY275" t="inlineStr">
        <is>
          <t>2267456650002656</t>
        </is>
      </c>
      <c r="AZ275" t="inlineStr">
        <is>
          <t>BOOK</t>
        </is>
      </c>
      <c r="BB275" t="inlineStr">
        <is>
          <t>9780312632298</t>
        </is>
      </c>
      <c r="BC275" t="inlineStr">
        <is>
          <t>32285000235886</t>
        </is>
      </c>
      <c r="BD275" t="inlineStr">
        <is>
          <t>893340002</t>
        </is>
      </c>
    </row>
    <row r="276">
      <c r="A276" t="inlineStr">
        <is>
          <t>No</t>
        </is>
      </c>
      <c r="B276" t="inlineStr">
        <is>
          <t>NX456.5.P66 P66 1985</t>
        </is>
      </c>
      <c r="C276" t="inlineStr">
        <is>
          <t>0                      NX 0456500P  66                 P  66          1985</t>
        </is>
      </c>
      <c r="D276" t="inlineStr">
        <is>
          <t>The Postmodern moment : a handbook of contemporary innovation in the arts / edited, with an introduction, by Stanley Trachtenberg.</t>
        </is>
      </c>
      <c r="F276" t="inlineStr">
        <is>
          <t>No</t>
        </is>
      </c>
      <c r="G276" t="inlineStr">
        <is>
          <t>1</t>
        </is>
      </c>
      <c r="H276" t="inlineStr">
        <is>
          <t>No</t>
        </is>
      </c>
      <c r="I276" t="inlineStr">
        <is>
          <t>No</t>
        </is>
      </c>
      <c r="J276" t="inlineStr">
        <is>
          <t>0</t>
        </is>
      </c>
      <c r="L276" t="inlineStr">
        <is>
          <t>Westport, Conn. : Greenwood Press, 1985.</t>
        </is>
      </c>
      <c r="M276" t="inlineStr">
        <is>
          <t>1985</t>
        </is>
      </c>
      <c r="O276" t="inlineStr">
        <is>
          <t>eng</t>
        </is>
      </c>
      <c r="P276" t="inlineStr">
        <is>
          <t>ctu</t>
        </is>
      </c>
      <c r="Q276" t="inlineStr">
        <is>
          <t>Movements in the arts, 8756-890X ; no. 1</t>
        </is>
      </c>
      <c r="R276" t="inlineStr">
        <is>
          <t xml:space="preserve">NX </t>
        </is>
      </c>
      <c r="S276" t="n">
        <v>7</v>
      </c>
      <c r="T276" t="n">
        <v>7</v>
      </c>
      <c r="U276" t="inlineStr">
        <is>
          <t>2001-04-17</t>
        </is>
      </c>
      <c r="V276" t="inlineStr">
        <is>
          <t>2001-04-17</t>
        </is>
      </c>
      <c r="W276" t="inlineStr">
        <is>
          <t>1990-07-11</t>
        </is>
      </c>
      <c r="X276" t="inlineStr">
        <is>
          <t>1990-07-11</t>
        </is>
      </c>
      <c r="Y276" t="n">
        <v>519</v>
      </c>
      <c r="Z276" t="n">
        <v>401</v>
      </c>
      <c r="AA276" t="n">
        <v>406</v>
      </c>
      <c r="AB276" t="n">
        <v>4</v>
      </c>
      <c r="AC276" t="n">
        <v>4</v>
      </c>
      <c r="AD276" t="n">
        <v>17</v>
      </c>
      <c r="AE276" t="n">
        <v>17</v>
      </c>
      <c r="AF276" t="n">
        <v>6</v>
      </c>
      <c r="AG276" t="n">
        <v>6</v>
      </c>
      <c r="AH276" t="n">
        <v>4</v>
      </c>
      <c r="AI276" t="n">
        <v>4</v>
      </c>
      <c r="AJ276" t="n">
        <v>11</v>
      </c>
      <c r="AK276" t="n">
        <v>11</v>
      </c>
      <c r="AL276" t="n">
        <v>2</v>
      </c>
      <c r="AM276" t="n">
        <v>2</v>
      </c>
      <c r="AN276" t="n">
        <v>0</v>
      </c>
      <c r="AO276" t="n">
        <v>0</v>
      </c>
      <c r="AP276" t="inlineStr">
        <is>
          <t>No</t>
        </is>
      </c>
      <c r="AQ276" t="inlineStr">
        <is>
          <t>Yes</t>
        </is>
      </c>
      <c r="AR276">
        <f>HYPERLINK("http://catalog.hathitrust.org/Record/000623244","HathiTrust Record")</f>
        <v/>
      </c>
      <c r="AS276">
        <f>HYPERLINK("https://creighton-primo.hosted.exlibrisgroup.com/primo-explore/search?tab=default_tab&amp;search_scope=EVERYTHING&amp;vid=01CRU&amp;lang=en_US&amp;offset=0&amp;query=any,contains,991000595249702656","Catalog Record")</f>
        <v/>
      </c>
      <c r="AT276">
        <f>HYPERLINK("http://www.worldcat.org/oclc/11812276","WorldCat Record")</f>
        <v/>
      </c>
      <c r="AU276" t="inlineStr">
        <is>
          <t>889806615:eng</t>
        </is>
      </c>
      <c r="AV276" t="inlineStr">
        <is>
          <t>11812276</t>
        </is>
      </c>
      <c r="AW276" t="inlineStr">
        <is>
          <t>991000595249702656</t>
        </is>
      </c>
      <c r="AX276" t="inlineStr">
        <is>
          <t>991000595249702656</t>
        </is>
      </c>
      <c r="AY276" t="inlineStr">
        <is>
          <t>2259988140002656</t>
        </is>
      </c>
      <c r="AZ276" t="inlineStr">
        <is>
          <t>BOOK</t>
        </is>
      </c>
      <c r="BB276" t="inlineStr">
        <is>
          <t>9780313237867</t>
        </is>
      </c>
      <c r="BC276" t="inlineStr">
        <is>
          <t>32285000235894</t>
        </is>
      </c>
      <c r="BD276" t="inlineStr">
        <is>
          <t>893626370</t>
        </is>
      </c>
    </row>
    <row r="277">
      <c r="A277" t="inlineStr">
        <is>
          <t>No</t>
        </is>
      </c>
      <c r="B277" t="inlineStr">
        <is>
          <t>NX456.5.P7 T67 1990</t>
        </is>
      </c>
      <c r="C277" t="inlineStr">
        <is>
          <t>0                      NX 0456500P  7                  T  67          1990</t>
        </is>
      </c>
      <c r="D277" t="inlineStr">
        <is>
          <t>Gone primitive : savage intellects, modern lives / Marianna Torgovnick.</t>
        </is>
      </c>
      <c r="F277" t="inlineStr">
        <is>
          <t>No</t>
        </is>
      </c>
      <c r="G277" t="inlineStr">
        <is>
          <t>1</t>
        </is>
      </c>
      <c r="H277" t="inlineStr">
        <is>
          <t>No</t>
        </is>
      </c>
      <c r="I277" t="inlineStr">
        <is>
          <t>No</t>
        </is>
      </c>
      <c r="J277" t="inlineStr">
        <is>
          <t>0</t>
        </is>
      </c>
      <c r="K277" t="inlineStr">
        <is>
          <t>Torgovnick, Marianna, 1949-</t>
        </is>
      </c>
      <c r="L277" t="inlineStr">
        <is>
          <t>Chicago : University of Chicago Press, 1990.</t>
        </is>
      </c>
      <c r="M277" t="inlineStr">
        <is>
          <t>1990</t>
        </is>
      </c>
      <c r="O277" t="inlineStr">
        <is>
          <t>eng</t>
        </is>
      </c>
      <c r="P277" t="inlineStr">
        <is>
          <t>ilu</t>
        </is>
      </c>
      <c r="R277" t="inlineStr">
        <is>
          <t xml:space="preserve">NX </t>
        </is>
      </c>
      <c r="S277" t="n">
        <v>4</v>
      </c>
      <c r="T277" t="n">
        <v>4</v>
      </c>
      <c r="U277" t="inlineStr">
        <is>
          <t>2008-10-26</t>
        </is>
      </c>
      <c r="V277" t="inlineStr">
        <is>
          <t>2008-10-26</t>
        </is>
      </c>
      <c r="W277" t="inlineStr">
        <is>
          <t>1991-08-06</t>
        </is>
      </c>
      <c r="X277" t="inlineStr">
        <is>
          <t>1991-08-06</t>
        </is>
      </c>
      <c r="Y277" t="n">
        <v>978</v>
      </c>
      <c r="Z277" t="n">
        <v>767</v>
      </c>
      <c r="AA277" t="n">
        <v>829</v>
      </c>
      <c r="AB277" t="n">
        <v>6</v>
      </c>
      <c r="AC277" t="n">
        <v>7</v>
      </c>
      <c r="AD277" t="n">
        <v>32</v>
      </c>
      <c r="AE277" t="n">
        <v>39</v>
      </c>
      <c r="AF277" t="n">
        <v>11</v>
      </c>
      <c r="AG277" t="n">
        <v>15</v>
      </c>
      <c r="AH277" t="n">
        <v>7</v>
      </c>
      <c r="AI277" t="n">
        <v>8</v>
      </c>
      <c r="AJ277" t="n">
        <v>14</v>
      </c>
      <c r="AK277" t="n">
        <v>15</v>
      </c>
      <c r="AL277" t="n">
        <v>5</v>
      </c>
      <c r="AM277" t="n">
        <v>6</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HYPERLINK("https://creighton-primo.hosted.exlibrisgroup.com/primo-explore/search?tab=default_tab&amp;search_scope=EVERYTHING&amp;vid=01CRU&amp;lang=en_US&amp;offset=0&amp;query=any,contains,991001573589702656","Catalog Record")</f>
        <v/>
      </c>
      <c r="AT277">
        <f>HYPERLINK("http://www.worldcat.org/oclc/20417770","WorldCat Record")</f>
        <v/>
      </c>
      <c r="AU277" t="inlineStr">
        <is>
          <t>22239657:eng</t>
        </is>
      </c>
      <c r="AV277" t="inlineStr">
        <is>
          <t>20417770</t>
        </is>
      </c>
      <c r="AW277" t="inlineStr">
        <is>
          <t>991001573589702656</t>
        </is>
      </c>
      <c r="AX277" t="inlineStr">
        <is>
          <t>991001573589702656</t>
        </is>
      </c>
      <c r="AY277" t="inlineStr">
        <is>
          <t>2263068090002656</t>
        </is>
      </c>
      <c r="AZ277" t="inlineStr">
        <is>
          <t>BOOK</t>
        </is>
      </c>
      <c r="BB277" t="inlineStr">
        <is>
          <t>9780226808314</t>
        </is>
      </c>
      <c r="BC277" t="inlineStr">
        <is>
          <t>32285000663939</t>
        </is>
      </c>
      <c r="BD277" t="inlineStr">
        <is>
          <t>893432931</t>
        </is>
      </c>
    </row>
    <row r="278">
      <c r="A278" t="inlineStr">
        <is>
          <t>No</t>
        </is>
      </c>
      <c r="B278" t="inlineStr">
        <is>
          <t>NX456.5.S8 R33 2002</t>
        </is>
      </c>
      <c r="C278" t="inlineStr">
        <is>
          <t>0                      NX 0456500S  8                  R  33          2002</t>
        </is>
      </c>
      <c r="D278" t="inlineStr">
        <is>
          <t>Surrealism and the sacred : power, eros, and the occult in modern art / Celia Rabinovitch.</t>
        </is>
      </c>
      <c r="F278" t="inlineStr">
        <is>
          <t>No</t>
        </is>
      </c>
      <c r="G278" t="inlineStr">
        <is>
          <t>1</t>
        </is>
      </c>
      <c r="H278" t="inlineStr">
        <is>
          <t>No</t>
        </is>
      </c>
      <c r="I278" t="inlineStr">
        <is>
          <t>No</t>
        </is>
      </c>
      <c r="J278" t="inlineStr">
        <is>
          <t>0</t>
        </is>
      </c>
      <c r="K278" t="inlineStr">
        <is>
          <t>Rabinovitch, Celia.</t>
        </is>
      </c>
      <c r="L278" t="inlineStr">
        <is>
          <t>Boulder, Colo. : Icon Editions, Westview Press, 2002.</t>
        </is>
      </c>
      <c r="M278" t="inlineStr">
        <is>
          <t>2002</t>
        </is>
      </c>
      <c r="O278" t="inlineStr">
        <is>
          <t>eng</t>
        </is>
      </c>
      <c r="P278" t="inlineStr">
        <is>
          <t>cou</t>
        </is>
      </c>
      <c r="R278" t="inlineStr">
        <is>
          <t xml:space="preserve">NX </t>
        </is>
      </c>
      <c r="S278" t="n">
        <v>11</v>
      </c>
      <c r="T278" t="n">
        <v>11</v>
      </c>
      <c r="U278" t="inlineStr">
        <is>
          <t>2008-11-23</t>
        </is>
      </c>
      <c r="V278" t="inlineStr">
        <is>
          <t>2008-11-23</t>
        </is>
      </c>
      <c r="W278" t="inlineStr">
        <is>
          <t>2002-09-18</t>
        </is>
      </c>
      <c r="X278" t="inlineStr">
        <is>
          <t>2002-09-18</t>
        </is>
      </c>
      <c r="Y278" t="n">
        <v>362</v>
      </c>
      <c r="Z278" t="n">
        <v>285</v>
      </c>
      <c r="AA278" t="n">
        <v>320</v>
      </c>
      <c r="AB278" t="n">
        <v>2</v>
      </c>
      <c r="AC278" t="n">
        <v>2</v>
      </c>
      <c r="AD278" t="n">
        <v>15</v>
      </c>
      <c r="AE278" t="n">
        <v>15</v>
      </c>
      <c r="AF278" t="n">
        <v>4</v>
      </c>
      <c r="AG278" t="n">
        <v>4</v>
      </c>
      <c r="AH278" t="n">
        <v>4</v>
      </c>
      <c r="AI278" t="n">
        <v>4</v>
      </c>
      <c r="AJ278" t="n">
        <v>10</v>
      </c>
      <c r="AK278" t="n">
        <v>10</v>
      </c>
      <c r="AL278" t="n">
        <v>1</v>
      </c>
      <c r="AM278" t="n">
        <v>1</v>
      </c>
      <c r="AN278" t="n">
        <v>0</v>
      </c>
      <c r="AO278" t="n">
        <v>0</v>
      </c>
      <c r="AP278" t="inlineStr">
        <is>
          <t>No</t>
        </is>
      </c>
      <c r="AQ278" t="inlineStr">
        <is>
          <t>Yes</t>
        </is>
      </c>
      <c r="AR278">
        <f>HYPERLINK("http://catalog.hathitrust.org/Record/004200712","HathiTrust Record")</f>
        <v/>
      </c>
      <c r="AS278">
        <f>HYPERLINK("https://creighton-primo.hosted.exlibrisgroup.com/primo-explore/search?tab=default_tab&amp;search_scope=EVERYTHING&amp;vid=01CRU&amp;lang=en_US&amp;offset=0&amp;query=any,contains,991003863759702656","Catalog Record")</f>
        <v/>
      </c>
      <c r="AT278">
        <f>HYPERLINK("http://www.worldcat.org/oclc/49225393","WorldCat Record")</f>
        <v/>
      </c>
      <c r="AU278" t="inlineStr">
        <is>
          <t>707071:eng</t>
        </is>
      </c>
      <c r="AV278" t="inlineStr">
        <is>
          <t>49225393</t>
        </is>
      </c>
      <c r="AW278" t="inlineStr">
        <is>
          <t>991003863759702656</t>
        </is>
      </c>
      <c r="AX278" t="inlineStr">
        <is>
          <t>991003863759702656</t>
        </is>
      </c>
      <c r="AY278" t="inlineStr">
        <is>
          <t>2265740150002656</t>
        </is>
      </c>
      <c r="AZ278" t="inlineStr">
        <is>
          <t>BOOK</t>
        </is>
      </c>
      <c r="BB278" t="inlineStr">
        <is>
          <t>9780813365572</t>
        </is>
      </c>
      <c r="BC278" t="inlineStr">
        <is>
          <t>32285004647821</t>
        </is>
      </c>
      <c r="BD278" t="inlineStr">
        <is>
          <t>893258980</t>
        </is>
      </c>
    </row>
    <row r="279">
      <c r="A279" t="inlineStr">
        <is>
          <t>No</t>
        </is>
      </c>
      <c r="B279" t="inlineStr">
        <is>
          <t>NX503.5 .S54 1976</t>
        </is>
      </c>
      <c r="C279" t="inlineStr">
        <is>
          <t>0                      NX 0503500S  54          1976</t>
        </is>
      </c>
      <c r="D279" t="inlineStr">
        <is>
          <t>A cultural history of the American Revolution : painting, music, literature, and the theatre in the Colonies and the United States from the Treaty of Paris to the Inauguration of George Washington, 1763-1789 / Kenneth Silverman.</t>
        </is>
      </c>
      <c r="F279" t="inlineStr">
        <is>
          <t>No</t>
        </is>
      </c>
      <c r="G279" t="inlineStr">
        <is>
          <t>1</t>
        </is>
      </c>
      <c r="H279" t="inlineStr">
        <is>
          <t>No</t>
        </is>
      </c>
      <c r="I279" t="inlineStr">
        <is>
          <t>No</t>
        </is>
      </c>
      <c r="J279" t="inlineStr">
        <is>
          <t>0</t>
        </is>
      </c>
      <c r="K279" t="inlineStr">
        <is>
          <t>Silverman, Kenneth.</t>
        </is>
      </c>
      <c r="L279" t="inlineStr">
        <is>
          <t>New York : T. Y. Crowell, c1976.</t>
        </is>
      </c>
      <c r="M279" t="inlineStr">
        <is>
          <t>1976</t>
        </is>
      </c>
      <c r="O279" t="inlineStr">
        <is>
          <t>eng</t>
        </is>
      </c>
      <c r="P279" t="inlineStr">
        <is>
          <t>nyu</t>
        </is>
      </c>
      <c r="R279" t="inlineStr">
        <is>
          <t xml:space="preserve">NX </t>
        </is>
      </c>
      <c r="S279" t="n">
        <v>2</v>
      </c>
      <c r="T279" t="n">
        <v>2</v>
      </c>
      <c r="U279" t="inlineStr">
        <is>
          <t>1994-02-21</t>
        </is>
      </c>
      <c r="V279" t="inlineStr">
        <is>
          <t>1994-02-21</t>
        </is>
      </c>
      <c r="W279" t="inlineStr">
        <is>
          <t>1993-06-02</t>
        </is>
      </c>
      <c r="X279" t="inlineStr">
        <is>
          <t>1993-06-02</t>
        </is>
      </c>
      <c r="Y279" t="n">
        <v>1458</v>
      </c>
      <c r="Z279" t="n">
        <v>1348</v>
      </c>
      <c r="AA279" t="n">
        <v>1607</v>
      </c>
      <c r="AB279" t="n">
        <v>6</v>
      </c>
      <c r="AC279" t="n">
        <v>9</v>
      </c>
      <c r="AD279" t="n">
        <v>40</v>
      </c>
      <c r="AE279" t="n">
        <v>50</v>
      </c>
      <c r="AF279" t="n">
        <v>17</v>
      </c>
      <c r="AG279" t="n">
        <v>21</v>
      </c>
      <c r="AH279" t="n">
        <v>9</v>
      </c>
      <c r="AI279" t="n">
        <v>11</v>
      </c>
      <c r="AJ279" t="n">
        <v>19</v>
      </c>
      <c r="AK279" t="n">
        <v>22</v>
      </c>
      <c r="AL279" t="n">
        <v>5</v>
      </c>
      <c r="AM279" t="n">
        <v>8</v>
      </c>
      <c r="AN279" t="n">
        <v>0</v>
      </c>
      <c r="AO279" t="n">
        <v>0</v>
      </c>
      <c r="AP279" t="inlineStr">
        <is>
          <t>No</t>
        </is>
      </c>
      <c r="AQ279" t="inlineStr">
        <is>
          <t>Yes</t>
        </is>
      </c>
      <c r="AR279">
        <f>HYPERLINK("http://catalog.hathitrust.org/Record/000693825","HathiTrust Record")</f>
        <v/>
      </c>
      <c r="AS279">
        <f>HYPERLINK("https://creighton-primo.hosted.exlibrisgroup.com/primo-explore/search?tab=default_tab&amp;search_scope=EVERYTHING&amp;vid=01CRU&amp;lang=en_US&amp;offset=0&amp;query=any,contains,991003915209702656","Catalog Record")</f>
        <v/>
      </c>
      <c r="AT279">
        <f>HYPERLINK("http://www.worldcat.org/oclc/1858539","WorldCat Record")</f>
        <v/>
      </c>
      <c r="AU279" t="inlineStr">
        <is>
          <t>2631019:eng</t>
        </is>
      </c>
      <c r="AV279" t="inlineStr">
        <is>
          <t>1858539</t>
        </is>
      </c>
      <c r="AW279" t="inlineStr">
        <is>
          <t>991003915209702656</t>
        </is>
      </c>
      <c r="AX279" t="inlineStr">
        <is>
          <t>991003915209702656</t>
        </is>
      </c>
      <c r="AY279" t="inlineStr">
        <is>
          <t>2266932740002656</t>
        </is>
      </c>
      <c r="AZ279" t="inlineStr">
        <is>
          <t>BOOK</t>
        </is>
      </c>
      <c r="BB279" t="inlineStr">
        <is>
          <t>9780690010794</t>
        </is>
      </c>
      <c r="BC279" t="inlineStr">
        <is>
          <t>32285001717031</t>
        </is>
      </c>
      <c r="BD279" t="inlineStr">
        <is>
          <t>893525421</t>
        </is>
      </c>
    </row>
    <row r="280">
      <c r="A280" t="inlineStr">
        <is>
          <t>No</t>
        </is>
      </c>
      <c r="B280" t="inlineStr">
        <is>
          <t>NX503.7 .V36 1989</t>
        </is>
      </c>
      <c r="C280" t="inlineStr">
        <is>
          <t>0                      NX 0503700V  36          1989</t>
        </is>
      </c>
      <c r="D280" t="inlineStr">
        <is>
          <t>America's Rome / William L. Vance.</t>
        </is>
      </c>
      <c r="E280" t="inlineStr">
        <is>
          <t>V.2</t>
        </is>
      </c>
      <c r="F280" t="inlineStr">
        <is>
          <t>Yes</t>
        </is>
      </c>
      <c r="G280" t="inlineStr">
        <is>
          <t>1</t>
        </is>
      </c>
      <c r="H280" t="inlineStr">
        <is>
          <t>No</t>
        </is>
      </c>
      <c r="I280" t="inlineStr">
        <is>
          <t>No</t>
        </is>
      </c>
      <c r="J280" t="inlineStr">
        <is>
          <t>0</t>
        </is>
      </c>
      <c r="K280" t="inlineStr">
        <is>
          <t>Vance, William L.</t>
        </is>
      </c>
      <c r="L280" t="inlineStr">
        <is>
          <t>New Haven : Yale University Press, c1989.</t>
        </is>
      </c>
      <c r="M280" t="inlineStr">
        <is>
          <t>1989</t>
        </is>
      </c>
      <c r="O280" t="inlineStr">
        <is>
          <t>eng</t>
        </is>
      </c>
      <c r="P280" t="inlineStr">
        <is>
          <t>ctu</t>
        </is>
      </c>
      <c r="R280" t="inlineStr">
        <is>
          <t xml:space="preserve">NX </t>
        </is>
      </c>
      <c r="S280" t="n">
        <v>1</v>
      </c>
      <c r="T280" t="n">
        <v>3</v>
      </c>
      <c r="U280" t="inlineStr">
        <is>
          <t>1993-01-14</t>
        </is>
      </c>
      <c r="V280" t="inlineStr">
        <is>
          <t>1993-04-21</t>
        </is>
      </c>
      <c r="W280" t="inlineStr">
        <is>
          <t>1989-10-23</t>
        </is>
      </c>
      <c r="X280" t="inlineStr">
        <is>
          <t>1989-10-23</t>
        </is>
      </c>
      <c r="Y280" t="n">
        <v>762</v>
      </c>
      <c r="Z280" t="n">
        <v>666</v>
      </c>
      <c r="AA280" t="n">
        <v>675</v>
      </c>
      <c r="AB280" t="n">
        <v>4</v>
      </c>
      <c r="AC280" t="n">
        <v>4</v>
      </c>
      <c r="AD280" t="n">
        <v>39</v>
      </c>
      <c r="AE280" t="n">
        <v>39</v>
      </c>
      <c r="AF280" t="n">
        <v>16</v>
      </c>
      <c r="AG280" t="n">
        <v>16</v>
      </c>
      <c r="AH280" t="n">
        <v>8</v>
      </c>
      <c r="AI280" t="n">
        <v>8</v>
      </c>
      <c r="AJ280" t="n">
        <v>22</v>
      </c>
      <c r="AK280" t="n">
        <v>22</v>
      </c>
      <c r="AL280" t="n">
        <v>3</v>
      </c>
      <c r="AM280" t="n">
        <v>3</v>
      </c>
      <c r="AN280" t="n">
        <v>1</v>
      </c>
      <c r="AO280" t="n">
        <v>1</v>
      </c>
      <c r="AP280" t="inlineStr">
        <is>
          <t>No</t>
        </is>
      </c>
      <c r="AQ280" t="inlineStr">
        <is>
          <t>No</t>
        </is>
      </c>
      <c r="AS280">
        <f>HYPERLINK("https://creighton-primo.hosted.exlibrisgroup.com/primo-explore/search?tab=default_tab&amp;search_scope=EVERYTHING&amp;vid=01CRU&amp;lang=en_US&amp;offset=0&amp;query=any,contains,991001330569702656","Catalog Record")</f>
        <v/>
      </c>
      <c r="AT280">
        <f>HYPERLINK("http://www.worldcat.org/oclc/18322284","WorldCat Record")</f>
        <v/>
      </c>
      <c r="AU280" t="inlineStr">
        <is>
          <t>5534229597:eng</t>
        </is>
      </c>
      <c r="AV280" t="inlineStr">
        <is>
          <t>18322284</t>
        </is>
      </c>
      <c r="AW280" t="inlineStr">
        <is>
          <t>991001330569702656</t>
        </is>
      </c>
      <c r="AX280" t="inlineStr">
        <is>
          <t>991001330569702656</t>
        </is>
      </c>
      <c r="AY280" t="inlineStr">
        <is>
          <t>2255265010002656</t>
        </is>
      </c>
      <c r="AZ280" t="inlineStr">
        <is>
          <t>BOOK</t>
        </is>
      </c>
      <c r="BB280" t="inlineStr">
        <is>
          <t>9780300044539</t>
        </is>
      </c>
      <c r="BC280" t="inlineStr">
        <is>
          <t>32285000004563</t>
        </is>
      </c>
      <c r="BD280" t="inlineStr">
        <is>
          <t>893891497</t>
        </is>
      </c>
    </row>
    <row r="281">
      <c r="A281" t="inlineStr">
        <is>
          <t>No</t>
        </is>
      </c>
      <c r="B281" t="inlineStr">
        <is>
          <t>NX503.7 .V36 1989</t>
        </is>
      </c>
      <c r="C281" t="inlineStr">
        <is>
          <t>0                      NX 0503700V  36          1989</t>
        </is>
      </c>
      <c r="D281" t="inlineStr">
        <is>
          <t>America's Rome / William L. Vance.</t>
        </is>
      </c>
      <c r="E281" t="inlineStr">
        <is>
          <t>V.1</t>
        </is>
      </c>
      <c r="F281" t="inlineStr">
        <is>
          <t>Yes</t>
        </is>
      </c>
      <c r="G281" t="inlineStr">
        <is>
          <t>1</t>
        </is>
      </c>
      <c r="H281" t="inlineStr">
        <is>
          <t>No</t>
        </is>
      </c>
      <c r="I281" t="inlineStr">
        <is>
          <t>No</t>
        </is>
      </c>
      <c r="J281" t="inlineStr">
        <is>
          <t>0</t>
        </is>
      </c>
      <c r="K281" t="inlineStr">
        <is>
          <t>Vance, William L.</t>
        </is>
      </c>
      <c r="L281" t="inlineStr">
        <is>
          <t>New Haven : Yale University Press, c1989.</t>
        </is>
      </c>
      <c r="M281" t="inlineStr">
        <is>
          <t>1989</t>
        </is>
      </c>
      <c r="O281" t="inlineStr">
        <is>
          <t>eng</t>
        </is>
      </c>
      <c r="P281" t="inlineStr">
        <is>
          <t>ctu</t>
        </is>
      </c>
      <c r="R281" t="inlineStr">
        <is>
          <t xml:space="preserve">NX </t>
        </is>
      </c>
      <c r="S281" t="n">
        <v>2</v>
      </c>
      <c r="T281" t="n">
        <v>3</v>
      </c>
      <c r="U281" t="inlineStr">
        <is>
          <t>1993-04-21</t>
        </is>
      </c>
      <c r="V281" t="inlineStr">
        <is>
          <t>1993-04-21</t>
        </is>
      </c>
      <c r="W281" t="inlineStr">
        <is>
          <t>1989-10-23</t>
        </is>
      </c>
      <c r="X281" t="inlineStr">
        <is>
          <t>1989-10-23</t>
        </is>
      </c>
      <c r="Y281" t="n">
        <v>762</v>
      </c>
      <c r="Z281" t="n">
        <v>666</v>
      </c>
      <c r="AA281" t="n">
        <v>675</v>
      </c>
      <c r="AB281" t="n">
        <v>4</v>
      </c>
      <c r="AC281" t="n">
        <v>4</v>
      </c>
      <c r="AD281" t="n">
        <v>39</v>
      </c>
      <c r="AE281" t="n">
        <v>39</v>
      </c>
      <c r="AF281" t="n">
        <v>16</v>
      </c>
      <c r="AG281" t="n">
        <v>16</v>
      </c>
      <c r="AH281" t="n">
        <v>8</v>
      </c>
      <c r="AI281" t="n">
        <v>8</v>
      </c>
      <c r="AJ281" t="n">
        <v>22</v>
      </c>
      <c r="AK281" t="n">
        <v>22</v>
      </c>
      <c r="AL281" t="n">
        <v>3</v>
      </c>
      <c r="AM281" t="n">
        <v>3</v>
      </c>
      <c r="AN281" t="n">
        <v>1</v>
      </c>
      <c r="AO281" t="n">
        <v>1</v>
      </c>
      <c r="AP281" t="inlineStr">
        <is>
          <t>No</t>
        </is>
      </c>
      <c r="AQ281" t="inlineStr">
        <is>
          <t>No</t>
        </is>
      </c>
      <c r="AS281">
        <f>HYPERLINK("https://creighton-primo.hosted.exlibrisgroup.com/primo-explore/search?tab=default_tab&amp;search_scope=EVERYTHING&amp;vid=01CRU&amp;lang=en_US&amp;offset=0&amp;query=any,contains,991001330569702656","Catalog Record")</f>
        <v/>
      </c>
      <c r="AT281">
        <f>HYPERLINK("http://www.worldcat.org/oclc/18322284","WorldCat Record")</f>
        <v/>
      </c>
      <c r="AU281" t="inlineStr">
        <is>
          <t>5534229597:eng</t>
        </is>
      </c>
      <c r="AV281" t="inlineStr">
        <is>
          <t>18322284</t>
        </is>
      </c>
      <c r="AW281" t="inlineStr">
        <is>
          <t>991001330569702656</t>
        </is>
      </c>
      <c r="AX281" t="inlineStr">
        <is>
          <t>991001330569702656</t>
        </is>
      </c>
      <c r="AY281" t="inlineStr">
        <is>
          <t>2255265010002656</t>
        </is>
      </c>
      <c r="AZ281" t="inlineStr">
        <is>
          <t>BOOK</t>
        </is>
      </c>
      <c r="BB281" t="inlineStr">
        <is>
          <t>9780300044539</t>
        </is>
      </c>
      <c r="BC281" t="inlineStr">
        <is>
          <t>32285000004555</t>
        </is>
      </c>
      <c r="BD281" t="inlineStr">
        <is>
          <t>893891498</t>
        </is>
      </c>
    </row>
    <row r="282">
      <c r="A282" t="inlineStr">
        <is>
          <t>No</t>
        </is>
      </c>
      <c r="B282" t="inlineStr">
        <is>
          <t>NX504 .A5</t>
        </is>
      </c>
      <c r="C282" t="inlineStr">
        <is>
          <t>0                      NX 0504000A  5</t>
        </is>
      </c>
      <c r="D282" t="inlineStr">
        <is>
          <t>Here the country lies : nationalism and the arts in twentieth-century America / by Charles C. Alexander.</t>
        </is>
      </c>
      <c r="F282" t="inlineStr">
        <is>
          <t>No</t>
        </is>
      </c>
      <c r="G282" t="inlineStr">
        <is>
          <t>1</t>
        </is>
      </c>
      <c r="H282" t="inlineStr">
        <is>
          <t>No</t>
        </is>
      </c>
      <c r="I282" t="inlineStr">
        <is>
          <t>No</t>
        </is>
      </c>
      <c r="J282" t="inlineStr">
        <is>
          <t>0</t>
        </is>
      </c>
      <c r="K282" t="inlineStr">
        <is>
          <t>Alexander, Charles C.</t>
        </is>
      </c>
      <c r="L282" t="inlineStr">
        <is>
          <t>Bloomington, Ind. : Indiana University Press, c1980.</t>
        </is>
      </c>
      <c r="M282" t="inlineStr">
        <is>
          <t>1980</t>
        </is>
      </c>
      <c r="O282" t="inlineStr">
        <is>
          <t>eng</t>
        </is>
      </c>
      <c r="P282" t="inlineStr">
        <is>
          <t>inu</t>
        </is>
      </c>
      <c r="R282" t="inlineStr">
        <is>
          <t xml:space="preserve">NX </t>
        </is>
      </c>
      <c r="S282" t="n">
        <v>2</v>
      </c>
      <c r="T282" t="n">
        <v>2</v>
      </c>
      <c r="U282" t="inlineStr">
        <is>
          <t>1992-03-21</t>
        </is>
      </c>
      <c r="V282" t="inlineStr">
        <is>
          <t>1992-03-21</t>
        </is>
      </c>
      <c r="W282" t="inlineStr">
        <is>
          <t>1991-12-09</t>
        </is>
      </c>
      <c r="X282" t="inlineStr">
        <is>
          <t>1991-12-09</t>
        </is>
      </c>
      <c r="Y282" t="n">
        <v>624</v>
      </c>
      <c r="Z282" t="n">
        <v>547</v>
      </c>
      <c r="AA282" t="n">
        <v>554</v>
      </c>
      <c r="AB282" t="n">
        <v>4</v>
      </c>
      <c r="AC282" t="n">
        <v>4</v>
      </c>
      <c r="AD282" t="n">
        <v>26</v>
      </c>
      <c r="AE282" t="n">
        <v>26</v>
      </c>
      <c r="AF282" t="n">
        <v>10</v>
      </c>
      <c r="AG282" t="n">
        <v>10</v>
      </c>
      <c r="AH282" t="n">
        <v>7</v>
      </c>
      <c r="AI282" t="n">
        <v>7</v>
      </c>
      <c r="AJ282" t="n">
        <v>14</v>
      </c>
      <c r="AK282" t="n">
        <v>14</v>
      </c>
      <c r="AL282" t="n">
        <v>3</v>
      </c>
      <c r="AM282" t="n">
        <v>3</v>
      </c>
      <c r="AN282" t="n">
        <v>0</v>
      </c>
      <c r="AO282" t="n">
        <v>0</v>
      </c>
      <c r="AP282" t="inlineStr">
        <is>
          <t>No</t>
        </is>
      </c>
      <c r="AQ282" t="inlineStr">
        <is>
          <t>Yes</t>
        </is>
      </c>
      <c r="AR282">
        <f>HYPERLINK("http://catalog.hathitrust.org/Record/000085198","HathiTrust Record")</f>
        <v/>
      </c>
      <c r="AS282">
        <f>HYPERLINK("https://creighton-primo.hosted.exlibrisgroup.com/primo-explore/search?tab=default_tab&amp;search_scope=EVERYTHING&amp;vid=01CRU&amp;lang=en_US&amp;offset=0&amp;query=any,contains,991004944969702656","Catalog Record")</f>
        <v/>
      </c>
      <c r="AT282">
        <f>HYPERLINK("http://www.worldcat.org/oclc/6200015","WorldCat Record")</f>
        <v/>
      </c>
      <c r="AU282" t="inlineStr">
        <is>
          <t>890265041:eng</t>
        </is>
      </c>
      <c r="AV282" t="inlineStr">
        <is>
          <t>6200015</t>
        </is>
      </c>
      <c r="AW282" t="inlineStr">
        <is>
          <t>991004944969702656</t>
        </is>
      </c>
      <c r="AX282" t="inlineStr">
        <is>
          <t>991004944969702656</t>
        </is>
      </c>
      <c r="AY282" t="inlineStr">
        <is>
          <t>2262025640002656</t>
        </is>
      </c>
      <c r="AZ282" t="inlineStr">
        <is>
          <t>BOOK</t>
        </is>
      </c>
      <c r="BB282" t="inlineStr">
        <is>
          <t>9780253155443</t>
        </is>
      </c>
      <c r="BC282" t="inlineStr">
        <is>
          <t>32285000885532</t>
        </is>
      </c>
      <c r="BD282" t="inlineStr">
        <is>
          <t>893895660</t>
        </is>
      </c>
    </row>
    <row r="283">
      <c r="A283" t="inlineStr">
        <is>
          <t>No</t>
        </is>
      </c>
      <c r="B283" t="inlineStr">
        <is>
          <t>NX504 .A87 1979</t>
        </is>
      </c>
      <c r="C283" t="inlineStr">
        <is>
          <t>0                      NX 0504000A  87          1979</t>
        </is>
      </c>
      <c r="D283" t="inlineStr">
        <is>
          <t>The New York school : a cultural reckoning / by Dore Ashton.</t>
        </is>
      </c>
      <c r="F283" t="inlineStr">
        <is>
          <t>No</t>
        </is>
      </c>
      <c r="G283" t="inlineStr">
        <is>
          <t>1</t>
        </is>
      </c>
      <c r="H283" t="inlineStr">
        <is>
          <t>No</t>
        </is>
      </c>
      <c r="I283" t="inlineStr">
        <is>
          <t>No</t>
        </is>
      </c>
      <c r="J283" t="inlineStr">
        <is>
          <t>0</t>
        </is>
      </c>
      <c r="K283" t="inlineStr">
        <is>
          <t>Ashton, Dore.</t>
        </is>
      </c>
      <c r="L283" t="inlineStr">
        <is>
          <t>Harmondsworth, Eng. ; New York : Penguin Books, 1979, c1972.</t>
        </is>
      </c>
      <c r="M283" t="inlineStr">
        <is>
          <t>1979</t>
        </is>
      </c>
      <c r="O283" t="inlineStr">
        <is>
          <t>eng</t>
        </is>
      </c>
      <c r="P283" t="inlineStr">
        <is>
          <t>enk</t>
        </is>
      </c>
      <c r="R283" t="inlineStr">
        <is>
          <t xml:space="preserve">NX </t>
        </is>
      </c>
      <c r="S283" t="n">
        <v>5</v>
      </c>
      <c r="T283" t="n">
        <v>5</v>
      </c>
      <c r="U283" t="inlineStr">
        <is>
          <t>1996-04-03</t>
        </is>
      </c>
      <c r="V283" t="inlineStr">
        <is>
          <t>1996-04-03</t>
        </is>
      </c>
      <c r="W283" t="inlineStr">
        <is>
          <t>1993-06-02</t>
        </is>
      </c>
      <c r="X283" t="inlineStr">
        <is>
          <t>1993-06-02</t>
        </is>
      </c>
      <c r="Y283" t="n">
        <v>247</v>
      </c>
      <c r="Z283" t="n">
        <v>214</v>
      </c>
      <c r="AA283" t="n">
        <v>828</v>
      </c>
      <c r="AB283" t="n">
        <v>2</v>
      </c>
      <c r="AC283" t="n">
        <v>3</v>
      </c>
      <c r="AD283" t="n">
        <v>7</v>
      </c>
      <c r="AE283" t="n">
        <v>29</v>
      </c>
      <c r="AF283" t="n">
        <v>6</v>
      </c>
      <c r="AG283" t="n">
        <v>15</v>
      </c>
      <c r="AH283" t="n">
        <v>0</v>
      </c>
      <c r="AI283" t="n">
        <v>7</v>
      </c>
      <c r="AJ283" t="n">
        <v>4</v>
      </c>
      <c r="AK283" t="n">
        <v>15</v>
      </c>
      <c r="AL283" t="n">
        <v>0</v>
      </c>
      <c r="AM283" t="n">
        <v>1</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HYPERLINK("https://creighton-primo.hosted.exlibrisgroup.com/primo-explore/search?tab=default_tab&amp;search_scope=EVERYTHING&amp;vid=01CRU&amp;lang=en_US&amp;offset=0&amp;query=any,contains,991004715009702656","Catalog Record")</f>
        <v/>
      </c>
      <c r="AT283">
        <f>HYPERLINK("http://www.worldcat.org/oclc/4775695","WorldCat Record")</f>
        <v/>
      </c>
      <c r="AU283" t="inlineStr">
        <is>
          <t>412826:eng</t>
        </is>
      </c>
      <c r="AV283" t="inlineStr">
        <is>
          <t>4775695</t>
        </is>
      </c>
      <c r="AW283" t="inlineStr">
        <is>
          <t>991004715009702656</t>
        </is>
      </c>
      <c r="AX283" t="inlineStr">
        <is>
          <t>991004715009702656</t>
        </is>
      </c>
      <c r="AY283" t="inlineStr">
        <is>
          <t>2255446280002656</t>
        </is>
      </c>
      <c r="AZ283" t="inlineStr">
        <is>
          <t>BOOK</t>
        </is>
      </c>
      <c r="BB283" t="inlineStr">
        <is>
          <t>9780140052633</t>
        </is>
      </c>
      <c r="BC283" t="inlineStr">
        <is>
          <t>32285001717056</t>
        </is>
      </c>
      <c r="BD283" t="inlineStr">
        <is>
          <t>893688051</t>
        </is>
      </c>
    </row>
    <row r="284">
      <c r="A284" t="inlineStr">
        <is>
          <t>No</t>
        </is>
      </c>
      <c r="B284" t="inlineStr">
        <is>
          <t>NX504 .I53 1977</t>
        </is>
      </c>
      <c r="C284" t="inlineStr">
        <is>
          <t>0                      NX 0504000I  53          1977</t>
        </is>
      </c>
      <c r="D284" t="inlineStr">
        <is>
          <t>Individuals : post-movement art in America / edited by Alan Sondheim.</t>
        </is>
      </c>
      <c r="F284" t="inlineStr">
        <is>
          <t>No</t>
        </is>
      </c>
      <c r="G284" t="inlineStr">
        <is>
          <t>1</t>
        </is>
      </c>
      <c r="H284" t="inlineStr">
        <is>
          <t>No</t>
        </is>
      </c>
      <c r="I284" t="inlineStr">
        <is>
          <t>No</t>
        </is>
      </c>
      <c r="J284" t="inlineStr">
        <is>
          <t>0</t>
        </is>
      </c>
      <c r="L284" t="inlineStr">
        <is>
          <t>New York : Dutton, c1977.</t>
        </is>
      </c>
      <c r="M284" t="inlineStr">
        <is>
          <t>1977</t>
        </is>
      </c>
      <c r="O284" t="inlineStr">
        <is>
          <t>eng</t>
        </is>
      </c>
      <c r="P284" t="inlineStr">
        <is>
          <t>nyu</t>
        </is>
      </c>
      <c r="R284" t="inlineStr">
        <is>
          <t xml:space="preserve">NX </t>
        </is>
      </c>
      <c r="S284" t="n">
        <v>2</v>
      </c>
      <c r="T284" t="n">
        <v>2</v>
      </c>
      <c r="U284" t="inlineStr">
        <is>
          <t>2005-12-11</t>
        </is>
      </c>
      <c r="V284" t="inlineStr">
        <is>
          <t>2005-12-11</t>
        </is>
      </c>
      <c r="W284" t="inlineStr">
        <is>
          <t>1993-06-02</t>
        </is>
      </c>
      <c r="X284" t="inlineStr">
        <is>
          <t>1993-06-02</t>
        </is>
      </c>
      <c r="Y284" t="n">
        <v>480</v>
      </c>
      <c r="Z284" t="n">
        <v>410</v>
      </c>
      <c r="AA284" t="n">
        <v>416</v>
      </c>
      <c r="AB284" t="n">
        <v>4</v>
      </c>
      <c r="AC284" t="n">
        <v>4</v>
      </c>
      <c r="AD284" t="n">
        <v>11</v>
      </c>
      <c r="AE284" t="n">
        <v>11</v>
      </c>
      <c r="AF284" t="n">
        <v>3</v>
      </c>
      <c r="AG284" t="n">
        <v>3</v>
      </c>
      <c r="AH284" t="n">
        <v>3</v>
      </c>
      <c r="AI284" t="n">
        <v>3</v>
      </c>
      <c r="AJ284" t="n">
        <v>4</v>
      </c>
      <c r="AK284" t="n">
        <v>4</v>
      </c>
      <c r="AL284" t="n">
        <v>3</v>
      </c>
      <c r="AM284" t="n">
        <v>3</v>
      </c>
      <c r="AN284" t="n">
        <v>0</v>
      </c>
      <c r="AO284" t="n">
        <v>0</v>
      </c>
      <c r="AP284" t="inlineStr">
        <is>
          <t>No</t>
        </is>
      </c>
      <c r="AQ284" t="inlineStr">
        <is>
          <t>Yes</t>
        </is>
      </c>
      <c r="AR284">
        <f>HYPERLINK("http://catalog.hathitrust.org/Record/000027300","HathiTrust Record")</f>
        <v/>
      </c>
      <c r="AS284">
        <f>HYPERLINK("https://creighton-primo.hosted.exlibrisgroup.com/primo-explore/search?tab=default_tab&amp;search_scope=EVERYTHING&amp;vid=01CRU&amp;lang=en_US&amp;offset=0&amp;query=any,contains,991004299229702656","Catalog Record")</f>
        <v/>
      </c>
      <c r="AT284">
        <f>HYPERLINK("http://www.worldcat.org/oclc/2967399","WorldCat Record")</f>
        <v/>
      </c>
      <c r="AU284" t="inlineStr">
        <is>
          <t>890699958:eng</t>
        </is>
      </c>
      <c r="AV284" t="inlineStr">
        <is>
          <t>2967399</t>
        </is>
      </c>
      <c r="AW284" t="inlineStr">
        <is>
          <t>991004299229702656</t>
        </is>
      </c>
      <c r="AX284" t="inlineStr">
        <is>
          <t>991004299229702656</t>
        </is>
      </c>
      <c r="AY284" t="inlineStr">
        <is>
          <t>2269445430002656</t>
        </is>
      </c>
      <c r="AZ284" t="inlineStr">
        <is>
          <t>BOOK</t>
        </is>
      </c>
      <c r="BB284" t="inlineStr">
        <is>
          <t>9780525474289</t>
        </is>
      </c>
      <c r="BC284" t="inlineStr">
        <is>
          <t>32285001717064</t>
        </is>
      </c>
      <c r="BD284" t="inlineStr">
        <is>
          <t>893253522</t>
        </is>
      </c>
    </row>
    <row r="285">
      <c r="A285" t="inlineStr">
        <is>
          <t>No</t>
        </is>
      </c>
      <c r="B285" t="inlineStr">
        <is>
          <t>NX504 .M44 1991</t>
        </is>
      </c>
      <c r="C285" t="inlineStr">
        <is>
          <t>0                      NX 0504000M  44          1991</t>
        </is>
      </c>
      <c r="D285" t="inlineStr">
        <is>
          <t>Engendering culture : manhood and womanhood in New Deal public art and theater / Barbara Melosh.</t>
        </is>
      </c>
      <c r="F285" t="inlineStr">
        <is>
          <t>No</t>
        </is>
      </c>
      <c r="G285" t="inlineStr">
        <is>
          <t>1</t>
        </is>
      </c>
      <c r="H285" t="inlineStr">
        <is>
          <t>No</t>
        </is>
      </c>
      <c r="I285" t="inlineStr">
        <is>
          <t>No</t>
        </is>
      </c>
      <c r="J285" t="inlineStr">
        <is>
          <t>0</t>
        </is>
      </c>
      <c r="K285" t="inlineStr">
        <is>
          <t>Melosh, Barbara.</t>
        </is>
      </c>
      <c r="L285" t="inlineStr">
        <is>
          <t>Washington : Smithsonian Institution Press, c1991.</t>
        </is>
      </c>
      <c r="M285" t="inlineStr">
        <is>
          <t>1991</t>
        </is>
      </c>
      <c r="O285" t="inlineStr">
        <is>
          <t>eng</t>
        </is>
      </c>
      <c r="P285" t="inlineStr">
        <is>
          <t>dcu</t>
        </is>
      </c>
      <c r="Q285" t="inlineStr">
        <is>
          <t>New directions in American art</t>
        </is>
      </c>
      <c r="R285" t="inlineStr">
        <is>
          <t xml:space="preserve">NX </t>
        </is>
      </c>
      <c r="S285" t="n">
        <v>6</v>
      </c>
      <c r="T285" t="n">
        <v>6</v>
      </c>
      <c r="U285" t="inlineStr">
        <is>
          <t>1998-04-06</t>
        </is>
      </c>
      <c r="V285" t="inlineStr">
        <is>
          <t>1998-04-06</t>
        </is>
      </c>
      <c r="W285" t="inlineStr">
        <is>
          <t>1992-09-22</t>
        </is>
      </c>
      <c r="X285" t="inlineStr">
        <is>
          <t>1992-09-22</t>
        </is>
      </c>
      <c r="Y285" t="n">
        <v>786</v>
      </c>
      <c r="Z285" t="n">
        <v>665</v>
      </c>
      <c r="AA285" t="n">
        <v>672</v>
      </c>
      <c r="AB285" t="n">
        <v>4</v>
      </c>
      <c r="AC285" t="n">
        <v>4</v>
      </c>
      <c r="AD285" t="n">
        <v>33</v>
      </c>
      <c r="AE285" t="n">
        <v>33</v>
      </c>
      <c r="AF285" t="n">
        <v>15</v>
      </c>
      <c r="AG285" t="n">
        <v>15</v>
      </c>
      <c r="AH285" t="n">
        <v>6</v>
      </c>
      <c r="AI285" t="n">
        <v>6</v>
      </c>
      <c r="AJ285" t="n">
        <v>17</v>
      </c>
      <c r="AK285" t="n">
        <v>17</v>
      </c>
      <c r="AL285" t="n">
        <v>3</v>
      </c>
      <c r="AM285" t="n">
        <v>3</v>
      </c>
      <c r="AN285" t="n">
        <v>1</v>
      </c>
      <c r="AO285" t="n">
        <v>1</v>
      </c>
      <c r="AP285" t="inlineStr">
        <is>
          <t>No</t>
        </is>
      </c>
      <c r="AQ285" t="inlineStr">
        <is>
          <t>Yes</t>
        </is>
      </c>
      <c r="AR285">
        <f>HYPERLINK("http://catalog.hathitrust.org/Record/002521433","HathiTrust Record")</f>
        <v/>
      </c>
      <c r="AS285">
        <f>HYPERLINK("https://creighton-primo.hosted.exlibrisgroup.com/primo-explore/search?tab=default_tab&amp;search_scope=EVERYTHING&amp;vid=01CRU&amp;lang=en_US&amp;offset=0&amp;query=any,contains,991001714539702656","Catalog Record")</f>
        <v/>
      </c>
      <c r="AT285">
        <f>HYPERLINK("http://www.worldcat.org/oclc/21672138","WorldCat Record")</f>
        <v/>
      </c>
      <c r="AU285" t="inlineStr">
        <is>
          <t>836707629:eng</t>
        </is>
      </c>
      <c r="AV285" t="inlineStr">
        <is>
          <t>21672138</t>
        </is>
      </c>
      <c r="AW285" t="inlineStr">
        <is>
          <t>991001714539702656</t>
        </is>
      </c>
      <c r="AX285" t="inlineStr">
        <is>
          <t>991001714539702656</t>
        </is>
      </c>
      <c r="AY285" t="inlineStr">
        <is>
          <t>2261896950002656</t>
        </is>
      </c>
      <c r="AZ285" t="inlineStr">
        <is>
          <t>BOOK</t>
        </is>
      </c>
      <c r="BB285" t="inlineStr">
        <is>
          <t>9780874747218</t>
        </is>
      </c>
      <c r="BC285" t="inlineStr">
        <is>
          <t>32285001287969</t>
        </is>
      </c>
      <c r="BD285" t="inlineStr">
        <is>
          <t>893328319</t>
        </is>
      </c>
    </row>
    <row r="286">
      <c r="A286" t="inlineStr">
        <is>
          <t>No</t>
        </is>
      </c>
      <c r="B286" t="inlineStr">
        <is>
          <t>NX504 .N46 1990</t>
        </is>
      </c>
      <c r="C286" t="inlineStr">
        <is>
          <t>0                      NX 0504000N  46          1990</t>
        </is>
      </c>
      <c r="D286" t="inlineStr">
        <is>
          <t>The New sculpture 1965-75 : between geometry and gesture / organized and edited by Richard Armstrong and Richard Marshall ; with essays by Richard Armstrong, John G. Hanhardt, Robert Pincus-Witten.</t>
        </is>
      </c>
      <c r="F286" t="inlineStr">
        <is>
          <t>No</t>
        </is>
      </c>
      <c r="G286" t="inlineStr">
        <is>
          <t>1</t>
        </is>
      </c>
      <c r="H286" t="inlineStr">
        <is>
          <t>No</t>
        </is>
      </c>
      <c r="I286" t="inlineStr">
        <is>
          <t>No</t>
        </is>
      </c>
      <c r="J286" t="inlineStr">
        <is>
          <t>0</t>
        </is>
      </c>
      <c r="L286" t="inlineStr">
        <is>
          <t>New York : Whitney Museum of American Art, c1990.</t>
        </is>
      </c>
      <c r="M286" t="inlineStr">
        <is>
          <t>1990</t>
        </is>
      </c>
      <c r="O286" t="inlineStr">
        <is>
          <t>eng</t>
        </is>
      </c>
      <c r="P286" t="inlineStr">
        <is>
          <t>nyu</t>
        </is>
      </c>
      <c r="R286" t="inlineStr">
        <is>
          <t xml:space="preserve">NX </t>
        </is>
      </c>
      <c r="S286" t="n">
        <v>1</v>
      </c>
      <c r="T286" t="n">
        <v>1</v>
      </c>
      <c r="U286" t="inlineStr">
        <is>
          <t>2006-03-10</t>
        </is>
      </c>
      <c r="V286" t="inlineStr">
        <is>
          <t>2006-03-10</t>
        </is>
      </c>
      <c r="W286" t="inlineStr">
        <is>
          <t>1991-04-09</t>
        </is>
      </c>
      <c r="X286" t="inlineStr">
        <is>
          <t>1991-04-09</t>
        </is>
      </c>
      <c r="Y286" t="n">
        <v>346</v>
      </c>
      <c r="Z286" t="n">
        <v>286</v>
      </c>
      <c r="AA286" t="n">
        <v>288</v>
      </c>
      <c r="AB286" t="n">
        <v>2</v>
      </c>
      <c r="AC286" t="n">
        <v>2</v>
      </c>
      <c r="AD286" t="n">
        <v>15</v>
      </c>
      <c r="AE286" t="n">
        <v>15</v>
      </c>
      <c r="AF286" t="n">
        <v>7</v>
      </c>
      <c r="AG286" t="n">
        <v>7</v>
      </c>
      <c r="AH286" t="n">
        <v>3</v>
      </c>
      <c r="AI286" t="n">
        <v>3</v>
      </c>
      <c r="AJ286" t="n">
        <v>10</v>
      </c>
      <c r="AK286" t="n">
        <v>10</v>
      </c>
      <c r="AL286" t="n">
        <v>1</v>
      </c>
      <c r="AM286" t="n">
        <v>1</v>
      </c>
      <c r="AN286" t="n">
        <v>0</v>
      </c>
      <c r="AO286" t="n">
        <v>0</v>
      </c>
      <c r="AP286" t="inlineStr">
        <is>
          <t>No</t>
        </is>
      </c>
      <c r="AQ286" t="inlineStr">
        <is>
          <t>Yes</t>
        </is>
      </c>
      <c r="AR286">
        <f>HYPERLINK("http://catalog.hathitrust.org/Record/002205377","HathiTrust Record")</f>
        <v/>
      </c>
      <c r="AS286">
        <f>HYPERLINK("https://creighton-primo.hosted.exlibrisgroup.com/primo-explore/search?tab=default_tab&amp;search_scope=EVERYTHING&amp;vid=01CRU&amp;lang=en_US&amp;offset=0&amp;query=any,contains,991001637439702656","Catalog Record")</f>
        <v/>
      </c>
      <c r="AT286">
        <f>HYPERLINK("http://www.worldcat.org/oclc/20992551","WorldCat Record")</f>
        <v/>
      </c>
      <c r="AU286" t="inlineStr">
        <is>
          <t>889772564:eng</t>
        </is>
      </c>
      <c r="AV286" t="inlineStr">
        <is>
          <t>20992551</t>
        </is>
      </c>
      <c r="AW286" t="inlineStr">
        <is>
          <t>991001637439702656</t>
        </is>
      </c>
      <c r="AX286" t="inlineStr">
        <is>
          <t>991001637439702656</t>
        </is>
      </c>
      <c r="AY286" t="inlineStr">
        <is>
          <t>2267597560002656</t>
        </is>
      </c>
      <c r="AZ286" t="inlineStr">
        <is>
          <t>BOOK</t>
        </is>
      </c>
      <c r="BB286" t="inlineStr">
        <is>
          <t>9780874270693</t>
        </is>
      </c>
      <c r="BC286" t="inlineStr">
        <is>
          <t>32285000566462</t>
        </is>
      </c>
      <c r="BD286" t="inlineStr">
        <is>
          <t>893715565</t>
        </is>
      </c>
    </row>
    <row r="287">
      <c r="A287" t="inlineStr">
        <is>
          <t>No</t>
        </is>
      </c>
      <c r="B287" t="inlineStr">
        <is>
          <t>NX504 .R53 2001</t>
        </is>
      </c>
      <c r="C287" t="inlineStr">
        <is>
          <t>0                      NX 0504000R  53          2001</t>
        </is>
      </c>
      <c r="D287" t="inlineStr">
        <is>
          <t>Sacred monsters, sacred masters : Beaton, Capote, Dalí, Picasso, Freud, Warhol, and more / John Richardson.</t>
        </is>
      </c>
      <c r="F287" t="inlineStr">
        <is>
          <t>No</t>
        </is>
      </c>
      <c r="G287" t="inlineStr">
        <is>
          <t>1</t>
        </is>
      </c>
      <c r="H287" t="inlineStr">
        <is>
          <t>No</t>
        </is>
      </c>
      <c r="I287" t="inlineStr">
        <is>
          <t>No</t>
        </is>
      </c>
      <c r="J287" t="inlineStr">
        <is>
          <t>0</t>
        </is>
      </c>
      <c r="K287" t="inlineStr">
        <is>
          <t>Richardson, John.</t>
        </is>
      </c>
      <c r="L287" t="inlineStr">
        <is>
          <t>New York : Random House, c2001.</t>
        </is>
      </c>
      <c r="M287" t="inlineStr">
        <is>
          <t>2001</t>
        </is>
      </c>
      <c r="N287" t="inlineStr">
        <is>
          <t>1st ed.</t>
        </is>
      </c>
      <c r="O287" t="inlineStr">
        <is>
          <t>eng</t>
        </is>
      </c>
      <c r="P287" t="inlineStr">
        <is>
          <t>nyu</t>
        </is>
      </c>
      <c r="R287" t="inlineStr">
        <is>
          <t xml:space="preserve">NX </t>
        </is>
      </c>
      <c r="S287" t="n">
        <v>2</v>
      </c>
      <c r="T287" t="n">
        <v>2</v>
      </c>
      <c r="U287" t="inlineStr">
        <is>
          <t>2002-06-10</t>
        </is>
      </c>
      <c r="V287" t="inlineStr">
        <is>
          <t>2002-06-10</t>
        </is>
      </c>
      <c r="W287" t="inlineStr">
        <is>
          <t>2002-02-07</t>
        </is>
      </c>
      <c r="X287" t="inlineStr">
        <is>
          <t>2002-02-07</t>
        </is>
      </c>
      <c r="Y287" t="n">
        <v>512</v>
      </c>
      <c r="Z287" t="n">
        <v>467</v>
      </c>
      <c r="AA287" t="n">
        <v>486</v>
      </c>
      <c r="AB287" t="n">
        <v>3</v>
      </c>
      <c r="AC287" t="n">
        <v>3</v>
      </c>
      <c r="AD287" t="n">
        <v>9</v>
      </c>
      <c r="AE287" t="n">
        <v>10</v>
      </c>
      <c r="AF287" t="n">
        <v>2</v>
      </c>
      <c r="AG287" t="n">
        <v>2</v>
      </c>
      <c r="AH287" t="n">
        <v>1</v>
      </c>
      <c r="AI287" t="n">
        <v>1</v>
      </c>
      <c r="AJ287" t="n">
        <v>5</v>
      </c>
      <c r="AK287" t="n">
        <v>6</v>
      </c>
      <c r="AL287" t="n">
        <v>2</v>
      </c>
      <c r="AM287" t="n">
        <v>2</v>
      </c>
      <c r="AN287" t="n">
        <v>0</v>
      </c>
      <c r="AO287" t="n">
        <v>0</v>
      </c>
      <c r="AP287" t="inlineStr">
        <is>
          <t>No</t>
        </is>
      </c>
      <c r="AQ287" t="inlineStr">
        <is>
          <t>Yes</t>
        </is>
      </c>
      <c r="AR287">
        <f>HYPERLINK("http://catalog.hathitrust.org/Record/004209288","HathiTrust Record")</f>
        <v/>
      </c>
      <c r="AS287">
        <f>HYPERLINK("https://creighton-primo.hosted.exlibrisgroup.com/primo-explore/search?tab=default_tab&amp;search_scope=EVERYTHING&amp;vid=01CRU&amp;lang=en_US&amp;offset=0&amp;query=any,contains,991003717249702656","Catalog Record")</f>
        <v/>
      </c>
      <c r="AT287">
        <f>HYPERLINK("http://www.worldcat.org/oclc/46791106","WorldCat Record")</f>
        <v/>
      </c>
      <c r="AU287" t="inlineStr">
        <is>
          <t>6162035:eng</t>
        </is>
      </c>
      <c r="AV287" t="inlineStr">
        <is>
          <t>46791106</t>
        </is>
      </c>
      <c r="AW287" t="inlineStr">
        <is>
          <t>991003717249702656</t>
        </is>
      </c>
      <c r="AX287" t="inlineStr">
        <is>
          <t>991003717249702656</t>
        </is>
      </c>
      <c r="AY287" t="inlineStr">
        <is>
          <t>2267733430002656</t>
        </is>
      </c>
      <c r="AZ287" t="inlineStr">
        <is>
          <t>BOOK</t>
        </is>
      </c>
      <c r="BB287" t="inlineStr">
        <is>
          <t>9780679424901</t>
        </is>
      </c>
      <c r="BC287" t="inlineStr">
        <is>
          <t>32285004452842</t>
        </is>
      </c>
      <c r="BD287" t="inlineStr">
        <is>
          <t>893512274</t>
        </is>
      </c>
    </row>
    <row r="288">
      <c r="A288" t="inlineStr">
        <is>
          <t>No</t>
        </is>
      </c>
      <c r="B288" t="inlineStr">
        <is>
          <t>NX504 .S66 1990</t>
        </is>
      </c>
      <c r="C288" t="inlineStr">
        <is>
          <t>0                      NX 0504000S  66          1990</t>
        </is>
      </c>
      <c r="D288" t="inlineStr">
        <is>
          <t>Cage-Cunningham-Johns : dancers on a plane : in memory of their feelings / Susan Sontag [with] Richard Francis ... [et al.].</t>
        </is>
      </c>
      <c r="F288" t="inlineStr">
        <is>
          <t>No</t>
        </is>
      </c>
      <c r="G288" t="inlineStr">
        <is>
          <t>1</t>
        </is>
      </c>
      <c r="H288" t="inlineStr">
        <is>
          <t>No</t>
        </is>
      </c>
      <c r="I288" t="inlineStr">
        <is>
          <t>No</t>
        </is>
      </c>
      <c r="J288" t="inlineStr">
        <is>
          <t>0</t>
        </is>
      </c>
      <c r="K288" t="inlineStr">
        <is>
          <t>Sontag, Susan, 1933-2004.</t>
        </is>
      </c>
      <c r="L288" t="inlineStr">
        <is>
          <t>New York : A.A. Knopf in association with A. d'Offay Gallery, 1990.</t>
        </is>
      </c>
      <c r="M288" t="inlineStr">
        <is>
          <t>1990</t>
        </is>
      </c>
      <c r="N288" t="inlineStr">
        <is>
          <t>1st American ed.</t>
        </is>
      </c>
      <c r="O288" t="inlineStr">
        <is>
          <t>eng</t>
        </is>
      </c>
      <c r="P288" t="inlineStr">
        <is>
          <t>nyu</t>
        </is>
      </c>
      <c r="R288" t="inlineStr">
        <is>
          <t xml:space="preserve">NX </t>
        </is>
      </c>
      <c r="S288" t="n">
        <v>2</v>
      </c>
      <c r="T288" t="n">
        <v>2</v>
      </c>
      <c r="U288" t="inlineStr">
        <is>
          <t>1995-11-02</t>
        </is>
      </c>
      <c r="V288" t="inlineStr">
        <is>
          <t>1995-11-02</t>
        </is>
      </c>
      <c r="W288" t="inlineStr">
        <is>
          <t>1991-05-17</t>
        </is>
      </c>
      <c r="X288" t="inlineStr">
        <is>
          <t>1991-05-17</t>
        </is>
      </c>
      <c r="Y288" t="n">
        <v>356</v>
      </c>
      <c r="Z288" t="n">
        <v>326</v>
      </c>
      <c r="AA288" t="n">
        <v>349</v>
      </c>
      <c r="AB288" t="n">
        <v>2</v>
      </c>
      <c r="AC288" t="n">
        <v>2</v>
      </c>
      <c r="AD288" t="n">
        <v>11</v>
      </c>
      <c r="AE288" t="n">
        <v>11</v>
      </c>
      <c r="AF288" t="n">
        <v>4</v>
      </c>
      <c r="AG288" t="n">
        <v>4</v>
      </c>
      <c r="AH288" t="n">
        <v>3</v>
      </c>
      <c r="AI288" t="n">
        <v>3</v>
      </c>
      <c r="AJ288" t="n">
        <v>6</v>
      </c>
      <c r="AK288" t="n">
        <v>6</v>
      </c>
      <c r="AL288" t="n">
        <v>1</v>
      </c>
      <c r="AM288" t="n">
        <v>1</v>
      </c>
      <c r="AN288" t="n">
        <v>0</v>
      </c>
      <c r="AO288" t="n">
        <v>0</v>
      </c>
      <c r="AP288" t="inlineStr">
        <is>
          <t>No</t>
        </is>
      </c>
      <c r="AQ288" t="inlineStr">
        <is>
          <t>Yes</t>
        </is>
      </c>
      <c r="AR288">
        <f>HYPERLINK("http://catalog.hathitrust.org/Record/002498882","HathiTrust Record")</f>
        <v/>
      </c>
      <c r="AS288">
        <f>HYPERLINK("https://creighton-primo.hosted.exlibrisgroup.com/primo-explore/search?tab=default_tab&amp;search_scope=EVERYTHING&amp;vid=01CRU&amp;lang=en_US&amp;offset=0&amp;query=any,contains,991001705999702656","Catalog Record")</f>
        <v/>
      </c>
      <c r="AT288">
        <f>HYPERLINK("http://www.worldcat.org/oclc/21562257","WorldCat Record")</f>
        <v/>
      </c>
      <c r="AU288" t="inlineStr">
        <is>
          <t>199093959:eng</t>
        </is>
      </c>
      <c r="AV288" t="inlineStr">
        <is>
          <t>21562257</t>
        </is>
      </c>
      <c r="AW288" t="inlineStr">
        <is>
          <t>991001705999702656</t>
        </is>
      </c>
      <c r="AX288" t="inlineStr">
        <is>
          <t>991001705999702656</t>
        </is>
      </c>
      <c r="AY288" t="inlineStr">
        <is>
          <t>2264477760002656</t>
        </is>
      </c>
      <c r="AZ288" t="inlineStr">
        <is>
          <t>BOOK</t>
        </is>
      </c>
      <c r="BB288" t="inlineStr">
        <is>
          <t>9780394588476</t>
        </is>
      </c>
      <c r="BC288" t="inlineStr">
        <is>
          <t>32285000574185</t>
        </is>
      </c>
      <c r="BD288" t="inlineStr">
        <is>
          <t>893903536</t>
        </is>
      </c>
    </row>
    <row r="289">
      <c r="A289" t="inlineStr">
        <is>
          <t>No</t>
        </is>
      </c>
      <c r="B289" t="inlineStr">
        <is>
          <t>NX504 .T37</t>
        </is>
      </c>
      <c r="C289" t="inlineStr">
        <is>
          <t>0                      NX 0504000T  37</t>
        </is>
      </c>
      <c r="D289" t="inlineStr">
        <is>
          <t>Skyscraper primitives : Dada and the American avant-garde, 1910-1925 / by Dickran Tashjian.</t>
        </is>
      </c>
      <c r="F289" t="inlineStr">
        <is>
          <t>No</t>
        </is>
      </c>
      <c r="G289" t="inlineStr">
        <is>
          <t>1</t>
        </is>
      </c>
      <c r="H289" t="inlineStr">
        <is>
          <t>No</t>
        </is>
      </c>
      <c r="I289" t="inlineStr">
        <is>
          <t>No</t>
        </is>
      </c>
      <c r="J289" t="inlineStr">
        <is>
          <t>0</t>
        </is>
      </c>
      <c r="K289" t="inlineStr">
        <is>
          <t>Tashjian, Dickran, 1940-</t>
        </is>
      </c>
      <c r="L289" t="inlineStr">
        <is>
          <t>Middletown, Conn. : Wesleyan University Press, [1975]</t>
        </is>
      </c>
      <c r="M289" t="inlineStr">
        <is>
          <t>1975</t>
        </is>
      </c>
      <c r="N289" t="inlineStr">
        <is>
          <t>1st ed.</t>
        </is>
      </c>
      <c r="O289" t="inlineStr">
        <is>
          <t>eng</t>
        </is>
      </c>
      <c r="P289" t="inlineStr">
        <is>
          <t>ctu</t>
        </is>
      </c>
      <c r="R289" t="inlineStr">
        <is>
          <t xml:space="preserve">NX </t>
        </is>
      </c>
      <c r="S289" t="n">
        <v>4</v>
      </c>
      <c r="T289" t="n">
        <v>4</v>
      </c>
      <c r="U289" t="inlineStr">
        <is>
          <t>1993-11-27</t>
        </is>
      </c>
      <c r="V289" t="inlineStr">
        <is>
          <t>1993-11-27</t>
        </is>
      </c>
      <c r="W289" t="inlineStr">
        <is>
          <t>1990-04-02</t>
        </is>
      </c>
      <c r="X289" t="inlineStr">
        <is>
          <t>1990-04-02</t>
        </is>
      </c>
      <c r="Y289" t="n">
        <v>878</v>
      </c>
      <c r="Z289" t="n">
        <v>742</v>
      </c>
      <c r="AA289" t="n">
        <v>746</v>
      </c>
      <c r="AB289" t="n">
        <v>6</v>
      </c>
      <c r="AC289" t="n">
        <v>6</v>
      </c>
      <c r="AD289" t="n">
        <v>26</v>
      </c>
      <c r="AE289" t="n">
        <v>26</v>
      </c>
      <c r="AF289" t="n">
        <v>8</v>
      </c>
      <c r="AG289" t="n">
        <v>8</v>
      </c>
      <c r="AH289" t="n">
        <v>8</v>
      </c>
      <c r="AI289" t="n">
        <v>8</v>
      </c>
      <c r="AJ289" t="n">
        <v>11</v>
      </c>
      <c r="AK289" t="n">
        <v>11</v>
      </c>
      <c r="AL289" t="n">
        <v>5</v>
      </c>
      <c r="AM289" t="n">
        <v>5</v>
      </c>
      <c r="AN289" t="n">
        <v>0</v>
      </c>
      <c r="AO289" t="n">
        <v>0</v>
      </c>
      <c r="AP289" t="inlineStr">
        <is>
          <t>No</t>
        </is>
      </c>
      <c r="AQ289" t="inlineStr">
        <is>
          <t>Yes</t>
        </is>
      </c>
      <c r="AR289">
        <f>HYPERLINK("http://catalog.hathitrust.org/Record/000032930","HathiTrust Record")</f>
        <v/>
      </c>
      <c r="AS289">
        <f>HYPERLINK("https://creighton-primo.hosted.exlibrisgroup.com/primo-explore/search?tab=default_tab&amp;search_scope=EVERYTHING&amp;vid=01CRU&amp;lang=en_US&amp;offset=0&amp;query=any,contains,991003539359702656","Catalog Record")</f>
        <v/>
      </c>
      <c r="AT289">
        <f>HYPERLINK("http://www.worldcat.org/oclc/1104108","WorldCat Record")</f>
        <v/>
      </c>
      <c r="AU289" t="inlineStr">
        <is>
          <t>203273376:eng</t>
        </is>
      </c>
      <c r="AV289" t="inlineStr">
        <is>
          <t>1104108</t>
        </is>
      </c>
      <c r="AW289" t="inlineStr">
        <is>
          <t>991003539359702656</t>
        </is>
      </c>
      <c r="AX289" t="inlineStr">
        <is>
          <t>991003539359702656</t>
        </is>
      </c>
      <c r="AY289" t="inlineStr">
        <is>
          <t>2256405380002656</t>
        </is>
      </c>
      <c r="AZ289" t="inlineStr">
        <is>
          <t>BOOK</t>
        </is>
      </c>
      <c r="BB289" t="inlineStr">
        <is>
          <t>9780819540812</t>
        </is>
      </c>
      <c r="BC289" t="inlineStr">
        <is>
          <t>32285000101393</t>
        </is>
      </c>
      <c r="BD289" t="inlineStr">
        <is>
          <t>893262795</t>
        </is>
      </c>
    </row>
    <row r="290">
      <c r="A290" t="inlineStr">
        <is>
          <t>No</t>
        </is>
      </c>
      <c r="B290" t="inlineStr">
        <is>
          <t>NX504.A1 D36 2002</t>
        </is>
      </c>
      <c r="C290" t="inlineStr">
        <is>
          <t>0                      NX 0504000A  1                  D  36          2002</t>
        </is>
      </c>
      <c r="D290" t="inlineStr">
        <is>
          <t>Headin' for better times : the arts of the great depression / Duane Damon.</t>
        </is>
      </c>
      <c r="F290" t="inlineStr">
        <is>
          <t>No</t>
        </is>
      </c>
      <c r="G290" t="inlineStr">
        <is>
          <t>1</t>
        </is>
      </c>
      <c r="H290" t="inlineStr">
        <is>
          <t>No</t>
        </is>
      </c>
      <c r="I290" t="inlineStr">
        <is>
          <t>No</t>
        </is>
      </c>
      <c r="J290" t="inlineStr">
        <is>
          <t>0</t>
        </is>
      </c>
      <c r="K290" t="inlineStr">
        <is>
          <t>Damon, Duane.</t>
        </is>
      </c>
      <c r="L290" t="inlineStr">
        <is>
          <t>Minneapolis : Lerner Publications Co., c2002.</t>
        </is>
      </c>
      <c r="M290" t="inlineStr">
        <is>
          <t>2002</t>
        </is>
      </c>
      <c r="O290" t="inlineStr">
        <is>
          <t>eng</t>
        </is>
      </c>
      <c r="P290" t="inlineStr">
        <is>
          <t>mnu</t>
        </is>
      </c>
      <c r="Q290" t="inlineStr">
        <is>
          <t>People's history</t>
        </is>
      </c>
      <c r="R290" t="inlineStr">
        <is>
          <t xml:space="preserve">NX </t>
        </is>
      </c>
      <c r="S290" t="n">
        <v>6</v>
      </c>
      <c r="T290" t="n">
        <v>6</v>
      </c>
      <c r="U290" t="inlineStr">
        <is>
          <t>2009-11-10</t>
        </is>
      </c>
      <c r="V290" t="inlineStr">
        <is>
          <t>2009-11-10</t>
        </is>
      </c>
      <c r="W290" t="inlineStr">
        <is>
          <t>2003-06-16</t>
        </is>
      </c>
      <c r="X290" t="inlineStr">
        <is>
          <t>2003-06-16</t>
        </is>
      </c>
      <c r="Y290" t="n">
        <v>342</v>
      </c>
      <c r="Z290" t="n">
        <v>337</v>
      </c>
      <c r="AA290" t="n">
        <v>338</v>
      </c>
      <c r="AB290" t="n">
        <v>3</v>
      </c>
      <c r="AC290" t="n">
        <v>3</v>
      </c>
      <c r="AD290" t="n">
        <v>6</v>
      </c>
      <c r="AE290" t="n">
        <v>6</v>
      </c>
      <c r="AF290" t="n">
        <v>2</v>
      </c>
      <c r="AG290" t="n">
        <v>2</v>
      </c>
      <c r="AH290" t="n">
        <v>2</v>
      </c>
      <c r="AI290" t="n">
        <v>2</v>
      </c>
      <c r="AJ290" t="n">
        <v>1</v>
      </c>
      <c r="AK290" t="n">
        <v>1</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HYPERLINK("https://creighton-primo.hosted.exlibrisgroup.com/primo-explore/search?tab=default_tab&amp;search_scope=EVERYTHING&amp;vid=01CRU&amp;lang=en_US&amp;offset=0&amp;query=any,contains,991004070709702656","Catalog Record")</f>
        <v/>
      </c>
      <c r="AT290">
        <f>HYPERLINK("http://www.worldcat.org/oclc/45387263","WorldCat Record")</f>
        <v/>
      </c>
      <c r="AU290" t="inlineStr">
        <is>
          <t>10142619272:eng</t>
        </is>
      </c>
      <c r="AV290" t="inlineStr">
        <is>
          <t>45387263</t>
        </is>
      </c>
      <c r="AW290" t="inlineStr">
        <is>
          <t>991004070709702656</t>
        </is>
      </c>
      <c r="AX290" t="inlineStr">
        <is>
          <t>991004070709702656</t>
        </is>
      </c>
      <c r="AY290" t="inlineStr">
        <is>
          <t>2258385610002656</t>
        </is>
      </c>
      <c r="AZ290" t="inlineStr">
        <is>
          <t>BOOK</t>
        </is>
      </c>
      <c r="BB290" t="inlineStr">
        <is>
          <t>9780822517412</t>
        </is>
      </c>
      <c r="BC290" t="inlineStr">
        <is>
          <t>32285004752498</t>
        </is>
      </c>
      <c r="BD290" t="inlineStr">
        <is>
          <t>893220597</t>
        </is>
      </c>
    </row>
    <row r="291">
      <c r="A291" t="inlineStr">
        <is>
          <t>No</t>
        </is>
      </c>
      <c r="B291" t="inlineStr">
        <is>
          <t>NX511.C45 A78 1996b</t>
        </is>
      </c>
      <c r="C291" t="inlineStr">
        <is>
          <t>0                      NX 0511000C  45                 A  78          1996b</t>
        </is>
      </c>
      <c r="D291" t="inlineStr">
        <is>
          <t>Art in Chicago, 1945-1995 / organized by Lynne Warren ; essays by Jeff Abell ... [et al.] ; with contributions from Monique Meloche and Dominic Molon.</t>
        </is>
      </c>
      <c r="F291" t="inlineStr">
        <is>
          <t>No</t>
        </is>
      </c>
      <c r="G291" t="inlineStr">
        <is>
          <t>1</t>
        </is>
      </c>
      <c r="H291" t="inlineStr">
        <is>
          <t>No</t>
        </is>
      </c>
      <c r="I291" t="inlineStr">
        <is>
          <t>No</t>
        </is>
      </c>
      <c r="J291" t="inlineStr">
        <is>
          <t>0</t>
        </is>
      </c>
      <c r="L291" t="inlineStr">
        <is>
          <t>New York, N.Y. : Thames and Hudson ; Chicago : Museum of Contemporary Art, 1996.</t>
        </is>
      </c>
      <c r="M291" t="inlineStr">
        <is>
          <t>1996</t>
        </is>
      </c>
      <c r="O291" t="inlineStr">
        <is>
          <t>eng</t>
        </is>
      </c>
      <c r="P291" t="inlineStr">
        <is>
          <t>nyu</t>
        </is>
      </c>
      <c r="R291" t="inlineStr">
        <is>
          <t xml:space="preserve">NX </t>
        </is>
      </c>
      <c r="S291" t="n">
        <v>1</v>
      </c>
      <c r="T291" t="n">
        <v>1</v>
      </c>
      <c r="U291" t="inlineStr">
        <is>
          <t>1998-07-22</t>
        </is>
      </c>
      <c r="V291" t="inlineStr">
        <is>
          <t>1998-07-22</t>
        </is>
      </c>
      <c r="W291" t="inlineStr">
        <is>
          <t>1997-04-16</t>
        </is>
      </c>
      <c r="X291" t="inlineStr">
        <is>
          <t>1997-04-16</t>
        </is>
      </c>
      <c r="Y291" t="n">
        <v>574</v>
      </c>
      <c r="Z291" t="n">
        <v>518</v>
      </c>
      <c r="AA291" t="n">
        <v>648</v>
      </c>
      <c r="AB291" t="n">
        <v>6</v>
      </c>
      <c r="AC291" t="n">
        <v>6</v>
      </c>
      <c r="AD291" t="n">
        <v>21</v>
      </c>
      <c r="AE291" t="n">
        <v>24</v>
      </c>
      <c r="AF291" t="n">
        <v>8</v>
      </c>
      <c r="AG291" t="n">
        <v>9</v>
      </c>
      <c r="AH291" t="n">
        <v>4</v>
      </c>
      <c r="AI291" t="n">
        <v>5</v>
      </c>
      <c r="AJ291" t="n">
        <v>10</v>
      </c>
      <c r="AK291" t="n">
        <v>11</v>
      </c>
      <c r="AL291" t="n">
        <v>4</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HYPERLINK("https://creighton-primo.hosted.exlibrisgroup.com/primo-explore/search?tab=default_tab&amp;search_scope=EVERYTHING&amp;vid=01CRU&amp;lang=en_US&amp;offset=0&amp;query=any,contains,991002749179702656","Catalog Record")</f>
        <v/>
      </c>
      <c r="AT291">
        <f>HYPERLINK("http://www.worldcat.org/oclc/36076230","WorldCat Record")</f>
        <v/>
      </c>
      <c r="AU291" t="inlineStr">
        <is>
          <t>435649342:eng</t>
        </is>
      </c>
      <c r="AV291" t="inlineStr">
        <is>
          <t>36076230</t>
        </is>
      </c>
      <c r="AW291" t="inlineStr">
        <is>
          <t>991002749179702656</t>
        </is>
      </c>
      <c r="AX291" t="inlineStr">
        <is>
          <t>991002749179702656</t>
        </is>
      </c>
      <c r="AY291" t="inlineStr">
        <is>
          <t>2260890960002656</t>
        </is>
      </c>
      <c r="AZ291" t="inlineStr">
        <is>
          <t>BOOK</t>
        </is>
      </c>
      <c r="BB291" t="inlineStr">
        <is>
          <t>9780500237281</t>
        </is>
      </c>
      <c r="BC291" t="inlineStr">
        <is>
          <t>32285002497559</t>
        </is>
      </c>
      <c r="BD291" t="inlineStr">
        <is>
          <t>893780171</t>
        </is>
      </c>
    </row>
    <row r="292">
      <c r="A292" t="inlineStr">
        <is>
          <t>No</t>
        </is>
      </c>
      <c r="B292" t="inlineStr">
        <is>
          <t>NX512.3.A35 T95 1992</t>
        </is>
      </c>
      <c r="C292" t="inlineStr">
        <is>
          <t>0                      NX 0512300A  35                 T  95          1992</t>
        </is>
      </c>
      <c r="D292" t="inlineStr">
        <is>
          <t>From Harlem to Hollywood : the struggle for racial and cultural democracy, 1920-1943 / Bruce M. Tyler.</t>
        </is>
      </c>
      <c r="F292" t="inlineStr">
        <is>
          <t>No</t>
        </is>
      </c>
      <c r="G292" t="inlineStr">
        <is>
          <t>1</t>
        </is>
      </c>
      <c r="H292" t="inlineStr">
        <is>
          <t>No</t>
        </is>
      </c>
      <c r="I292" t="inlineStr">
        <is>
          <t>No</t>
        </is>
      </c>
      <c r="J292" t="inlineStr">
        <is>
          <t>0</t>
        </is>
      </c>
      <c r="K292" t="inlineStr">
        <is>
          <t>Tyler, Bruce Michael, 1948-</t>
        </is>
      </c>
      <c r="L292" t="inlineStr">
        <is>
          <t>New York : Garland, 1992.</t>
        </is>
      </c>
      <c r="M292" t="inlineStr">
        <is>
          <t>1992</t>
        </is>
      </c>
      <c r="O292" t="inlineStr">
        <is>
          <t>eng</t>
        </is>
      </c>
      <c r="P292" t="inlineStr">
        <is>
          <t>nyu</t>
        </is>
      </c>
      <c r="Q292" t="inlineStr">
        <is>
          <t>Critical studies in Black life and culture ; vol. 26</t>
        </is>
      </c>
      <c r="R292" t="inlineStr">
        <is>
          <t xml:space="preserve">NX </t>
        </is>
      </c>
      <c r="S292" t="n">
        <v>11</v>
      </c>
      <c r="T292" t="n">
        <v>11</v>
      </c>
      <c r="U292" t="inlineStr">
        <is>
          <t>1999-02-02</t>
        </is>
      </c>
      <c r="V292" t="inlineStr">
        <is>
          <t>1999-02-02</t>
        </is>
      </c>
      <c r="W292" t="inlineStr">
        <is>
          <t>1993-10-12</t>
        </is>
      </c>
      <c r="X292" t="inlineStr">
        <is>
          <t>1993-10-12</t>
        </is>
      </c>
      <c r="Y292" t="n">
        <v>528</v>
      </c>
      <c r="Z292" t="n">
        <v>498</v>
      </c>
      <c r="AA292" t="n">
        <v>498</v>
      </c>
      <c r="AB292" t="n">
        <v>4</v>
      </c>
      <c r="AC292" t="n">
        <v>4</v>
      </c>
      <c r="AD292" t="n">
        <v>26</v>
      </c>
      <c r="AE292" t="n">
        <v>26</v>
      </c>
      <c r="AF292" t="n">
        <v>8</v>
      </c>
      <c r="AG292" t="n">
        <v>8</v>
      </c>
      <c r="AH292" t="n">
        <v>7</v>
      </c>
      <c r="AI292" t="n">
        <v>7</v>
      </c>
      <c r="AJ292" t="n">
        <v>12</v>
      </c>
      <c r="AK292" t="n">
        <v>12</v>
      </c>
      <c r="AL292" t="n">
        <v>3</v>
      </c>
      <c r="AM292" t="n">
        <v>3</v>
      </c>
      <c r="AN292" t="n">
        <v>1</v>
      </c>
      <c r="AO292" t="n">
        <v>1</v>
      </c>
      <c r="AP292" t="inlineStr">
        <is>
          <t>No</t>
        </is>
      </c>
      <c r="AQ292" t="inlineStr">
        <is>
          <t>No</t>
        </is>
      </c>
      <c r="AS292">
        <f>HYPERLINK("https://creighton-primo.hosted.exlibrisgroup.com/primo-explore/search?tab=default_tab&amp;search_scope=EVERYTHING&amp;vid=01CRU&amp;lang=en_US&amp;offset=0&amp;query=any,contains,991001960859702656","Catalog Record")</f>
        <v/>
      </c>
      <c r="AT292">
        <f>HYPERLINK("http://www.worldcat.org/oclc/24847463","WorldCat Record")</f>
        <v/>
      </c>
      <c r="AU292" t="inlineStr">
        <is>
          <t>141674840:eng</t>
        </is>
      </c>
      <c r="AV292" t="inlineStr">
        <is>
          <t>24847463</t>
        </is>
      </c>
      <c r="AW292" t="inlineStr">
        <is>
          <t>991001960859702656</t>
        </is>
      </c>
      <c r="AX292" t="inlineStr">
        <is>
          <t>991001960859702656</t>
        </is>
      </c>
      <c r="AY292" t="inlineStr">
        <is>
          <t>2269536840002656</t>
        </is>
      </c>
      <c r="AZ292" t="inlineStr">
        <is>
          <t>BOOK</t>
        </is>
      </c>
      <c r="BB292" t="inlineStr">
        <is>
          <t>9780815308140</t>
        </is>
      </c>
      <c r="BC292" t="inlineStr">
        <is>
          <t>32285001785970</t>
        </is>
      </c>
      <c r="BD292" t="inlineStr">
        <is>
          <t>893232417</t>
        </is>
      </c>
    </row>
    <row r="293">
      <c r="A293" t="inlineStr">
        <is>
          <t>No</t>
        </is>
      </c>
      <c r="B293" t="inlineStr">
        <is>
          <t>NX512.G66 A35 2000</t>
        </is>
      </c>
      <c r="C293" t="inlineStr">
        <is>
          <t>0                      NX 0512000G  66                 A  35          2000</t>
        </is>
      </c>
      <c r="D293" t="inlineStr">
        <is>
          <t>Dangerous border crossers : the artist talks back / Guillermo Gomez-Peña.</t>
        </is>
      </c>
      <c r="F293" t="inlineStr">
        <is>
          <t>No</t>
        </is>
      </c>
      <c r="G293" t="inlineStr">
        <is>
          <t>1</t>
        </is>
      </c>
      <c r="H293" t="inlineStr">
        <is>
          <t>No</t>
        </is>
      </c>
      <c r="I293" t="inlineStr">
        <is>
          <t>No</t>
        </is>
      </c>
      <c r="J293" t="inlineStr">
        <is>
          <t>0</t>
        </is>
      </c>
      <c r="K293" t="inlineStr">
        <is>
          <t>Gómez-Peña, Guillermo.</t>
        </is>
      </c>
      <c r="L293" t="inlineStr">
        <is>
          <t>London ; New York : Routledge, 2000.</t>
        </is>
      </c>
      <c r="M293" t="inlineStr">
        <is>
          <t>2000</t>
        </is>
      </c>
      <c r="O293" t="inlineStr">
        <is>
          <t>eng</t>
        </is>
      </c>
      <c r="P293" t="inlineStr">
        <is>
          <t>enk</t>
        </is>
      </c>
      <c r="R293" t="inlineStr">
        <is>
          <t xml:space="preserve">NX </t>
        </is>
      </c>
      <c r="S293" t="n">
        <v>1</v>
      </c>
      <c r="T293" t="n">
        <v>1</v>
      </c>
      <c r="U293" t="inlineStr">
        <is>
          <t>2005-03-22</t>
        </is>
      </c>
      <c r="V293" t="inlineStr">
        <is>
          <t>2005-03-22</t>
        </is>
      </c>
      <c r="W293" t="inlineStr">
        <is>
          <t>2005-03-22</t>
        </is>
      </c>
      <c r="X293" t="inlineStr">
        <is>
          <t>2005-03-22</t>
        </is>
      </c>
      <c r="Y293" t="n">
        <v>571</v>
      </c>
      <c r="Z293" t="n">
        <v>443</v>
      </c>
      <c r="AA293" t="n">
        <v>478</v>
      </c>
      <c r="AB293" t="n">
        <v>2</v>
      </c>
      <c r="AC293" t="n">
        <v>2</v>
      </c>
      <c r="AD293" t="n">
        <v>22</v>
      </c>
      <c r="AE293" t="n">
        <v>22</v>
      </c>
      <c r="AF293" t="n">
        <v>10</v>
      </c>
      <c r="AG293" t="n">
        <v>10</v>
      </c>
      <c r="AH293" t="n">
        <v>6</v>
      </c>
      <c r="AI293" t="n">
        <v>6</v>
      </c>
      <c r="AJ293" t="n">
        <v>10</v>
      </c>
      <c r="AK293" t="n">
        <v>10</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HYPERLINK("https://creighton-primo.hosted.exlibrisgroup.com/primo-explore/search?tab=default_tab&amp;search_scope=EVERYTHING&amp;vid=01CRU&amp;lang=en_US&amp;offset=0&amp;query=any,contains,991004499829702656","Catalog Record")</f>
        <v/>
      </c>
      <c r="AT293">
        <f>HYPERLINK("http://www.worldcat.org/oclc/42682576","WorldCat Record")</f>
        <v/>
      </c>
      <c r="AU293" t="inlineStr">
        <is>
          <t>800854590:eng</t>
        </is>
      </c>
      <c r="AV293" t="inlineStr">
        <is>
          <t>42682576</t>
        </is>
      </c>
      <c r="AW293" t="inlineStr">
        <is>
          <t>991004499829702656</t>
        </is>
      </c>
      <c r="AX293" t="inlineStr">
        <is>
          <t>991004499829702656</t>
        </is>
      </c>
      <c r="AY293" t="inlineStr">
        <is>
          <t>2260415670002656</t>
        </is>
      </c>
      <c r="AZ293" t="inlineStr">
        <is>
          <t>BOOK</t>
        </is>
      </c>
      <c r="BB293" t="inlineStr">
        <is>
          <t>9780415182379</t>
        </is>
      </c>
      <c r="BC293" t="inlineStr">
        <is>
          <t>32285005044143</t>
        </is>
      </c>
      <c r="BD293" t="inlineStr">
        <is>
          <t>893331677</t>
        </is>
      </c>
    </row>
    <row r="294">
      <c r="A294" t="inlineStr">
        <is>
          <t>No</t>
        </is>
      </c>
      <c r="B294" t="inlineStr">
        <is>
          <t>NX512.M67 B47 1989</t>
        </is>
      </c>
      <c r="C294" t="inlineStr">
        <is>
          <t>0                      NX 0512000M  67                 B  47          1989</t>
        </is>
      </c>
      <c r="D294" t="inlineStr">
        <is>
          <t>Labyrinths : Robert Morris, minimalism, and the 1960s / Maurice Berger.</t>
        </is>
      </c>
      <c r="F294" t="inlineStr">
        <is>
          <t>No</t>
        </is>
      </c>
      <c r="G294" t="inlineStr">
        <is>
          <t>1</t>
        </is>
      </c>
      <c r="H294" t="inlineStr">
        <is>
          <t>No</t>
        </is>
      </c>
      <c r="I294" t="inlineStr">
        <is>
          <t>No</t>
        </is>
      </c>
      <c r="J294" t="inlineStr">
        <is>
          <t>0</t>
        </is>
      </c>
      <c r="K294" t="inlineStr">
        <is>
          <t>Berger, Maurice, 1956-2020.</t>
        </is>
      </c>
      <c r="L294" t="inlineStr">
        <is>
          <t>New York : Harper &amp; Row, c1989.</t>
        </is>
      </c>
      <c r="M294" t="inlineStr">
        <is>
          <t>1989</t>
        </is>
      </c>
      <c r="N294" t="inlineStr">
        <is>
          <t>1st ed.</t>
        </is>
      </c>
      <c r="O294" t="inlineStr">
        <is>
          <t>eng</t>
        </is>
      </c>
      <c r="P294" t="inlineStr">
        <is>
          <t>nyu</t>
        </is>
      </c>
      <c r="Q294" t="inlineStr">
        <is>
          <t>Icon editions</t>
        </is>
      </c>
      <c r="R294" t="inlineStr">
        <is>
          <t xml:space="preserve">NX </t>
        </is>
      </c>
      <c r="S294" t="n">
        <v>1</v>
      </c>
      <c r="T294" t="n">
        <v>1</v>
      </c>
      <c r="U294" t="inlineStr">
        <is>
          <t>1993-09-07</t>
        </is>
      </c>
      <c r="V294" t="inlineStr">
        <is>
          <t>1993-09-07</t>
        </is>
      </c>
      <c r="W294" t="inlineStr">
        <is>
          <t>1990-05-17</t>
        </is>
      </c>
      <c r="X294" t="inlineStr">
        <is>
          <t>1990-05-17</t>
        </is>
      </c>
      <c r="Y294" t="n">
        <v>570</v>
      </c>
      <c r="Z294" t="n">
        <v>485</v>
      </c>
      <c r="AA294" t="n">
        <v>489</v>
      </c>
      <c r="AB294" t="n">
        <v>4</v>
      </c>
      <c r="AC294" t="n">
        <v>4</v>
      </c>
      <c r="AD294" t="n">
        <v>22</v>
      </c>
      <c r="AE294" t="n">
        <v>22</v>
      </c>
      <c r="AF294" t="n">
        <v>9</v>
      </c>
      <c r="AG294" t="n">
        <v>9</v>
      </c>
      <c r="AH294" t="n">
        <v>5</v>
      </c>
      <c r="AI294" t="n">
        <v>5</v>
      </c>
      <c r="AJ294" t="n">
        <v>10</v>
      </c>
      <c r="AK294" t="n">
        <v>10</v>
      </c>
      <c r="AL294" t="n">
        <v>3</v>
      </c>
      <c r="AM294" t="n">
        <v>3</v>
      </c>
      <c r="AN294" t="n">
        <v>0</v>
      </c>
      <c r="AO294" t="n">
        <v>0</v>
      </c>
      <c r="AP294" t="inlineStr">
        <is>
          <t>No</t>
        </is>
      </c>
      <c r="AQ294" t="inlineStr">
        <is>
          <t>Yes</t>
        </is>
      </c>
      <c r="AR294">
        <f>HYPERLINK("http://catalog.hathitrust.org/Record/001841466","HathiTrust Record")</f>
        <v/>
      </c>
      <c r="AS294">
        <f>HYPERLINK("https://creighton-primo.hosted.exlibrisgroup.com/primo-explore/search?tab=default_tab&amp;search_scope=EVERYTHING&amp;vid=01CRU&amp;lang=en_US&amp;offset=0&amp;query=any,contains,991001398219702656","Catalog Record")</f>
        <v/>
      </c>
      <c r="AT294">
        <f>HYPERLINK("http://www.worldcat.org/oclc/18814059","WorldCat Record")</f>
        <v/>
      </c>
      <c r="AU294" t="inlineStr">
        <is>
          <t>138668198:eng</t>
        </is>
      </c>
      <c r="AV294" t="inlineStr">
        <is>
          <t>18814059</t>
        </is>
      </c>
      <c r="AW294" t="inlineStr">
        <is>
          <t>991001398219702656</t>
        </is>
      </c>
      <c r="AX294" t="inlineStr">
        <is>
          <t>991001398219702656</t>
        </is>
      </c>
      <c r="AY294" t="inlineStr">
        <is>
          <t>2265146770002656</t>
        </is>
      </c>
      <c r="AZ294" t="inlineStr">
        <is>
          <t>BOOK</t>
        </is>
      </c>
      <c r="BB294" t="inlineStr">
        <is>
          <t>9780064303842</t>
        </is>
      </c>
      <c r="BC294" t="inlineStr">
        <is>
          <t>32285000136456</t>
        </is>
      </c>
      <c r="BD294" t="inlineStr">
        <is>
          <t>893516177</t>
        </is>
      </c>
    </row>
    <row r="295">
      <c r="A295" t="inlineStr">
        <is>
          <t>No</t>
        </is>
      </c>
      <c r="B295" t="inlineStr">
        <is>
          <t>NX542 .B88 1994</t>
        </is>
      </c>
      <c r="C295" t="inlineStr">
        <is>
          <t>0                      NX 0542000B  88          1994</t>
        </is>
      </c>
      <c r="D295" t="inlineStr">
        <is>
          <t>Early modernism : literature music and painting in Europe, 1900-1916 / Christopher Butler.</t>
        </is>
      </c>
      <c r="F295" t="inlineStr">
        <is>
          <t>No</t>
        </is>
      </c>
      <c r="G295" t="inlineStr">
        <is>
          <t>1</t>
        </is>
      </c>
      <c r="H295" t="inlineStr">
        <is>
          <t>No</t>
        </is>
      </c>
      <c r="I295" t="inlineStr">
        <is>
          <t>No</t>
        </is>
      </c>
      <c r="J295" t="inlineStr">
        <is>
          <t>0</t>
        </is>
      </c>
      <c r="K295" t="inlineStr">
        <is>
          <t>Butler, Christopher.</t>
        </is>
      </c>
      <c r="L295" t="inlineStr">
        <is>
          <t>Oxford : Clarendon Press, 1994.</t>
        </is>
      </c>
      <c r="M295" t="inlineStr">
        <is>
          <t>1994</t>
        </is>
      </c>
      <c r="O295" t="inlineStr">
        <is>
          <t>eng</t>
        </is>
      </c>
      <c r="P295" t="inlineStr">
        <is>
          <t>nyu</t>
        </is>
      </c>
      <c r="R295" t="inlineStr">
        <is>
          <t xml:space="preserve">NX </t>
        </is>
      </c>
      <c r="S295" t="n">
        <v>3</v>
      </c>
      <c r="T295" t="n">
        <v>3</v>
      </c>
      <c r="U295" t="inlineStr">
        <is>
          <t>2009-02-04</t>
        </is>
      </c>
      <c r="V295" t="inlineStr">
        <is>
          <t>2009-02-04</t>
        </is>
      </c>
      <c r="W295" t="inlineStr">
        <is>
          <t>2003-02-12</t>
        </is>
      </c>
      <c r="X295" t="inlineStr">
        <is>
          <t>2003-02-12</t>
        </is>
      </c>
      <c r="Y295" t="n">
        <v>817</v>
      </c>
      <c r="Z295" t="n">
        <v>557</v>
      </c>
      <c r="AA295" t="n">
        <v>564</v>
      </c>
      <c r="AB295" t="n">
        <v>5</v>
      </c>
      <c r="AC295" t="n">
        <v>5</v>
      </c>
      <c r="AD295" t="n">
        <v>26</v>
      </c>
      <c r="AE295" t="n">
        <v>26</v>
      </c>
      <c r="AF295" t="n">
        <v>12</v>
      </c>
      <c r="AG295" t="n">
        <v>12</v>
      </c>
      <c r="AH295" t="n">
        <v>5</v>
      </c>
      <c r="AI295" t="n">
        <v>5</v>
      </c>
      <c r="AJ295" t="n">
        <v>12</v>
      </c>
      <c r="AK295" t="n">
        <v>12</v>
      </c>
      <c r="AL295" t="n">
        <v>4</v>
      </c>
      <c r="AM295" t="n">
        <v>4</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HYPERLINK("https://creighton-primo.hosted.exlibrisgroup.com/primo-explore/search?tab=default_tab&amp;search_scope=EVERYTHING&amp;vid=01CRU&amp;lang=en_US&amp;offset=0&amp;query=any,contains,991003994349702656","Catalog Record")</f>
        <v/>
      </c>
      <c r="AT295">
        <f>HYPERLINK("http://www.worldcat.org/oclc/28586162","WorldCat Record")</f>
        <v/>
      </c>
      <c r="AU295" t="inlineStr">
        <is>
          <t>889718681:eng</t>
        </is>
      </c>
      <c r="AV295" t="inlineStr">
        <is>
          <t>28586162</t>
        </is>
      </c>
      <c r="AW295" t="inlineStr">
        <is>
          <t>991003994349702656</t>
        </is>
      </c>
      <c r="AX295" t="inlineStr">
        <is>
          <t>991003994349702656</t>
        </is>
      </c>
      <c r="AY295" t="inlineStr">
        <is>
          <t>2263834240002656</t>
        </is>
      </c>
      <c r="AZ295" t="inlineStr">
        <is>
          <t>BOOK</t>
        </is>
      </c>
      <c r="BB295" t="inlineStr">
        <is>
          <t>9780198117469</t>
        </is>
      </c>
      <c r="BC295" t="inlineStr">
        <is>
          <t>32285004698352</t>
        </is>
      </c>
      <c r="BD295" t="inlineStr">
        <is>
          <t>893687227</t>
        </is>
      </c>
    </row>
    <row r="296">
      <c r="A296" t="inlineStr">
        <is>
          <t>No</t>
        </is>
      </c>
      <c r="B296" t="inlineStr">
        <is>
          <t>NX542.A1 S68 1997</t>
        </is>
      </c>
      <c r="C296" t="inlineStr">
        <is>
          <t>0                      NX 0542000A  1                  S  68          1997</t>
        </is>
      </c>
      <c r="D296" t="inlineStr">
        <is>
          <t>Surrealist art and writing, 1919-1939 : the gold of time / Jack J. Spector.</t>
        </is>
      </c>
      <c r="F296" t="inlineStr">
        <is>
          <t>No</t>
        </is>
      </c>
      <c r="G296" t="inlineStr">
        <is>
          <t>1</t>
        </is>
      </c>
      <c r="H296" t="inlineStr">
        <is>
          <t>No</t>
        </is>
      </c>
      <c r="I296" t="inlineStr">
        <is>
          <t>No</t>
        </is>
      </c>
      <c r="J296" t="inlineStr">
        <is>
          <t>0</t>
        </is>
      </c>
      <c r="K296" t="inlineStr">
        <is>
          <t>Spector, Jack J.</t>
        </is>
      </c>
      <c r="L296" t="inlineStr">
        <is>
          <t>Cambridge [England] ; New York : Cambridge University Press, 1997.</t>
        </is>
      </c>
      <c r="M296" t="inlineStr">
        <is>
          <t>1997</t>
        </is>
      </c>
      <c r="O296" t="inlineStr">
        <is>
          <t>eng</t>
        </is>
      </c>
      <c r="P296" t="inlineStr">
        <is>
          <t>enk</t>
        </is>
      </c>
      <c r="Q296" t="inlineStr">
        <is>
          <t>Contemporary artists and their critics</t>
        </is>
      </c>
      <c r="R296" t="inlineStr">
        <is>
          <t xml:space="preserve">NX </t>
        </is>
      </c>
      <c r="S296" t="n">
        <v>4</v>
      </c>
      <c r="T296" t="n">
        <v>4</v>
      </c>
      <c r="U296" t="inlineStr">
        <is>
          <t>2005-12-04</t>
        </is>
      </c>
      <c r="V296" t="inlineStr">
        <is>
          <t>2005-12-04</t>
        </is>
      </c>
      <c r="W296" t="inlineStr">
        <is>
          <t>1997-01-23</t>
        </is>
      </c>
      <c r="X296" t="inlineStr">
        <is>
          <t>1997-01-23</t>
        </is>
      </c>
      <c r="Y296" t="n">
        <v>503</v>
      </c>
      <c r="Z296" t="n">
        <v>351</v>
      </c>
      <c r="AA296" t="n">
        <v>365</v>
      </c>
      <c r="AB296" t="n">
        <v>3</v>
      </c>
      <c r="AC296" t="n">
        <v>3</v>
      </c>
      <c r="AD296" t="n">
        <v>20</v>
      </c>
      <c r="AE296" t="n">
        <v>20</v>
      </c>
      <c r="AF296" t="n">
        <v>8</v>
      </c>
      <c r="AG296" t="n">
        <v>8</v>
      </c>
      <c r="AH296" t="n">
        <v>6</v>
      </c>
      <c r="AI296" t="n">
        <v>6</v>
      </c>
      <c r="AJ296" t="n">
        <v>8</v>
      </c>
      <c r="AK296" t="n">
        <v>8</v>
      </c>
      <c r="AL296" t="n">
        <v>2</v>
      </c>
      <c r="AM296" t="n">
        <v>2</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HYPERLINK("https://creighton-primo.hosted.exlibrisgroup.com/primo-explore/search?tab=default_tab&amp;search_scope=EVERYTHING&amp;vid=01CRU&amp;lang=en_US&amp;offset=0&amp;query=any,contains,991002612129702656","Catalog Record")</f>
        <v/>
      </c>
      <c r="AT296">
        <f>HYPERLINK("http://www.worldcat.org/oclc/34243399","WorldCat Record")</f>
        <v/>
      </c>
      <c r="AU296" t="inlineStr">
        <is>
          <t>837061867:eng</t>
        </is>
      </c>
      <c r="AV296" t="inlineStr">
        <is>
          <t>34243399</t>
        </is>
      </c>
      <c r="AW296" t="inlineStr">
        <is>
          <t>991002612129702656</t>
        </is>
      </c>
      <c r="AX296" t="inlineStr">
        <is>
          <t>991002612129702656</t>
        </is>
      </c>
      <c r="AY296" t="inlineStr">
        <is>
          <t>2269577000002656</t>
        </is>
      </c>
      <c r="AZ296" t="inlineStr">
        <is>
          <t>BOOK</t>
        </is>
      </c>
      <c r="BB296" t="inlineStr">
        <is>
          <t>9780521553117</t>
        </is>
      </c>
      <c r="BC296" t="inlineStr">
        <is>
          <t>32285002410487</t>
        </is>
      </c>
      <c r="BD296" t="inlineStr">
        <is>
          <t>893873749</t>
        </is>
      </c>
    </row>
    <row r="297">
      <c r="A297" t="inlineStr">
        <is>
          <t>No</t>
        </is>
      </c>
      <c r="B297" t="inlineStr">
        <is>
          <t>NX543 .I52</t>
        </is>
      </c>
      <c r="C297" t="inlineStr">
        <is>
          <t>0                      NX 0543000I  52</t>
        </is>
      </c>
      <c r="D297" t="inlineStr">
        <is>
          <t>Images of Romanticism : verbal and visual affinities / edited by Karl Kroeber and William Walling.</t>
        </is>
      </c>
      <c r="F297" t="inlineStr">
        <is>
          <t>No</t>
        </is>
      </c>
      <c r="G297" t="inlineStr">
        <is>
          <t>1</t>
        </is>
      </c>
      <c r="H297" t="inlineStr">
        <is>
          <t>No</t>
        </is>
      </c>
      <c r="I297" t="inlineStr">
        <is>
          <t>No</t>
        </is>
      </c>
      <c r="J297" t="inlineStr">
        <is>
          <t>0</t>
        </is>
      </c>
      <c r="L297" t="inlineStr">
        <is>
          <t>New Haven : Yale University Press, 1978.</t>
        </is>
      </c>
      <c r="M297" t="inlineStr">
        <is>
          <t>1978</t>
        </is>
      </c>
      <c r="O297" t="inlineStr">
        <is>
          <t>eng</t>
        </is>
      </c>
      <c r="P297" t="inlineStr">
        <is>
          <t>ctu</t>
        </is>
      </c>
      <c r="R297" t="inlineStr">
        <is>
          <t xml:space="preserve">NX </t>
        </is>
      </c>
      <c r="S297" t="n">
        <v>3</v>
      </c>
      <c r="T297" t="n">
        <v>3</v>
      </c>
      <c r="U297" t="inlineStr">
        <is>
          <t>2001-02-13</t>
        </is>
      </c>
      <c r="V297" t="inlineStr">
        <is>
          <t>2001-02-13</t>
        </is>
      </c>
      <c r="W297" t="inlineStr">
        <is>
          <t>1993-06-02</t>
        </is>
      </c>
      <c r="X297" t="inlineStr">
        <is>
          <t>1993-06-02</t>
        </is>
      </c>
      <c r="Y297" t="n">
        <v>842</v>
      </c>
      <c r="Z297" t="n">
        <v>695</v>
      </c>
      <c r="AA297" t="n">
        <v>696</v>
      </c>
      <c r="AB297" t="n">
        <v>7</v>
      </c>
      <c r="AC297" t="n">
        <v>7</v>
      </c>
      <c r="AD297" t="n">
        <v>36</v>
      </c>
      <c r="AE297" t="n">
        <v>36</v>
      </c>
      <c r="AF297" t="n">
        <v>16</v>
      </c>
      <c r="AG297" t="n">
        <v>16</v>
      </c>
      <c r="AH297" t="n">
        <v>9</v>
      </c>
      <c r="AI297" t="n">
        <v>9</v>
      </c>
      <c r="AJ297" t="n">
        <v>18</v>
      </c>
      <c r="AK297" t="n">
        <v>18</v>
      </c>
      <c r="AL297" t="n">
        <v>5</v>
      </c>
      <c r="AM297" t="n">
        <v>5</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HYPERLINK("https://creighton-primo.hosted.exlibrisgroup.com/primo-explore/search?tab=default_tab&amp;search_scope=EVERYTHING&amp;vid=01CRU&amp;lang=en_US&amp;offset=0&amp;query=any,contains,991004525329702656","Catalog Record")</f>
        <v/>
      </c>
      <c r="AT297">
        <f>HYPERLINK("http://www.worldcat.org/oclc/3843195","WorldCat Record")</f>
        <v/>
      </c>
      <c r="AU297" t="inlineStr">
        <is>
          <t>890191620:eng</t>
        </is>
      </c>
      <c r="AV297" t="inlineStr">
        <is>
          <t>3843195</t>
        </is>
      </c>
      <c r="AW297" t="inlineStr">
        <is>
          <t>991004525329702656</t>
        </is>
      </c>
      <c r="AX297" t="inlineStr">
        <is>
          <t>991004525329702656</t>
        </is>
      </c>
      <c r="AY297" t="inlineStr">
        <is>
          <t>2266395370002656</t>
        </is>
      </c>
      <c r="AZ297" t="inlineStr">
        <is>
          <t>BOOK</t>
        </is>
      </c>
      <c r="BB297" t="inlineStr">
        <is>
          <t>9780300022094</t>
        </is>
      </c>
      <c r="BC297" t="inlineStr">
        <is>
          <t>32285001717114</t>
        </is>
      </c>
      <c r="BD297" t="inlineStr">
        <is>
          <t>893788805</t>
        </is>
      </c>
    </row>
    <row r="298">
      <c r="A298" t="inlineStr">
        <is>
          <t>No</t>
        </is>
      </c>
      <c r="B298" t="inlineStr">
        <is>
          <t>NX543.A1 M55 1976</t>
        </is>
      </c>
      <c r="C298" t="inlineStr">
        <is>
          <t>0                      NX 0543000A  1                  M  55          1976</t>
        </is>
      </c>
      <c r="D298" t="inlineStr">
        <is>
          <t>The Mind and art of Victorian England / edited by Josef L. Altholz.</t>
        </is>
      </c>
      <c r="F298" t="inlineStr">
        <is>
          <t>No</t>
        </is>
      </c>
      <c r="G298" t="inlineStr">
        <is>
          <t>1</t>
        </is>
      </c>
      <c r="H298" t="inlineStr">
        <is>
          <t>No</t>
        </is>
      </c>
      <c r="I298" t="inlineStr">
        <is>
          <t>No</t>
        </is>
      </c>
      <c r="J298" t="inlineStr">
        <is>
          <t>0</t>
        </is>
      </c>
      <c r="L298" t="inlineStr">
        <is>
          <t>Minneapolis : University of Minnesota Press, c1976.</t>
        </is>
      </c>
      <c r="M298" t="inlineStr">
        <is>
          <t>1976</t>
        </is>
      </c>
      <c r="O298" t="inlineStr">
        <is>
          <t>eng</t>
        </is>
      </c>
      <c r="P298" t="inlineStr">
        <is>
          <t>mnu</t>
        </is>
      </c>
      <c r="R298" t="inlineStr">
        <is>
          <t xml:space="preserve">NX </t>
        </is>
      </c>
      <c r="S298" t="n">
        <v>1</v>
      </c>
      <c r="T298" t="n">
        <v>1</v>
      </c>
      <c r="U298" t="inlineStr">
        <is>
          <t>2003-09-18</t>
        </is>
      </c>
      <c r="V298" t="inlineStr">
        <is>
          <t>2003-09-18</t>
        </is>
      </c>
      <c r="W298" t="inlineStr">
        <is>
          <t>1997-08-08</t>
        </is>
      </c>
      <c r="X298" t="inlineStr">
        <is>
          <t>1997-08-08</t>
        </is>
      </c>
      <c r="Y298" t="n">
        <v>856</v>
      </c>
      <c r="Z298" t="n">
        <v>727</v>
      </c>
      <c r="AA298" t="n">
        <v>729</v>
      </c>
      <c r="AB298" t="n">
        <v>4</v>
      </c>
      <c r="AC298" t="n">
        <v>4</v>
      </c>
      <c r="AD298" t="n">
        <v>34</v>
      </c>
      <c r="AE298" t="n">
        <v>34</v>
      </c>
      <c r="AF298" t="n">
        <v>13</v>
      </c>
      <c r="AG298" t="n">
        <v>13</v>
      </c>
      <c r="AH298" t="n">
        <v>9</v>
      </c>
      <c r="AI298" t="n">
        <v>9</v>
      </c>
      <c r="AJ298" t="n">
        <v>18</v>
      </c>
      <c r="AK298" t="n">
        <v>18</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HYPERLINK("https://creighton-primo.hosted.exlibrisgroup.com/primo-explore/search?tab=default_tab&amp;search_scope=EVERYTHING&amp;vid=01CRU&amp;lang=en_US&amp;offset=0&amp;query=any,contains,991004127569702656","Catalog Record")</f>
        <v/>
      </c>
      <c r="AT298">
        <f>HYPERLINK("http://www.worldcat.org/oclc/2462661","WorldCat Record")</f>
        <v/>
      </c>
      <c r="AU298" t="inlineStr">
        <is>
          <t>480307:eng</t>
        </is>
      </c>
      <c r="AV298" t="inlineStr">
        <is>
          <t>2462661</t>
        </is>
      </c>
      <c r="AW298" t="inlineStr">
        <is>
          <t>991004127569702656</t>
        </is>
      </c>
      <c r="AX298" t="inlineStr">
        <is>
          <t>991004127569702656</t>
        </is>
      </c>
      <c r="AY298" t="inlineStr">
        <is>
          <t>2267530310002656</t>
        </is>
      </c>
      <c r="AZ298" t="inlineStr">
        <is>
          <t>BOOK</t>
        </is>
      </c>
      <c r="BB298" t="inlineStr">
        <is>
          <t>9780816607723</t>
        </is>
      </c>
      <c r="BC298" t="inlineStr">
        <is>
          <t>32285003048575</t>
        </is>
      </c>
      <c r="BD298" t="inlineStr">
        <is>
          <t>893618268</t>
        </is>
      </c>
    </row>
    <row r="299">
      <c r="A299" t="inlineStr">
        <is>
          <t>No</t>
        </is>
      </c>
      <c r="B299" t="inlineStr">
        <is>
          <t>NX544.A1 L3</t>
        </is>
      </c>
      <c r="C299" t="inlineStr">
        <is>
          <t>0                      NX 0544000A  1                  L  3</t>
        </is>
      </c>
      <c r="D299" t="inlineStr">
        <is>
          <t>Victorian types, Victorian shadows : biblical typology in Victorian literature, art, and thought / George P. Landow.</t>
        </is>
      </c>
      <c r="F299" t="inlineStr">
        <is>
          <t>No</t>
        </is>
      </c>
      <c r="G299" t="inlineStr">
        <is>
          <t>1</t>
        </is>
      </c>
      <c r="H299" t="inlineStr">
        <is>
          <t>No</t>
        </is>
      </c>
      <c r="I299" t="inlineStr">
        <is>
          <t>No</t>
        </is>
      </c>
      <c r="J299" t="inlineStr">
        <is>
          <t>0</t>
        </is>
      </c>
      <c r="K299" t="inlineStr">
        <is>
          <t>Landow, George P.</t>
        </is>
      </c>
      <c r="L299" t="inlineStr">
        <is>
          <t>Boston : Routledge &amp; K. Paul, 1980.</t>
        </is>
      </c>
      <c r="M299" t="inlineStr">
        <is>
          <t>1980</t>
        </is>
      </c>
      <c r="O299" t="inlineStr">
        <is>
          <t>eng</t>
        </is>
      </c>
      <c r="P299" t="inlineStr">
        <is>
          <t>mau</t>
        </is>
      </c>
      <c r="R299" t="inlineStr">
        <is>
          <t xml:space="preserve">NX </t>
        </is>
      </c>
      <c r="S299" t="n">
        <v>3</v>
      </c>
      <c r="T299" t="n">
        <v>3</v>
      </c>
      <c r="U299" t="inlineStr">
        <is>
          <t>1997-09-10</t>
        </is>
      </c>
      <c r="V299" t="inlineStr">
        <is>
          <t>1997-09-10</t>
        </is>
      </c>
      <c r="W299" t="inlineStr">
        <is>
          <t>1993-06-02</t>
        </is>
      </c>
      <c r="X299" t="inlineStr">
        <is>
          <t>1993-06-02</t>
        </is>
      </c>
      <c r="Y299" t="n">
        <v>312</v>
      </c>
      <c r="Z299" t="n">
        <v>264</v>
      </c>
      <c r="AA299" t="n">
        <v>404</v>
      </c>
      <c r="AB299" t="n">
        <v>3</v>
      </c>
      <c r="AC299" t="n">
        <v>4</v>
      </c>
      <c r="AD299" t="n">
        <v>17</v>
      </c>
      <c r="AE299" t="n">
        <v>25</v>
      </c>
      <c r="AF299" t="n">
        <v>6</v>
      </c>
      <c r="AG299" t="n">
        <v>11</v>
      </c>
      <c r="AH299" t="n">
        <v>3</v>
      </c>
      <c r="AI299" t="n">
        <v>3</v>
      </c>
      <c r="AJ299" t="n">
        <v>9</v>
      </c>
      <c r="AK299" t="n">
        <v>13</v>
      </c>
      <c r="AL299" t="n">
        <v>2</v>
      </c>
      <c r="AM299" t="n">
        <v>3</v>
      </c>
      <c r="AN299" t="n">
        <v>0</v>
      </c>
      <c r="AO299" t="n">
        <v>0</v>
      </c>
      <c r="AP299" t="inlineStr">
        <is>
          <t>No</t>
        </is>
      </c>
      <c r="AQ299" t="inlineStr">
        <is>
          <t>Yes</t>
        </is>
      </c>
      <c r="AR299">
        <f>HYPERLINK("http://catalog.hathitrust.org/Record/101898943","HathiTrust Record")</f>
        <v/>
      </c>
      <c r="AS299">
        <f>HYPERLINK("https://creighton-primo.hosted.exlibrisgroup.com/primo-explore/search?tab=default_tab&amp;search_scope=EVERYTHING&amp;vid=01CRU&amp;lang=en_US&amp;offset=0&amp;query=any,contains,991005071539702656","Catalog Record")</f>
        <v/>
      </c>
      <c r="AT299">
        <f>HYPERLINK("http://www.worldcat.org/oclc/7031993","WorldCat Record")</f>
        <v/>
      </c>
      <c r="AU299" t="inlineStr">
        <is>
          <t>3622333:eng</t>
        </is>
      </c>
      <c r="AV299" t="inlineStr">
        <is>
          <t>7031993</t>
        </is>
      </c>
      <c r="AW299" t="inlineStr">
        <is>
          <t>991005071539702656</t>
        </is>
      </c>
      <c r="AX299" t="inlineStr">
        <is>
          <t>991005071539702656</t>
        </is>
      </c>
      <c r="AY299" t="inlineStr">
        <is>
          <t>2254819720002656</t>
        </is>
      </c>
      <c r="AZ299" t="inlineStr">
        <is>
          <t>BOOK</t>
        </is>
      </c>
      <c r="BB299" t="inlineStr">
        <is>
          <t>9780710005984</t>
        </is>
      </c>
      <c r="BC299" t="inlineStr">
        <is>
          <t>32285001717148</t>
        </is>
      </c>
      <c r="BD299" t="inlineStr">
        <is>
          <t>893807778</t>
        </is>
      </c>
    </row>
    <row r="300">
      <c r="A300" t="inlineStr">
        <is>
          <t>No</t>
        </is>
      </c>
      <c r="B300" t="inlineStr">
        <is>
          <t>NX546.A3 U47 2001</t>
        </is>
      </c>
      <c r="C300" t="inlineStr">
        <is>
          <t>0                      NX 0546000A  3                  U  47          2001</t>
        </is>
      </c>
      <c r="D300" t="inlineStr">
        <is>
          <t>Stepping stones : the arts in Ulster, 1971-2001 / edited by Mark Carruthers and Stephen Douds.</t>
        </is>
      </c>
      <c r="F300" t="inlineStr">
        <is>
          <t>No</t>
        </is>
      </c>
      <c r="G300" t="inlineStr">
        <is>
          <t>1</t>
        </is>
      </c>
      <c r="H300" t="inlineStr">
        <is>
          <t>No</t>
        </is>
      </c>
      <c r="I300" t="inlineStr">
        <is>
          <t>No</t>
        </is>
      </c>
      <c r="J300" t="inlineStr">
        <is>
          <t>0</t>
        </is>
      </c>
      <c r="L300" t="inlineStr">
        <is>
          <t>Belfast : Blackstaff, 2001.</t>
        </is>
      </c>
      <c r="M300" t="inlineStr">
        <is>
          <t>2001</t>
        </is>
      </c>
      <c r="O300" t="inlineStr">
        <is>
          <t>eng</t>
        </is>
      </c>
      <c r="P300" t="inlineStr">
        <is>
          <t>nik</t>
        </is>
      </c>
      <c r="R300" t="inlineStr">
        <is>
          <t xml:space="preserve">NX </t>
        </is>
      </c>
      <c r="S300" t="n">
        <v>1</v>
      </c>
      <c r="T300" t="n">
        <v>1</v>
      </c>
      <c r="U300" t="inlineStr">
        <is>
          <t>2002-06-20</t>
        </is>
      </c>
      <c r="V300" t="inlineStr">
        <is>
          <t>2002-06-20</t>
        </is>
      </c>
      <c r="W300" t="inlineStr">
        <is>
          <t>2002-06-10</t>
        </is>
      </c>
      <c r="X300" t="inlineStr">
        <is>
          <t>2002-06-10</t>
        </is>
      </c>
      <c r="Y300" t="n">
        <v>140</v>
      </c>
      <c r="Z300" t="n">
        <v>106</v>
      </c>
      <c r="AA300" t="n">
        <v>108</v>
      </c>
      <c r="AB300" t="n">
        <v>1</v>
      </c>
      <c r="AC300" t="n">
        <v>1</v>
      </c>
      <c r="AD300" t="n">
        <v>7</v>
      </c>
      <c r="AE300" t="n">
        <v>7</v>
      </c>
      <c r="AF300" t="n">
        <v>2</v>
      </c>
      <c r="AG300" t="n">
        <v>2</v>
      </c>
      <c r="AH300" t="n">
        <v>3</v>
      </c>
      <c r="AI300" t="n">
        <v>3</v>
      </c>
      <c r="AJ300" t="n">
        <v>4</v>
      </c>
      <c r="AK300" t="n">
        <v>4</v>
      </c>
      <c r="AL300" t="n">
        <v>0</v>
      </c>
      <c r="AM300" t="n">
        <v>0</v>
      </c>
      <c r="AN300" t="n">
        <v>0</v>
      </c>
      <c r="AO300" t="n">
        <v>0</v>
      </c>
      <c r="AP300" t="inlineStr">
        <is>
          <t>No</t>
        </is>
      </c>
      <c r="AQ300" t="inlineStr">
        <is>
          <t>Yes</t>
        </is>
      </c>
      <c r="AR300">
        <f>HYPERLINK("http://catalog.hathitrust.org/Record/004210692","HathiTrust Record")</f>
        <v/>
      </c>
      <c r="AS300">
        <f>HYPERLINK("https://creighton-primo.hosted.exlibrisgroup.com/primo-explore/search?tab=default_tab&amp;search_scope=EVERYTHING&amp;vid=01CRU&amp;lang=en_US&amp;offset=0&amp;query=any,contains,991003774319702656","Catalog Record")</f>
        <v/>
      </c>
      <c r="AT300">
        <f>HYPERLINK("http://www.worldcat.org/oclc/48531944","WorldCat Record")</f>
        <v/>
      </c>
      <c r="AU300" t="inlineStr">
        <is>
          <t>837144783:eng</t>
        </is>
      </c>
      <c r="AV300" t="inlineStr">
        <is>
          <t>48531944</t>
        </is>
      </c>
      <c r="AW300" t="inlineStr">
        <is>
          <t>991003774319702656</t>
        </is>
      </c>
      <c r="AX300" t="inlineStr">
        <is>
          <t>991003774319702656</t>
        </is>
      </c>
      <c r="AY300" t="inlineStr">
        <is>
          <t>2269953400002656</t>
        </is>
      </c>
      <c r="AZ300" t="inlineStr">
        <is>
          <t>BOOK</t>
        </is>
      </c>
      <c r="BB300" t="inlineStr">
        <is>
          <t>9780856407055</t>
        </is>
      </c>
      <c r="BC300" t="inlineStr">
        <is>
          <t>32285004493838</t>
        </is>
      </c>
      <c r="BD300" t="inlineStr">
        <is>
          <t>893410691</t>
        </is>
      </c>
    </row>
    <row r="301">
      <c r="A301" t="inlineStr">
        <is>
          <t>No</t>
        </is>
      </c>
      <c r="B301" t="inlineStr">
        <is>
          <t>NX547.6.R67 R53 1983</t>
        </is>
      </c>
      <c r="C301" t="inlineStr">
        <is>
          <t>0                      NX 0547600R  67                 R  53          1983</t>
        </is>
      </c>
      <c r="D301" t="inlineStr">
        <is>
          <t>Dante Gabriel Rossetti and the limits of Victorian vision / David G. Riede.</t>
        </is>
      </c>
      <c r="F301" t="inlineStr">
        <is>
          <t>No</t>
        </is>
      </c>
      <c r="G301" t="inlineStr">
        <is>
          <t>1</t>
        </is>
      </c>
      <c r="H301" t="inlineStr">
        <is>
          <t>No</t>
        </is>
      </c>
      <c r="I301" t="inlineStr">
        <is>
          <t>No</t>
        </is>
      </c>
      <c r="J301" t="inlineStr">
        <is>
          <t>0</t>
        </is>
      </c>
      <c r="K301" t="inlineStr">
        <is>
          <t>Riede, David G.</t>
        </is>
      </c>
      <c r="L301" t="inlineStr">
        <is>
          <t>Ithaca : Cornell University Press, 1983.</t>
        </is>
      </c>
      <c r="M301" t="inlineStr">
        <is>
          <t>1983</t>
        </is>
      </c>
      <c r="O301" t="inlineStr">
        <is>
          <t>eng</t>
        </is>
      </c>
      <c r="P301" t="inlineStr">
        <is>
          <t>nyu</t>
        </is>
      </c>
      <c r="R301" t="inlineStr">
        <is>
          <t xml:space="preserve">NX </t>
        </is>
      </c>
      <c r="S301" t="n">
        <v>3</v>
      </c>
      <c r="T301" t="n">
        <v>3</v>
      </c>
      <c r="U301" t="inlineStr">
        <is>
          <t>1994-04-05</t>
        </is>
      </c>
      <c r="V301" t="inlineStr">
        <is>
          <t>1994-04-05</t>
        </is>
      </c>
      <c r="W301" t="inlineStr">
        <is>
          <t>1993-06-02</t>
        </is>
      </c>
      <c r="X301" t="inlineStr">
        <is>
          <t>1993-06-02</t>
        </is>
      </c>
      <c r="Y301" t="n">
        <v>631</v>
      </c>
      <c r="Z301" t="n">
        <v>499</v>
      </c>
      <c r="AA301" t="n">
        <v>506</v>
      </c>
      <c r="AB301" t="n">
        <v>5</v>
      </c>
      <c r="AC301" t="n">
        <v>5</v>
      </c>
      <c r="AD301" t="n">
        <v>25</v>
      </c>
      <c r="AE301" t="n">
        <v>25</v>
      </c>
      <c r="AF301" t="n">
        <v>9</v>
      </c>
      <c r="AG301" t="n">
        <v>9</v>
      </c>
      <c r="AH301" t="n">
        <v>7</v>
      </c>
      <c r="AI301" t="n">
        <v>7</v>
      </c>
      <c r="AJ301" t="n">
        <v>13</v>
      </c>
      <c r="AK301" t="n">
        <v>13</v>
      </c>
      <c r="AL301" t="n">
        <v>4</v>
      </c>
      <c r="AM301" t="n">
        <v>4</v>
      </c>
      <c r="AN301" t="n">
        <v>0</v>
      </c>
      <c r="AO301" t="n">
        <v>0</v>
      </c>
      <c r="AP301" t="inlineStr">
        <is>
          <t>No</t>
        </is>
      </c>
      <c r="AQ301" t="inlineStr">
        <is>
          <t>Yes</t>
        </is>
      </c>
      <c r="AR301">
        <f>HYPERLINK("http://catalog.hathitrust.org/Record/000239426","HathiTrust Record")</f>
        <v/>
      </c>
      <c r="AS301">
        <f>HYPERLINK("https://creighton-primo.hosted.exlibrisgroup.com/primo-explore/search?tab=default_tab&amp;search_scope=EVERYTHING&amp;vid=01CRU&amp;lang=en_US&amp;offset=0&amp;query=any,contains,991000116969702656","Catalog Record")</f>
        <v/>
      </c>
      <c r="AT301">
        <f>HYPERLINK("http://www.worldcat.org/oclc/9043089","WorldCat Record")</f>
        <v/>
      </c>
      <c r="AU301" t="inlineStr">
        <is>
          <t>42833913:eng</t>
        </is>
      </c>
      <c r="AV301" t="inlineStr">
        <is>
          <t>9043089</t>
        </is>
      </c>
      <c r="AW301" t="inlineStr">
        <is>
          <t>991000116969702656</t>
        </is>
      </c>
      <c r="AX301" t="inlineStr">
        <is>
          <t>991000116969702656</t>
        </is>
      </c>
      <c r="AY301" t="inlineStr">
        <is>
          <t>2266627870002656</t>
        </is>
      </c>
      <c r="AZ301" t="inlineStr">
        <is>
          <t>BOOK</t>
        </is>
      </c>
      <c r="BB301" t="inlineStr">
        <is>
          <t>9780801415524</t>
        </is>
      </c>
      <c r="BC301" t="inlineStr">
        <is>
          <t>32285001717171</t>
        </is>
      </c>
      <c r="BD301" t="inlineStr">
        <is>
          <t>893884130</t>
        </is>
      </c>
    </row>
    <row r="302">
      <c r="A302" t="inlineStr">
        <is>
          <t>No</t>
        </is>
      </c>
      <c r="B302" t="inlineStr">
        <is>
          <t>NX548.V53 F63 1982</t>
        </is>
      </c>
      <c r="C302" t="inlineStr">
        <is>
          <t>0                      NX 0548000V  53                 F  63          1982</t>
        </is>
      </c>
      <c r="D302" t="inlineStr">
        <is>
          <t>Focus on Vienna 1900 : change and continuity in literature, music, art, and intellectual history / edited by Erika Nielsen.</t>
        </is>
      </c>
      <c r="F302" t="inlineStr">
        <is>
          <t>No</t>
        </is>
      </c>
      <c r="G302" t="inlineStr">
        <is>
          <t>1</t>
        </is>
      </c>
      <c r="H302" t="inlineStr">
        <is>
          <t>No</t>
        </is>
      </c>
      <c r="I302" t="inlineStr">
        <is>
          <t>No</t>
        </is>
      </c>
      <c r="J302" t="inlineStr">
        <is>
          <t>0</t>
        </is>
      </c>
      <c r="L302" t="inlineStr">
        <is>
          <t>München : W. Fink, 1982.</t>
        </is>
      </c>
      <c r="M302" t="inlineStr">
        <is>
          <t>1982</t>
        </is>
      </c>
      <c r="O302" t="inlineStr">
        <is>
          <t>eng</t>
        </is>
      </c>
      <c r="P302" t="inlineStr">
        <is>
          <t xml:space="preserve">gw </t>
        </is>
      </c>
      <c r="Q302" t="inlineStr">
        <is>
          <t>Houston German studies ; 4</t>
        </is>
      </c>
      <c r="R302" t="inlineStr">
        <is>
          <t xml:space="preserve">NX </t>
        </is>
      </c>
      <c r="S302" t="n">
        <v>5</v>
      </c>
      <c r="T302" t="n">
        <v>5</v>
      </c>
      <c r="U302" t="inlineStr">
        <is>
          <t>2006-09-29</t>
        </is>
      </c>
      <c r="V302" t="inlineStr">
        <is>
          <t>2006-09-29</t>
        </is>
      </c>
      <c r="W302" t="inlineStr">
        <is>
          <t>1992-11-01</t>
        </is>
      </c>
      <c r="X302" t="inlineStr">
        <is>
          <t>1992-11-01</t>
        </is>
      </c>
      <c r="Y302" t="n">
        <v>131</v>
      </c>
      <c r="Z302" t="n">
        <v>78</v>
      </c>
      <c r="AA302" t="n">
        <v>117</v>
      </c>
      <c r="AB302" t="n">
        <v>2</v>
      </c>
      <c r="AC302" t="n">
        <v>2</v>
      </c>
      <c r="AD302" t="n">
        <v>3</v>
      </c>
      <c r="AE302" t="n">
        <v>4</v>
      </c>
      <c r="AF302" t="n">
        <v>0</v>
      </c>
      <c r="AG302" t="n">
        <v>0</v>
      </c>
      <c r="AH302" t="n">
        <v>2</v>
      </c>
      <c r="AI302" t="n">
        <v>2</v>
      </c>
      <c r="AJ302" t="n">
        <v>0</v>
      </c>
      <c r="AK302" t="n">
        <v>1</v>
      </c>
      <c r="AL302" t="n">
        <v>1</v>
      </c>
      <c r="AM302" t="n">
        <v>1</v>
      </c>
      <c r="AN302" t="n">
        <v>0</v>
      </c>
      <c r="AO302" t="n">
        <v>0</v>
      </c>
      <c r="AP302" t="inlineStr">
        <is>
          <t>No</t>
        </is>
      </c>
      <c r="AQ302" t="inlineStr">
        <is>
          <t>Yes</t>
        </is>
      </c>
      <c r="AR302">
        <f>HYPERLINK("http://catalog.hathitrust.org/Record/000273143","HathiTrust Record")</f>
        <v/>
      </c>
      <c r="AS302">
        <f>HYPERLINK("https://creighton-primo.hosted.exlibrisgroup.com/primo-explore/search?tab=default_tab&amp;search_scope=EVERYTHING&amp;vid=01CRU&amp;lang=en_US&amp;offset=0&amp;query=any,contains,991000457249702656","Catalog Record")</f>
        <v/>
      </c>
      <c r="AT302">
        <f>HYPERLINK("http://www.worldcat.org/oclc/10914761","WorldCat Record")</f>
        <v/>
      </c>
      <c r="AU302" t="inlineStr">
        <is>
          <t>889589023:eng</t>
        </is>
      </c>
      <c r="AV302" t="inlineStr">
        <is>
          <t>10914761</t>
        </is>
      </c>
      <c r="AW302" t="inlineStr">
        <is>
          <t>991000457249702656</t>
        </is>
      </c>
      <c r="AX302" t="inlineStr">
        <is>
          <t>991000457249702656</t>
        </is>
      </c>
      <c r="AY302" t="inlineStr">
        <is>
          <t>2255732110002656</t>
        </is>
      </c>
      <c r="AZ302" t="inlineStr">
        <is>
          <t>BOOK</t>
        </is>
      </c>
      <c r="BB302" t="inlineStr">
        <is>
          <t>9783770520923</t>
        </is>
      </c>
      <c r="BC302" t="inlineStr">
        <is>
          <t>32285001379998</t>
        </is>
      </c>
      <c r="BD302" t="inlineStr">
        <is>
          <t>893589458</t>
        </is>
      </c>
    </row>
    <row r="303">
      <c r="A303" t="inlineStr">
        <is>
          <t>No</t>
        </is>
      </c>
      <c r="B303" t="inlineStr">
        <is>
          <t>NX549.A1 A78 1994</t>
        </is>
      </c>
      <c r="C303" t="inlineStr">
        <is>
          <t>0                      NX 0549000A  1                  A  78          1994</t>
        </is>
      </c>
      <c r="D303" t="inlineStr">
        <is>
          <t>Artistic relations : literature and the visual arts in nineteenth-century France / edited by Peter Collier and Robert Lethbridge.</t>
        </is>
      </c>
      <c r="F303" t="inlineStr">
        <is>
          <t>No</t>
        </is>
      </c>
      <c r="G303" t="inlineStr">
        <is>
          <t>1</t>
        </is>
      </c>
      <c r="H303" t="inlineStr">
        <is>
          <t>No</t>
        </is>
      </c>
      <c r="I303" t="inlineStr">
        <is>
          <t>No</t>
        </is>
      </c>
      <c r="J303" t="inlineStr">
        <is>
          <t>0</t>
        </is>
      </c>
      <c r="L303" t="inlineStr">
        <is>
          <t>New Haven : Yale University Press, 1994.</t>
        </is>
      </c>
      <c r="M303" t="inlineStr">
        <is>
          <t>1994</t>
        </is>
      </c>
      <c r="O303" t="inlineStr">
        <is>
          <t>eng</t>
        </is>
      </c>
      <c r="P303" t="inlineStr">
        <is>
          <t>ctu</t>
        </is>
      </c>
      <c r="R303" t="inlineStr">
        <is>
          <t xml:space="preserve">NX </t>
        </is>
      </c>
      <c r="S303" t="n">
        <v>2</v>
      </c>
      <c r="T303" t="n">
        <v>2</v>
      </c>
      <c r="U303" t="inlineStr">
        <is>
          <t>2008-12-12</t>
        </is>
      </c>
      <c r="V303" t="inlineStr">
        <is>
          <t>2008-12-12</t>
        </is>
      </c>
      <c r="W303" t="inlineStr">
        <is>
          <t>2003-05-12</t>
        </is>
      </c>
      <c r="X303" t="inlineStr">
        <is>
          <t>2003-05-12</t>
        </is>
      </c>
      <c r="Y303" t="n">
        <v>582</v>
      </c>
      <c r="Z303" t="n">
        <v>424</v>
      </c>
      <c r="AA303" t="n">
        <v>424</v>
      </c>
      <c r="AB303" t="n">
        <v>3</v>
      </c>
      <c r="AC303" t="n">
        <v>3</v>
      </c>
      <c r="AD303" t="n">
        <v>26</v>
      </c>
      <c r="AE303" t="n">
        <v>26</v>
      </c>
      <c r="AF303" t="n">
        <v>11</v>
      </c>
      <c r="AG303" t="n">
        <v>11</v>
      </c>
      <c r="AH303" t="n">
        <v>5</v>
      </c>
      <c r="AI303" t="n">
        <v>5</v>
      </c>
      <c r="AJ303" t="n">
        <v>12</v>
      </c>
      <c r="AK303" t="n">
        <v>12</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HYPERLINK("https://creighton-primo.hosted.exlibrisgroup.com/primo-explore/search?tab=default_tab&amp;search_scope=EVERYTHING&amp;vid=01CRU&amp;lang=en_US&amp;offset=0&amp;query=any,contains,991004023219702656","Catalog Record")</f>
        <v/>
      </c>
      <c r="AT303">
        <f>HYPERLINK("http://www.worldcat.org/oclc/29956225","WorldCat Record")</f>
        <v/>
      </c>
      <c r="AU303" t="inlineStr">
        <is>
          <t>837067064:eng</t>
        </is>
      </c>
      <c r="AV303" t="inlineStr">
        <is>
          <t>29956225</t>
        </is>
      </c>
      <c r="AW303" t="inlineStr">
        <is>
          <t>991004023219702656</t>
        </is>
      </c>
      <c r="AX303" t="inlineStr">
        <is>
          <t>991004023219702656</t>
        </is>
      </c>
      <c r="AY303" t="inlineStr">
        <is>
          <t>2261061700002656</t>
        </is>
      </c>
      <c r="AZ303" t="inlineStr">
        <is>
          <t>BOOK</t>
        </is>
      </c>
      <c r="BB303" t="inlineStr">
        <is>
          <t>9780300060096</t>
        </is>
      </c>
      <c r="BC303" t="inlineStr">
        <is>
          <t>32285004745542</t>
        </is>
      </c>
      <c r="BD303" t="inlineStr">
        <is>
          <t>893693427</t>
        </is>
      </c>
    </row>
    <row r="304">
      <c r="A304" t="inlineStr">
        <is>
          <t>No</t>
        </is>
      </c>
      <c r="B304" t="inlineStr">
        <is>
          <t>NX550.A1 L48 2003</t>
        </is>
      </c>
      <c r="C304" t="inlineStr">
        <is>
          <t>0                      NX 0550000A  1                  L  48          2003</t>
        </is>
      </c>
      <c r="D304" t="inlineStr">
        <is>
          <t>Art for all? : the collision of modern art and the public in late-nineteenth-century Germany / Beth Irwin Lewis.</t>
        </is>
      </c>
      <c r="F304" t="inlineStr">
        <is>
          <t>No</t>
        </is>
      </c>
      <c r="G304" t="inlineStr">
        <is>
          <t>1</t>
        </is>
      </c>
      <c r="H304" t="inlineStr">
        <is>
          <t>No</t>
        </is>
      </c>
      <c r="I304" t="inlineStr">
        <is>
          <t>No</t>
        </is>
      </c>
      <c r="J304" t="inlineStr">
        <is>
          <t>0</t>
        </is>
      </c>
      <c r="K304" t="inlineStr">
        <is>
          <t>Lewis, Beth Irwin, 1934-</t>
        </is>
      </c>
      <c r="L304" t="inlineStr">
        <is>
          <t>Princeton, N.J. : Princeton University Press, c2003.</t>
        </is>
      </c>
      <c r="M304" t="inlineStr">
        <is>
          <t>2003</t>
        </is>
      </c>
      <c r="O304" t="inlineStr">
        <is>
          <t>eng</t>
        </is>
      </c>
      <c r="P304" t="inlineStr">
        <is>
          <t>nju</t>
        </is>
      </c>
      <c r="R304" t="inlineStr">
        <is>
          <t xml:space="preserve">NX </t>
        </is>
      </c>
      <c r="S304" t="n">
        <v>3</v>
      </c>
      <c r="T304" t="n">
        <v>3</v>
      </c>
      <c r="U304" t="inlineStr">
        <is>
          <t>2006-04-05</t>
        </is>
      </c>
      <c r="V304" t="inlineStr">
        <is>
          <t>2006-04-05</t>
        </is>
      </c>
      <c r="W304" t="inlineStr">
        <is>
          <t>2006-04-05</t>
        </is>
      </c>
      <c r="X304" t="inlineStr">
        <is>
          <t>2006-04-05</t>
        </is>
      </c>
      <c r="Y304" t="n">
        <v>478</v>
      </c>
      <c r="Z304" t="n">
        <v>346</v>
      </c>
      <c r="AA304" t="n">
        <v>347</v>
      </c>
      <c r="AB304" t="n">
        <v>4</v>
      </c>
      <c r="AC304" t="n">
        <v>4</v>
      </c>
      <c r="AD304" t="n">
        <v>17</v>
      </c>
      <c r="AE304" t="n">
        <v>17</v>
      </c>
      <c r="AF304" t="n">
        <v>2</v>
      </c>
      <c r="AG304" t="n">
        <v>2</v>
      </c>
      <c r="AH304" t="n">
        <v>7</v>
      </c>
      <c r="AI304" t="n">
        <v>7</v>
      </c>
      <c r="AJ304" t="n">
        <v>9</v>
      </c>
      <c r="AK304" t="n">
        <v>9</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HYPERLINK("https://creighton-primo.hosted.exlibrisgroup.com/primo-explore/search?tab=default_tab&amp;search_scope=EVERYTHING&amp;vid=01CRU&amp;lang=en_US&amp;offset=0&amp;query=any,contains,991004776049702656","Catalog Record")</f>
        <v/>
      </c>
      <c r="AT304">
        <f>HYPERLINK("http://www.worldcat.org/oclc/50155472","WorldCat Record")</f>
        <v/>
      </c>
      <c r="AU304" t="inlineStr">
        <is>
          <t>837144815:eng</t>
        </is>
      </c>
      <c r="AV304" t="inlineStr">
        <is>
          <t>50155472</t>
        </is>
      </c>
      <c r="AW304" t="inlineStr">
        <is>
          <t>991004776049702656</t>
        </is>
      </c>
      <c r="AX304" t="inlineStr">
        <is>
          <t>991004776049702656</t>
        </is>
      </c>
      <c r="AY304" t="inlineStr">
        <is>
          <t>2270757660002656</t>
        </is>
      </c>
      <c r="AZ304" t="inlineStr">
        <is>
          <t>BOOK</t>
        </is>
      </c>
      <c r="BB304" t="inlineStr">
        <is>
          <t>9780691102641</t>
        </is>
      </c>
      <c r="BC304" t="inlineStr">
        <is>
          <t>32285005180392</t>
        </is>
      </c>
      <c r="BD304" t="inlineStr">
        <is>
          <t>893625107</t>
        </is>
      </c>
    </row>
    <row r="305">
      <c r="A305" t="inlineStr">
        <is>
          <t>No</t>
        </is>
      </c>
      <c r="B305" t="inlineStr">
        <is>
          <t>NX550.A1 P374 1988</t>
        </is>
      </c>
      <c r="C305" t="inlineStr">
        <is>
          <t>0                      NX 0550000A  1                  P  374         1988</t>
        </is>
      </c>
      <c r="D305" t="inlineStr">
        <is>
          <t>Passion and rebellion : the expressionist heritage / edited by Stephen Eric Bronner &amp; Douglas Kellner.</t>
        </is>
      </c>
      <c r="F305" t="inlineStr">
        <is>
          <t>No</t>
        </is>
      </c>
      <c r="G305" t="inlineStr">
        <is>
          <t>1</t>
        </is>
      </c>
      <c r="H305" t="inlineStr">
        <is>
          <t>No</t>
        </is>
      </c>
      <c r="I305" t="inlineStr">
        <is>
          <t>No</t>
        </is>
      </c>
      <c r="J305" t="inlineStr">
        <is>
          <t>0</t>
        </is>
      </c>
      <c r="L305" t="inlineStr">
        <is>
          <t>New York : Columbia University Press, 1988, c1983.</t>
        </is>
      </c>
      <c r="M305" t="inlineStr">
        <is>
          <t>1988</t>
        </is>
      </c>
      <c r="N305" t="inlineStr">
        <is>
          <t>Morningside ed.</t>
        </is>
      </c>
      <c r="O305" t="inlineStr">
        <is>
          <t>eng</t>
        </is>
      </c>
      <c r="P305" t="inlineStr">
        <is>
          <t>nyu</t>
        </is>
      </c>
      <c r="R305" t="inlineStr">
        <is>
          <t xml:space="preserve">NX </t>
        </is>
      </c>
      <c r="S305" t="n">
        <v>4</v>
      </c>
      <c r="T305" t="n">
        <v>4</v>
      </c>
      <c r="U305" t="inlineStr">
        <is>
          <t>2005-09-06</t>
        </is>
      </c>
      <c r="V305" t="inlineStr">
        <is>
          <t>2005-09-06</t>
        </is>
      </c>
      <c r="W305" t="inlineStr">
        <is>
          <t>1993-06-02</t>
        </is>
      </c>
      <c r="X305" t="inlineStr">
        <is>
          <t>1993-06-02</t>
        </is>
      </c>
      <c r="Y305" t="n">
        <v>109</v>
      </c>
      <c r="Z305" t="n">
        <v>90</v>
      </c>
      <c r="AA305" t="n">
        <v>481</v>
      </c>
      <c r="AB305" t="n">
        <v>1</v>
      </c>
      <c r="AC305" t="n">
        <v>3</v>
      </c>
      <c r="AD305" t="n">
        <v>5</v>
      </c>
      <c r="AE305" t="n">
        <v>23</v>
      </c>
      <c r="AF305" t="n">
        <v>1</v>
      </c>
      <c r="AG305" t="n">
        <v>10</v>
      </c>
      <c r="AH305" t="n">
        <v>1</v>
      </c>
      <c r="AI305" t="n">
        <v>5</v>
      </c>
      <c r="AJ305" t="n">
        <v>3</v>
      </c>
      <c r="AK305" t="n">
        <v>12</v>
      </c>
      <c r="AL305" t="n">
        <v>0</v>
      </c>
      <c r="AM305" t="n">
        <v>2</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HYPERLINK("https://creighton-primo.hosted.exlibrisgroup.com/primo-explore/search?tab=default_tab&amp;search_scope=EVERYTHING&amp;vid=01CRU&amp;lang=en_US&amp;offset=0&amp;query=any,contains,991001217039702656","Catalog Record")</f>
        <v/>
      </c>
      <c r="AT305">
        <f>HYPERLINK("http://www.worldcat.org/oclc/17439133","WorldCat Record")</f>
        <v/>
      </c>
      <c r="AU305" t="inlineStr">
        <is>
          <t>836650556:eng</t>
        </is>
      </c>
      <c r="AV305" t="inlineStr">
        <is>
          <t>17439133</t>
        </is>
      </c>
      <c r="AW305" t="inlineStr">
        <is>
          <t>991001217039702656</t>
        </is>
      </c>
      <c r="AX305" t="inlineStr">
        <is>
          <t>991001217039702656</t>
        </is>
      </c>
      <c r="AY305" t="inlineStr">
        <is>
          <t>2265733930002656</t>
        </is>
      </c>
      <c r="AZ305" t="inlineStr">
        <is>
          <t>BOOK</t>
        </is>
      </c>
      <c r="BB305" t="inlineStr">
        <is>
          <t>9780231067638</t>
        </is>
      </c>
      <c r="BC305" t="inlineStr">
        <is>
          <t>32285001717221</t>
        </is>
      </c>
      <c r="BD305" t="inlineStr">
        <is>
          <t>893797405</t>
        </is>
      </c>
    </row>
    <row r="306">
      <c r="A306" t="inlineStr">
        <is>
          <t>No</t>
        </is>
      </c>
      <c r="B306" t="inlineStr">
        <is>
          <t>NX550.A1 S2913 1988</t>
        </is>
      </c>
      <c r="C306" t="inlineStr">
        <is>
          <t>0                      NX 0550000A  1                  S  2913        1988</t>
        </is>
      </c>
      <c r="D306" t="inlineStr">
        <is>
          <t>The "golden" twenties : art and literature in the Weimar Republic / Bärbel Schrader, Jürgen Schebera.</t>
        </is>
      </c>
      <c r="F306" t="inlineStr">
        <is>
          <t>No</t>
        </is>
      </c>
      <c r="G306" t="inlineStr">
        <is>
          <t>1</t>
        </is>
      </c>
      <c r="H306" t="inlineStr">
        <is>
          <t>No</t>
        </is>
      </c>
      <c r="I306" t="inlineStr">
        <is>
          <t>No</t>
        </is>
      </c>
      <c r="J306" t="inlineStr">
        <is>
          <t>0</t>
        </is>
      </c>
      <c r="K306" t="inlineStr">
        <is>
          <t>Schrader, Bärbel.</t>
        </is>
      </c>
      <c r="L306" t="inlineStr">
        <is>
          <t>New Haven : Yale University Press, 1988.</t>
        </is>
      </c>
      <c r="M306" t="inlineStr">
        <is>
          <t>1988</t>
        </is>
      </c>
      <c r="O306" t="inlineStr">
        <is>
          <t>eng</t>
        </is>
      </c>
      <c r="P306" t="inlineStr">
        <is>
          <t>ctu</t>
        </is>
      </c>
      <c r="R306" t="inlineStr">
        <is>
          <t xml:space="preserve">NX </t>
        </is>
      </c>
      <c r="S306" t="n">
        <v>1</v>
      </c>
      <c r="T306" t="n">
        <v>1</v>
      </c>
      <c r="U306" t="inlineStr">
        <is>
          <t>1999-02-18</t>
        </is>
      </c>
      <c r="V306" t="inlineStr">
        <is>
          <t>1999-02-18</t>
        </is>
      </c>
      <c r="W306" t="inlineStr">
        <is>
          <t>1999-01-20</t>
        </is>
      </c>
      <c r="X306" t="inlineStr">
        <is>
          <t>1999-01-20</t>
        </is>
      </c>
      <c r="Y306" t="n">
        <v>736</v>
      </c>
      <c r="Z306" t="n">
        <v>569</v>
      </c>
      <c r="AA306" t="n">
        <v>594</v>
      </c>
      <c r="AB306" t="n">
        <v>4</v>
      </c>
      <c r="AC306" t="n">
        <v>4</v>
      </c>
      <c r="AD306" t="n">
        <v>29</v>
      </c>
      <c r="AE306" t="n">
        <v>29</v>
      </c>
      <c r="AF306" t="n">
        <v>13</v>
      </c>
      <c r="AG306" t="n">
        <v>13</v>
      </c>
      <c r="AH306" t="n">
        <v>8</v>
      </c>
      <c r="AI306" t="n">
        <v>8</v>
      </c>
      <c r="AJ306" t="n">
        <v>15</v>
      </c>
      <c r="AK306" t="n">
        <v>15</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HYPERLINK("https://creighton-primo.hosted.exlibrisgroup.com/primo-explore/search?tab=default_tab&amp;search_scope=EVERYTHING&amp;vid=01CRU&amp;lang=en_US&amp;offset=0&amp;query=any,contains,991001378129702656","Catalog Record")</f>
        <v/>
      </c>
      <c r="AT306">
        <f>HYPERLINK("http://www.worldcat.org/oclc/18629266","WorldCat Record")</f>
        <v/>
      </c>
      <c r="AU306" t="inlineStr">
        <is>
          <t>17797512:eng</t>
        </is>
      </c>
      <c r="AV306" t="inlineStr">
        <is>
          <t>18629266</t>
        </is>
      </c>
      <c r="AW306" t="inlineStr">
        <is>
          <t>991001378129702656</t>
        </is>
      </c>
      <c r="AX306" t="inlineStr">
        <is>
          <t>991001378129702656</t>
        </is>
      </c>
      <c r="AY306" t="inlineStr">
        <is>
          <t>2265235510002656</t>
        </is>
      </c>
      <c r="AZ306" t="inlineStr">
        <is>
          <t>BOOK</t>
        </is>
      </c>
      <c r="BB306" t="inlineStr">
        <is>
          <t>9780300041446</t>
        </is>
      </c>
      <c r="BC306" t="inlineStr">
        <is>
          <t>32285003514303</t>
        </is>
      </c>
      <c r="BD306" t="inlineStr">
        <is>
          <t>893244094</t>
        </is>
      </c>
    </row>
    <row r="307">
      <c r="A307" t="inlineStr">
        <is>
          <t>No</t>
        </is>
      </c>
      <c r="B307" t="inlineStr">
        <is>
          <t>NX550.A1 W48 2001</t>
        </is>
      </c>
      <c r="C307" t="inlineStr">
        <is>
          <t>0                      NX 0550000A  1                  W  48          2001</t>
        </is>
      </c>
      <c r="D307" t="inlineStr">
        <is>
          <t>The visual arts in Germany, 1890-1937 : utopia and despair / Shearer West.</t>
        </is>
      </c>
      <c r="F307" t="inlineStr">
        <is>
          <t>No</t>
        </is>
      </c>
      <c r="G307" t="inlineStr">
        <is>
          <t>1</t>
        </is>
      </c>
      <c r="H307" t="inlineStr">
        <is>
          <t>No</t>
        </is>
      </c>
      <c r="I307" t="inlineStr">
        <is>
          <t>No</t>
        </is>
      </c>
      <c r="J307" t="inlineStr">
        <is>
          <t>0</t>
        </is>
      </c>
      <c r="K307" t="inlineStr">
        <is>
          <t>West, Shearer.</t>
        </is>
      </c>
      <c r="L307" t="inlineStr">
        <is>
          <t>New Brunswick, N.J. : Rutgers University Press, 2001.</t>
        </is>
      </c>
      <c r="M307" t="inlineStr">
        <is>
          <t>2001</t>
        </is>
      </c>
      <c r="O307" t="inlineStr">
        <is>
          <t>eng</t>
        </is>
      </c>
      <c r="P307" t="inlineStr">
        <is>
          <t>nju</t>
        </is>
      </c>
      <c r="R307" t="inlineStr">
        <is>
          <t xml:space="preserve">NX </t>
        </is>
      </c>
      <c r="S307" t="n">
        <v>1</v>
      </c>
      <c r="T307" t="n">
        <v>1</v>
      </c>
      <c r="U307" t="inlineStr">
        <is>
          <t>2003-04-08</t>
        </is>
      </c>
      <c r="V307" t="inlineStr">
        <is>
          <t>2003-04-08</t>
        </is>
      </c>
      <c r="W307" t="inlineStr">
        <is>
          <t>2003-04-08</t>
        </is>
      </c>
      <c r="X307" t="inlineStr">
        <is>
          <t>2003-04-08</t>
        </is>
      </c>
      <c r="Y307" t="n">
        <v>376</v>
      </c>
      <c r="Z307" t="n">
        <v>326</v>
      </c>
      <c r="AA307" t="n">
        <v>348</v>
      </c>
      <c r="AB307" t="n">
        <v>3</v>
      </c>
      <c r="AC307" t="n">
        <v>3</v>
      </c>
      <c r="AD307" t="n">
        <v>18</v>
      </c>
      <c r="AE307" t="n">
        <v>18</v>
      </c>
      <c r="AF307" t="n">
        <v>8</v>
      </c>
      <c r="AG307" t="n">
        <v>8</v>
      </c>
      <c r="AH307" t="n">
        <v>5</v>
      </c>
      <c r="AI307" t="n">
        <v>5</v>
      </c>
      <c r="AJ307" t="n">
        <v>8</v>
      </c>
      <c r="AK307" t="n">
        <v>8</v>
      </c>
      <c r="AL307" t="n">
        <v>2</v>
      </c>
      <c r="AM307" t="n">
        <v>2</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HYPERLINK("https://creighton-primo.hosted.exlibrisgroup.com/primo-explore/search?tab=default_tab&amp;search_scope=EVERYTHING&amp;vid=01CRU&amp;lang=en_US&amp;offset=0&amp;query=any,contains,991004033769702656","Catalog Record")</f>
        <v/>
      </c>
      <c r="AT307">
        <f>HYPERLINK("http://www.worldcat.org/oclc/44811766","WorldCat Record")</f>
        <v/>
      </c>
      <c r="AU307" t="inlineStr">
        <is>
          <t>839566411:eng</t>
        </is>
      </c>
      <c r="AV307" t="inlineStr">
        <is>
          <t>44811766</t>
        </is>
      </c>
      <c r="AW307" t="inlineStr">
        <is>
          <t>991004033769702656</t>
        </is>
      </c>
      <c r="AX307" t="inlineStr">
        <is>
          <t>991004033769702656</t>
        </is>
      </c>
      <c r="AY307" t="inlineStr">
        <is>
          <t>2271585890002656</t>
        </is>
      </c>
      <c r="AZ307" t="inlineStr">
        <is>
          <t>BOOK</t>
        </is>
      </c>
      <c r="BB307" t="inlineStr">
        <is>
          <t>9780813529103</t>
        </is>
      </c>
      <c r="BC307" t="inlineStr">
        <is>
          <t>32285004740246</t>
        </is>
      </c>
      <c r="BD307" t="inlineStr">
        <is>
          <t>893318724</t>
        </is>
      </c>
    </row>
    <row r="308">
      <c r="A308" t="inlineStr">
        <is>
          <t>No</t>
        </is>
      </c>
      <c r="B308" t="inlineStr">
        <is>
          <t>NX556.A1 A93 1980</t>
        </is>
      </c>
      <c r="C308" t="inlineStr">
        <is>
          <t>0                      NX 0556000A  1                  A  93          1980</t>
        </is>
      </c>
      <c r="D308" t="inlineStr">
        <is>
          <t>The Avant-garde in Russia, 1910-1930 : new perspectives : Los Angeles County Museum of Art [and] Hirshhorn Museum and Sculpture Garden, Smithsonian Institution, Washington, D.C. / organized and edited by Stephanie Barron and Maurice Tuchman.</t>
        </is>
      </c>
      <c r="F308" t="inlineStr">
        <is>
          <t>No</t>
        </is>
      </c>
      <c r="G308" t="inlineStr">
        <is>
          <t>1</t>
        </is>
      </c>
      <c r="H308" t="inlineStr">
        <is>
          <t>No</t>
        </is>
      </c>
      <c r="I308" t="inlineStr">
        <is>
          <t>No</t>
        </is>
      </c>
      <c r="J308" t="inlineStr">
        <is>
          <t>0</t>
        </is>
      </c>
      <c r="L308" t="inlineStr">
        <is>
          <t>Los Angeles, Calif. : Los Angeles County Museum of Art ; Cambridge, Mass. : distributed by the MIT Press, c1980.</t>
        </is>
      </c>
      <c r="M308" t="inlineStr">
        <is>
          <t>1980</t>
        </is>
      </c>
      <c r="O308" t="inlineStr">
        <is>
          <t>eng</t>
        </is>
      </c>
      <c r="P308" t="inlineStr">
        <is>
          <t>cau</t>
        </is>
      </c>
      <c r="R308" t="inlineStr">
        <is>
          <t xml:space="preserve">NX </t>
        </is>
      </c>
      <c r="S308" t="n">
        <v>3</v>
      </c>
      <c r="T308" t="n">
        <v>3</v>
      </c>
      <c r="U308" t="inlineStr">
        <is>
          <t>2001-04-24</t>
        </is>
      </c>
      <c r="V308" t="inlineStr">
        <is>
          <t>2001-04-24</t>
        </is>
      </c>
      <c r="W308" t="inlineStr">
        <is>
          <t>1993-06-02</t>
        </is>
      </c>
      <c r="X308" t="inlineStr">
        <is>
          <t>1993-06-02</t>
        </is>
      </c>
      <c r="Y308" t="n">
        <v>908</v>
      </c>
      <c r="Z308" t="n">
        <v>774</v>
      </c>
      <c r="AA308" t="n">
        <v>804</v>
      </c>
      <c r="AB308" t="n">
        <v>6</v>
      </c>
      <c r="AC308" t="n">
        <v>6</v>
      </c>
      <c r="AD308" t="n">
        <v>31</v>
      </c>
      <c r="AE308" t="n">
        <v>31</v>
      </c>
      <c r="AF308" t="n">
        <v>14</v>
      </c>
      <c r="AG308" t="n">
        <v>14</v>
      </c>
      <c r="AH308" t="n">
        <v>7</v>
      </c>
      <c r="AI308" t="n">
        <v>7</v>
      </c>
      <c r="AJ308" t="n">
        <v>14</v>
      </c>
      <c r="AK308" t="n">
        <v>14</v>
      </c>
      <c r="AL308" t="n">
        <v>4</v>
      </c>
      <c r="AM308" t="n">
        <v>4</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HYPERLINK("https://creighton-primo.hosted.exlibrisgroup.com/primo-explore/search?tab=default_tab&amp;search_scope=EVERYTHING&amp;vid=01CRU&amp;lang=en_US&amp;offset=0&amp;query=any,contains,991004961159702656","Catalog Record")</f>
        <v/>
      </c>
      <c r="AT308">
        <f>HYPERLINK("http://www.worldcat.org/oclc/6305106","WorldCat Record")</f>
        <v/>
      </c>
      <c r="AU308" t="inlineStr">
        <is>
          <t>2290024092:eng</t>
        </is>
      </c>
      <c r="AV308" t="inlineStr">
        <is>
          <t>6305106</t>
        </is>
      </c>
      <c r="AW308" t="inlineStr">
        <is>
          <t>991004961159702656</t>
        </is>
      </c>
      <c r="AX308" t="inlineStr">
        <is>
          <t>991004961159702656</t>
        </is>
      </c>
      <c r="AY308" t="inlineStr">
        <is>
          <t>2259035190002656</t>
        </is>
      </c>
      <c r="AZ308" t="inlineStr">
        <is>
          <t>BOOK</t>
        </is>
      </c>
      <c r="BB308" t="inlineStr">
        <is>
          <t>9780262200400</t>
        </is>
      </c>
      <c r="BC308" t="inlineStr">
        <is>
          <t>32285001717247</t>
        </is>
      </c>
      <c r="BD308" t="inlineStr">
        <is>
          <t>893707059</t>
        </is>
      </c>
    </row>
    <row r="309">
      <c r="A309" t="inlineStr">
        <is>
          <t>No</t>
        </is>
      </c>
      <c r="B309" t="inlineStr">
        <is>
          <t>NX556.A1 H6 1970</t>
        </is>
      </c>
      <c r="C309" t="inlineStr">
        <is>
          <t>0                      NX 0556000A  1                  H  6           1970</t>
        </is>
      </c>
      <c r="D309" t="inlineStr">
        <is>
          <t>The Horizon book of the arts of Russia, by the editors of Horizon magazine. Editor: Thomas Froncek. Introductory essay by James H. Billington. Consultant: S. Frederick Starr.</t>
        </is>
      </c>
      <c r="F309" t="inlineStr">
        <is>
          <t>No</t>
        </is>
      </c>
      <c r="G309" t="inlineStr">
        <is>
          <t>1</t>
        </is>
      </c>
      <c r="H309" t="inlineStr">
        <is>
          <t>No</t>
        </is>
      </c>
      <c r="I309" t="inlineStr">
        <is>
          <t>No</t>
        </is>
      </c>
      <c r="J309" t="inlineStr">
        <is>
          <t>0</t>
        </is>
      </c>
      <c r="L309" t="inlineStr">
        <is>
          <t>New York, American Heritage Pub. Co. [1970]</t>
        </is>
      </c>
      <c r="M309" t="inlineStr">
        <is>
          <t>1970</t>
        </is>
      </c>
      <c r="O309" t="inlineStr">
        <is>
          <t>eng</t>
        </is>
      </c>
      <c r="P309" t="inlineStr">
        <is>
          <t>nyu</t>
        </is>
      </c>
      <c r="R309" t="inlineStr">
        <is>
          <t xml:space="preserve">NX </t>
        </is>
      </c>
      <c r="S309" t="n">
        <v>1</v>
      </c>
      <c r="T309" t="n">
        <v>1</v>
      </c>
      <c r="U309" t="inlineStr">
        <is>
          <t>2001-04-24</t>
        </is>
      </c>
      <c r="V309" t="inlineStr">
        <is>
          <t>2001-04-24</t>
        </is>
      </c>
      <c r="W309" t="inlineStr">
        <is>
          <t>1997-08-08</t>
        </is>
      </c>
      <c r="X309" t="inlineStr">
        <is>
          <t>1997-08-08</t>
        </is>
      </c>
      <c r="Y309" t="n">
        <v>1649</v>
      </c>
      <c r="Z309" t="n">
        <v>1541</v>
      </c>
      <c r="AA309" t="n">
        <v>1555</v>
      </c>
      <c r="AB309" t="n">
        <v>13</v>
      </c>
      <c r="AC309" t="n">
        <v>13</v>
      </c>
      <c r="AD309" t="n">
        <v>43</v>
      </c>
      <c r="AE309" t="n">
        <v>43</v>
      </c>
      <c r="AF309" t="n">
        <v>17</v>
      </c>
      <c r="AG309" t="n">
        <v>17</v>
      </c>
      <c r="AH309" t="n">
        <v>7</v>
      </c>
      <c r="AI309" t="n">
        <v>7</v>
      </c>
      <c r="AJ309" t="n">
        <v>18</v>
      </c>
      <c r="AK309" t="n">
        <v>18</v>
      </c>
      <c r="AL309" t="n">
        <v>8</v>
      </c>
      <c r="AM309" t="n">
        <v>8</v>
      </c>
      <c r="AN309" t="n">
        <v>0</v>
      </c>
      <c r="AO309" t="n">
        <v>0</v>
      </c>
      <c r="AP309" t="inlineStr">
        <is>
          <t>No</t>
        </is>
      </c>
      <c r="AQ309" t="inlineStr">
        <is>
          <t>Yes</t>
        </is>
      </c>
      <c r="AR309">
        <f>HYPERLINK("http://catalog.hathitrust.org/Record/001472923","HathiTrust Record")</f>
        <v/>
      </c>
      <c r="AS309">
        <f>HYPERLINK("https://creighton-primo.hosted.exlibrisgroup.com/primo-explore/search?tab=default_tab&amp;search_scope=EVERYTHING&amp;vid=01CRU&amp;lang=en_US&amp;offset=0&amp;query=any,contains,991000613469702656","Catalog Record")</f>
        <v/>
      </c>
      <c r="AT309">
        <f>HYPERLINK("http://www.worldcat.org/oclc/101007","WorldCat Record")</f>
        <v/>
      </c>
      <c r="AU309" t="inlineStr">
        <is>
          <t>404806:eng</t>
        </is>
      </c>
      <c r="AV309" t="inlineStr">
        <is>
          <t>101007</t>
        </is>
      </c>
      <c r="AW309" t="inlineStr">
        <is>
          <t>991000613469702656</t>
        </is>
      </c>
      <c r="AX309" t="inlineStr">
        <is>
          <t>991000613469702656</t>
        </is>
      </c>
      <c r="AY309" t="inlineStr">
        <is>
          <t>2261381240002656</t>
        </is>
      </c>
      <c r="AZ309" t="inlineStr">
        <is>
          <t>BOOK</t>
        </is>
      </c>
      <c r="BB309" t="inlineStr">
        <is>
          <t>9780828101004</t>
        </is>
      </c>
      <c r="BC309" t="inlineStr">
        <is>
          <t>32285003048674</t>
        </is>
      </c>
      <c r="BD309" t="inlineStr">
        <is>
          <t>893432120</t>
        </is>
      </c>
    </row>
    <row r="310">
      <c r="A310" t="inlineStr">
        <is>
          <t>No</t>
        </is>
      </c>
      <c r="B310" t="inlineStr">
        <is>
          <t>NX562 .S65 2003</t>
        </is>
      </c>
      <c r="C310" t="inlineStr">
        <is>
          <t>0                      NX 0562000S  65          2003</t>
        </is>
      </c>
      <c r="D310" t="inlineStr">
        <is>
          <t>Contemporary Spanish culture : TV, fashion, art and film / Paul Julian Smith.</t>
        </is>
      </c>
      <c r="F310" t="inlineStr">
        <is>
          <t>No</t>
        </is>
      </c>
      <c r="G310" t="inlineStr">
        <is>
          <t>1</t>
        </is>
      </c>
      <c r="H310" t="inlineStr">
        <is>
          <t>No</t>
        </is>
      </c>
      <c r="I310" t="inlineStr">
        <is>
          <t>No</t>
        </is>
      </c>
      <c r="J310" t="inlineStr">
        <is>
          <t>0</t>
        </is>
      </c>
      <c r="K310" t="inlineStr">
        <is>
          <t>Smith, Paul Julian.</t>
        </is>
      </c>
      <c r="L310" t="inlineStr">
        <is>
          <t>Malden, Mass. : Polity Press, c2003.</t>
        </is>
      </c>
      <c r="M310" t="inlineStr">
        <is>
          <t>2003</t>
        </is>
      </c>
      <c r="O310" t="inlineStr">
        <is>
          <t>eng</t>
        </is>
      </c>
      <c r="P310" t="inlineStr">
        <is>
          <t>mau</t>
        </is>
      </c>
      <c r="R310" t="inlineStr">
        <is>
          <t xml:space="preserve">NX </t>
        </is>
      </c>
      <c r="S310" t="n">
        <v>1</v>
      </c>
      <c r="T310" t="n">
        <v>1</v>
      </c>
      <c r="U310" t="inlineStr">
        <is>
          <t>2009-03-05</t>
        </is>
      </c>
      <c r="V310" t="inlineStr">
        <is>
          <t>2009-03-05</t>
        </is>
      </c>
      <c r="W310" t="inlineStr">
        <is>
          <t>2009-03-05</t>
        </is>
      </c>
      <c r="X310" t="inlineStr">
        <is>
          <t>2009-03-05</t>
        </is>
      </c>
      <c r="Y310" t="n">
        <v>292</v>
      </c>
      <c r="Z310" t="n">
        <v>207</v>
      </c>
      <c r="AA310" t="n">
        <v>226</v>
      </c>
      <c r="AB310" t="n">
        <v>4</v>
      </c>
      <c r="AC310" t="n">
        <v>4</v>
      </c>
      <c r="AD310" t="n">
        <v>9</v>
      </c>
      <c r="AE310" t="n">
        <v>9</v>
      </c>
      <c r="AF310" t="n">
        <v>1</v>
      </c>
      <c r="AG310" t="n">
        <v>1</v>
      </c>
      <c r="AH310" t="n">
        <v>2</v>
      </c>
      <c r="AI310" t="n">
        <v>2</v>
      </c>
      <c r="AJ310" t="n">
        <v>4</v>
      </c>
      <c r="AK310" t="n">
        <v>4</v>
      </c>
      <c r="AL310" t="n">
        <v>3</v>
      </c>
      <c r="AM310" t="n">
        <v>3</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HYPERLINK("https://creighton-primo.hosted.exlibrisgroup.com/primo-explore/search?tab=default_tab&amp;search_scope=EVERYTHING&amp;vid=01CRU&amp;lang=en_US&amp;offset=0&amp;query=any,contains,991005299229702656","Catalog Record")</f>
        <v/>
      </c>
      <c r="AT310">
        <f>HYPERLINK("http://www.worldcat.org/oclc/50583397","WorldCat Record")</f>
        <v/>
      </c>
      <c r="AU310" t="inlineStr">
        <is>
          <t>198038597:eng</t>
        </is>
      </c>
      <c r="AV310" t="inlineStr">
        <is>
          <t>50583397</t>
        </is>
      </c>
      <c r="AW310" t="inlineStr">
        <is>
          <t>991005299229702656</t>
        </is>
      </c>
      <c r="AX310" t="inlineStr">
        <is>
          <t>991005299229702656</t>
        </is>
      </c>
      <c r="AY310" t="inlineStr">
        <is>
          <t>2268621520002656</t>
        </is>
      </c>
      <c r="AZ310" t="inlineStr">
        <is>
          <t>BOOK</t>
        </is>
      </c>
      <c r="BB310" t="inlineStr">
        <is>
          <t>9780745630526</t>
        </is>
      </c>
      <c r="BC310" t="inlineStr">
        <is>
          <t>32285005507875</t>
        </is>
      </c>
      <c r="BD310" t="inlineStr">
        <is>
          <t>893536534</t>
        </is>
      </c>
    </row>
    <row r="311">
      <c r="A311" t="inlineStr">
        <is>
          <t>No</t>
        </is>
      </c>
      <c r="B311" t="inlineStr">
        <is>
          <t>NX562.A1 A84</t>
        </is>
      </c>
      <c r="C311" t="inlineStr">
        <is>
          <t>0                      NX 0562000A  1                  A  84</t>
        </is>
      </c>
      <c r="D311" t="inlineStr">
        <is>
          <t>El surrealismo español / Francisco Aranda.</t>
        </is>
      </c>
      <c r="F311" t="inlineStr">
        <is>
          <t>No</t>
        </is>
      </c>
      <c r="G311" t="inlineStr">
        <is>
          <t>1</t>
        </is>
      </c>
      <c r="H311" t="inlineStr">
        <is>
          <t>No</t>
        </is>
      </c>
      <c r="I311" t="inlineStr">
        <is>
          <t>No</t>
        </is>
      </c>
      <c r="J311" t="inlineStr">
        <is>
          <t>0</t>
        </is>
      </c>
      <c r="K311" t="inlineStr">
        <is>
          <t>Aranda, J. Francisco, 1926-</t>
        </is>
      </c>
      <c r="L311" t="inlineStr">
        <is>
          <t>Barcelona : Editorial Lumen, 1981.</t>
        </is>
      </c>
      <c r="M311" t="inlineStr">
        <is>
          <t>1981</t>
        </is>
      </c>
      <c r="N311" t="inlineStr">
        <is>
          <t>1a ed.</t>
        </is>
      </c>
      <c r="O311" t="inlineStr">
        <is>
          <t>spa</t>
        </is>
      </c>
      <c r="P311" t="inlineStr">
        <is>
          <t xml:space="preserve">sp </t>
        </is>
      </c>
      <c r="Q311" t="inlineStr">
        <is>
          <t>Palabra en el tiempo ; 139</t>
        </is>
      </c>
      <c r="R311" t="inlineStr">
        <is>
          <t xml:space="preserve">NX </t>
        </is>
      </c>
      <c r="S311" t="n">
        <v>1</v>
      </c>
      <c r="T311" t="n">
        <v>1</v>
      </c>
      <c r="U311" t="inlineStr">
        <is>
          <t>1993-12-03</t>
        </is>
      </c>
      <c r="V311" t="inlineStr">
        <is>
          <t>1993-12-03</t>
        </is>
      </c>
      <c r="W311" t="inlineStr">
        <is>
          <t>1993-06-02</t>
        </is>
      </c>
      <c r="X311" t="inlineStr">
        <is>
          <t>1993-06-02</t>
        </is>
      </c>
      <c r="Y311" t="n">
        <v>217</v>
      </c>
      <c r="Z311" t="n">
        <v>163</v>
      </c>
      <c r="AA311" t="n">
        <v>164</v>
      </c>
      <c r="AB311" t="n">
        <v>3</v>
      </c>
      <c r="AC311" t="n">
        <v>3</v>
      </c>
      <c r="AD311" t="n">
        <v>10</v>
      </c>
      <c r="AE311" t="n">
        <v>10</v>
      </c>
      <c r="AF311" t="n">
        <v>2</v>
      </c>
      <c r="AG311" t="n">
        <v>2</v>
      </c>
      <c r="AH311" t="n">
        <v>5</v>
      </c>
      <c r="AI311" t="n">
        <v>5</v>
      </c>
      <c r="AJ311" t="n">
        <v>4</v>
      </c>
      <c r="AK311" t="n">
        <v>4</v>
      </c>
      <c r="AL311" t="n">
        <v>2</v>
      </c>
      <c r="AM311" t="n">
        <v>2</v>
      </c>
      <c r="AN311" t="n">
        <v>0</v>
      </c>
      <c r="AO311" t="n">
        <v>0</v>
      </c>
      <c r="AP311" t="inlineStr">
        <is>
          <t>No</t>
        </is>
      </c>
      <c r="AQ311" t="inlineStr">
        <is>
          <t>Yes</t>
        </is>
      </c>
      <c r="AR311">
        <f>HYPERLINK("http://catalog.hathitrust.org/Record/000106209","HathiTrust Record")</f>
        <v/>
      </c>
      <c r="AS311">
        <f>HYPERLINK("https://creighton-primo.hosted.exlibrisgroup.com/primo-explore/search?tab=default_tab&amp;search_scope=EVERYTHING&amp;vid=01CRU&amp;lang=en_US&amp;offset=0&amp;query=any,contains,991000019289702656","Catalog Record")</f>
        <v/>
      </c>
      <c r="AT311">
        <f>HYPERLINK("http://www.worldcat.org/oclc/8554365","WorldCat Record")</f>
        <v/>
      </c>
      <c r="AU311" t="inlineStr">
        <is>
          <t>365529676:spa</t>
        </is>
      </c>
      <c r="AV311" t="inlineStr">
        <is>
          <t>8554365</t>
        </is>
      </c>
      <c r="AW311" t="inlineStr">
        <is>
          <t>991000019289702656</t>
        </is>
      </c>
      <c r="AX311" t="inlineStr">
        <is>
          <t>991000019289702656</t>
        </is>
      </c>
      <c r="AY311" t="inlineStr">
        <is>
          <t>2256220120002656</t>
        </is>
      </c>
      <c r="AZ311" t="inlineStr">
        <is>
          <t>BOOK</t>
        </is>
      </c>
      <c r="BB311" t="inlineStr">
        <is>
          <t>9788426411396</t>
        </is>
      </c>
      <c r="BC311" t="inlineStr">
        <is>
          <t>32285001717254</t>
        </is>
      </c>
      <c r="BD311" t="inlineStr">
        <is>
          <t>893514927</t>
        </is>
      </c>
    </row>
    <row r="312">
      <c r="A312" t="inlineStr">
        <is>
          <t>No</t>
        </is>
      </c>
      <c r="B312" t="inlineStr">
        <is>
          <t>NX562.A1 B66 1995</t>
        </is>
      </c>
      <c r="C312" t="inlineStr">
        <is>
          <t>0                      NX 0562000A  1                  B  66          1995</t>
        </is>
      </c>
      <c r="D312" t="inlineStr">
        <is>
          <t>Diccionario de las vanguardias en España, 1907-1936 / Juan Manuel Bonet.</t>
        </is>
      </c>
      <c r="F312" t="inlineStr">
        <is>
          <t>No</t>
        </is>
      </c>
      <c r="G312" t="inlineStr">
        <is>
          <t>1</t>
        </is>
      </c>
      <c r="H312" t="inlineStr">
        <is>
          <t>No</t>
        </is>
      </c>
      <c r="I312" t="inlineStr">
        <is>
          <t>No</t>
        </is>
      </c>
      <c r="J312" t="inlineStr">
        <is>
          <t>0</t>
        </is>
      </c>
      <c r="K312" t="inlineStr">
        <is>
          <t>Bonet, Juan Manuel.</t>
        </is>
      </c>
      <c r="L312" t="inlineStr">
        <is>
          <t>Madrid : Alianza Editorial, c1995.</t>
        </is>
      </c>
      <c r="M312" t="inlineStr">
        <is>
          <t>1995</t>
        </is>
      </c>
      <c r="O312" t="inlineStr">
        <is>
          <t>spa</t>
        </is>
      </c>
      <c r="P312" t="inlineStr">
        <is>
          <t xml:space="preserve">sp </t>
        </is>
      </c>
      <c r="R312" t="inlineStr">
        <is>
          <t xml:space="preserve">NX </t>
        </is>
      </c>
      <c r="S312" t="n">
        <v>1</v>
      </c>
      <c r="T312" t="n">
        <v>1</v>
      </c>
      <c r="U312" t="inlineStr">
        <is>
          <t>2005-08-08</t>
        </is>
      </c>
      <c r="V312" t="inlineStr">
        <is>
          <t>2005-08-08</t>
        </is>
      </c>
      <c r="W312" t="inlineStr">
        <is>
          <t>2005-08-08</t>
        </is>
      </c>
      <c r="X312" t="inlineStr">
        <is>
          <t>2005-08-08</t>
        </is>
      </c>
      <c r="Y312" t="n">
        <v>103</v>
      </c>
      <c r="Z312" t="n">
        <v>62</v>
      </c>
      <c r="AA312" t="n">
        <v>84</v>
      </c>
      <c r="AB312" t="n">
        <v>2</v>
      </c>
      <c r="AC312" t="n">
        <v>2</v>
      </c>
      <c r="AD312" t="n">
        <v>2</v>
      </c>
      <c r="AE312" t="n">
        <v>2</v>
      </c>
      <c r="AF312" t="n">
        <v>1</v>
      </c>
      <c r="AG312" t="n">
        <v>1</v>
      </c>
      <c r="AH312" t="n">
        <v>0</v>
      </c>
      <c r="AI312" t="n">
        <v>0</v>
      </c>
      <c r="AJ312" t="n">
        <v>0</v>
      </c>
      <c r="AK312" t="n">
        <v>0</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HYPERLINK("https://creighton-primo.hosted.exlibrisgroup.com/primo-explore/search?tab=default_tab&amp;search_scope=EVERYTHING&amp;vid=01CRU&amp;lang=en_US&amp;offset=0&amp;query=any,contains,991004345369702656","Catalog Record")</f>
        <v/>
      </c>
      <c r="AT312">
        <f>HYPERLINK("http://www.worldcat.org/oclc/34546548","WorldCat Record")</f>
        <v/>
      </c>
      <c r="AU312" t="inlineStr">
        <is>
          <t>7682523:spa</t>
        </is>
      </c>
      <c r="AV312" t="inlineStr">
        <is>
          <t>34546548</t>
        </is>
      </c>
      <c r="AW312" t="inlineStr">
        <is>
          <t>991004345369702656</t>
        </is>
      </c>
      <c r="AX312" t="inlineStr">
        <is>
          <t>991004345369702656</t>
        </is>
      </c>
      <c r="AY312" t="inlineStr">
        <is>
          <t>2263021440002656</t>
        </is>
      </c>
      <c r="AZ312" t="inlineStr">
        <is>
          <t>BOOK</t>
        </is>
      </c>
      <c r="BB312" t="inlineStr">
        <is>
          <t>9788420694559</t>
        </is>
      </c>
      <c r="BC312" t="inlineStr">
        <is>
          <t>32285005099741</t>
        </is>
      </c>
      <c r="BD312" t="inlineStr">
        <is>
          <t>893794759</t>
        </is>
      </c>
    </row>
    <row r="313">
      <c r="A313" t="inlineStr">
        <is>
          <t>No</t>
        </is>
      </c>
      <c r="B313" t="inlineStr">
        <is>
          <t>NX562.A1 M65 1999</t>
        </is>
      </c>
      <c r="C313" t="inlineStr">
        <is>
          <t>0                      NX 0562000A  1                  M  65          1999</t>
        </is>
      </c>
      <c r="D313" t="inlineStr">
        <is>
          <t>The arts in Spain / John F. Moffitt.</t>
        </is>
      </c>
      <c r="F313" t="inlineStr">
        <is>
          <t>No</t>
        </is>
      </c>
      <c r="G313" t="inlineStr">
        <is>
          <t>1</t>
        </is>
      </c>
      <c r="H313" t="inlineStr">
        <is>
          <t>No</t>
        </is>
      </c>
      <c r="I313" t="inlineStr">
        <is>
          <t>No</t>
        </is>
      </c>
      <c r="J313" t="inlineStr">
        <is>
          <t>0</t>
        </is>
      </c>
      <c r="K313" t="inlineStr">
        <is>
          <t>Moffitt, John F. (John Francis), 1940-2008.</t>
        </is>
      </c>
      <c r="L313" t="inlineStr">
        <is>
          <t>New York : Thames and Hudson, 1999.</t>
        </is>
      </c>
      <c r="M313" t="inlineStr">
        <is>
          <t>1999</t>
        </is>
      </c>
      <c r="O313" t="inlineStr">
        <is>
          <t>eng</t>
        </is>
      </c>
      <c r="P313" t="inlineStr">
        <is>
          <t>nyu</t>
        </is>
      </c>
      <c r="Q313" t="inlineStr">
        <is>
          <t>World of art</t>
        </is>
      </c>
      <c r="R313" t="inlineStr">
        <is>
          <t xml:space="preserve">NX </t>
        </is>
      </c>
      <c r="S313" t="n">
        <v>2</v>
      </c>
      <c r="T313" t="n">
        <v>2</v>
      </c>
      <c r="U313" t="inlineStr">
        <is>
          <t>2006-02-07</t>
        </is>
      </c>
      <c r="V313" t="inlineStr">
        <is>
          <t>2006-02-07</t>
        </is>
      </c>
      <c r="W313" t="inlineStr">
        <is>
          <t>2000-03-08</t>
        </is>
      </c>
      <c r="X313" t="inlineStr">
        <is>
          <t>2000-03-08</t>
        </is>
      </c>
      <c r="Y313" t="n">
        <v>1063</v>
      </c>
      <c r="Z313" t="n">
        <v>886</v>
      </c>
      <c r="AA313" t="n">
        <v>889</v>
      </c>
      <c r="AB313" t="n">
        <v>8</v>
      </c>
      <c r="AC313" t="n">
        <v>8</v>
      </c>
      <c r="AD313" t="n">
        <v>28</v>
      </c>
      <c r="AE313" t="n">
        <v>28</v>
      </c>
      <c r="AF313" t="n">
        <v>11</v>
      </c>
      <c r="AG313" t="n">
        <v>11</v>
      </c>
      <c r="AH313" t="n">
        <v>4</v>
      </c>
      <c r="AI313" t="n">
        <v>4</v>
      </c>
      <c r="AJ313" t="n">
        <v>11</v>
      </c>
      <c r="AK313" t="n">
        <v>11</v>
      </c>
      <c r="AL313" t="n">
        <v>6</v>
      </c>
      <c r="AM313" t="n">
        <v>6</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HYPERLINK("https://creighton-primo.hosted.exlibrisgroup.com/primo-explore/search?tab=default_tab&amp;search_scope=EVERYTHING&amp;vid=01CRU&amp;lang=en_US&amp;offset=0&amp;query=any,contains,991003010569702656","Catalog Record")</f>
        <v/>
      </c>
      <c r="AT313">
        <f>HYPERLINK("http://www.worldcat.org/oclc/40859158","WorldCat Record")</f>
        <v/>
      </c>
      <c r="AU313" t="inlineStr">
        <is>
          <t>896767767:eng</t>
        </is>
      </c>
      <c r="AV313" t="inlineStr">
        <is>
          <t>40859158</t>
        </is>
      </c>
      <c r="AW313" t="inlineStr">
        <is>
          <t>991003010569702656</t>
        </is>
      </c>
      <c r="AX313" t="inlineStr">
        <is>
          <t>991003010569702656</t>
        </is>
      </c>
      <c r="AY313" t="inlineStr">
        <is>
          <t>2258528540002656</t>
        </is>
      </c>
      <c r="AZ313" t="inlineStr">
        <is>
          <t>BOOK</t>
        </is>
      </c>
      <c r="BB313" t="inlineStr">
        <is>
          <t>9780500203156</t>
        </is>
      </c>
      <c r="BC313" t="inlineStr">
        <is>
          <t>32285003667945</t>
        </is>
      </c>
      <c r="BD313" t="inlineStr">
        <is>
          <t>893251907</t>
        </is>
      </c>
    </row>
    <row r="314">
      <c r="A314" t="inlineStr">
        <is>
          <t>No</t>
        </is>
      </c>
      <c r="B314" t="inlineStr">
        <is>
          <t>NX573 .C65 2001</t>
        </is>
      </c>
      <c r="C314" t="inlineStr">
        <is>
          <t>0                      NX 0573000C  65          2001</t>
        </is>
      </c>
      <c r="D314" t="inlineStr">
        <is>
          <t>Colors of enchantment : theater, dance, music and the visual arts of the Middle East / edited by Sherifa Zuhur.</t>
        </is>
      </c>
      <c r="F314" t="inlineStr">
        <is>
          <t>No</t>
        </is>
      </c>
      <c r="G314" t="inlineStr">
        <is>
          <t>1</t>
        </is>
      </c>
      <c r="H314" t="inlineStr">
        <is>
          <t>No</t>
        </is>
      </c>
      <c r="I314" t="inlineStr">
        <is>
          <t>No</t>
        </is>
      </c>
      <c r="J314" t="inlineStr">
        <is>
          <t>0</t>
        </is>
      </c>
      <c r="L314" t="inlineStr">
        <is>
          <t>Cairo, Egypt ; New York : American University in Cairo Press, c2001.</t>
        </is>
      </c>
      <c r="M314" t="inlineStr">
        <is>
          <t>2001</t>
        </is>
      </c>
      <c r="O314" t="inlineStr">
        <is>
          <t>eng</t>
        </is>
      </c>
      <c r="P314" t="inlineStr">
        <is>
          <t xml:space="preserve">ua </t>
        </is>
      </c>
      <c r="R314" t="inlineStr">
        <is>
          <t xml:space="preserve">NX </t>
        </is>
      </c>
      <c r="S314" t="n">
        <v>2</v>
      </c>
      <c r="T314" t="n">
        <v>2</v>
      </c>
      <c r="U314" t="inlineStr">
        <is>
          <t>2003-04-28</t>
        </is>
      </c>
      <c r="V314" t="inlineStr">
        <is>
          <t>2003-04-28</t>
        </is>
      </c>
      <c r="W314" t="inlineStr">
        <is>
          <t>2002-03-20</t>
        </is>
      </c>
      <c r="X314" t="inlineStr">
        <is>
          <t>2002-03-20</t>
        </is>
      </c>
      <c r="Y314" t="n">
        <v>300</v>
      </c>
      <c r="Z314" t="n">
        <v>239</v>
      </c>
      <c r="AA314" t="n">
        <v>934</v>
      </c>
      <c r="AB314" t="n">
        <v>2</v>
      </c>
      <c r="AC314" t="n">
        <v>34</v>
      </c>
      <c r="AD314" t="n">
        <v>9</v>
      </c>
      <c r="AE314" t="n">
        <v>35</v>
      </c>
      <c r="AF314" t="n">
        <v>1</v>
      </c>
      <c r="AG314" t="n">
        <v>10</v>
      </c>
      <c r="AH314" t="n">
        <v>5</v>
      </c>
      <c r="AI314" t="n">
        <v>7</v>
      </c>
      <c r="AJ314" t="n">
        <v>4</v>
      </c>
      <c r="AK314" t="n">
        <v>8</v>
      </c>
      <c r="AL314" t="n">
        <v>1</v>
      </c>
      <c r="AM314" t="n">
        <v>15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HYPERLINK("https://creighton-primo.hosted.exlibrisgroup.com/primo-explore/search?tab=default_tab&amp;search_scope=EVERYTHING&amp;vid=01CRU&amp;lang=en_US&amp;offset=0&amp;query=any,contains,991003741579702656","Catalog Record")</f>
        <v/>
      </c>
      <c r="AT314">
        <f>HYPERLINK("http://www.worldcat.org/oclc/48788252","WorldCat Record")</f>
        <v/>
      </c>
      <c r="AU314" t="inlineStr">
        <is>
          <t>800742652:eng</t>
        </is>
      </c>
      <c r="AV314" t="inlineStr">
        <is>
          <t>48788252</t>
        </is>
      </c>
      <c r="AW314" t="inlineStr">
        <is>
          <t>991003741579702656</t>
        </is>
      </c>
      <c r="AX314" t="inlineStr">
        <is>
          <t>991003741579702656</t>
        </is>
      </c>
      <c r="AY314" t="inlineStr">
        <is>
          <t>2260224270002656</t>
        </is>
      </c>
      <c r="AZ314" t="inlineStr">
        <is>
          <t>BOOK</t>
        </is>
      </c>
      <c r="BB314" t="inlineStr">
        <is>
          <t>9789774246074</t>
        </is>
      </c>
      <c r="BC314" t="inlineStr">
        <is>
          <t>32285004463252</t>
        </is>
      </c>
      <c r="BD314" t="inlineStr">
        <is>
          <t>893435377</t>
        </is>
      </c>
    </row>
    <row r="315">
      <c r="A315" t="inlineStr">
        <is>
          <t>No</t>
        </is>
      </c>
      <c r="B315" t="inlineStr">
        <is>
          <t>NX584.6 .K67 1993</t>
        </is>
      </c>
      <c r="C315" t="inlineStr">
        <is>
          <t>0                      NX 0584600K  67          1993</t>
        </is>
      </c>
      <c r="D315" t="inlineStr">
        <is>
          <t>Korean art tradition : a historical survey / edited by Young Ick Lew = Hanʼguk ŭi yesul chŏntʻong / Yu Yŏng-ik pʻyŏn.</t>
        </is>
      </c>
      <c r="F315" t="inlineStr">
        <is>
          <t>No</t>
        </is>
      </c>
      <c r="G315" t="inlineStr">
        <is>
          <t>1</t>
        </is>
      </c>
      <c r="H315" t="inlineStr">
        <is>
          <t>No</t>
        </is>
      </c>
      <c r="I315" t="inlineStr">
        <is>
          <t>No</t>
        </is>
      </c>
      <c r="J315" t="inlineStr">
        <is>
          <t>0</t>
        </is>
      </c>
      <c r="L315" t="inlineStr">
        <is>
          <t>Seoul : Korea Foundation, 1993.</t>
        </is>
      </c>
      <c r="M315" t="inlineStr">
        <is>
          <t>1993</t>
        </is>
      </c>
      <c r="O315" t="inlineStr">
        <is>
          <t>eng</t>
        </is>
      </c>
      <c r="P315" t="inlineStr">
        <is>
          <t xml:space="preserve">ko </t>
        </is>
      </c>
      <c r="R315" t="inlineStr">
        <is>
          <t xml:space="preserve">NX </t>
        </is>
      </c>
      <c r="S315" t="n">
        <v>3</v>
      </c>
      <c r="T315" t="n">
        <v>3</v>
      </c>
      <c r="U315" t="inlineStr">
        <is>
          <t>2003-04-24</t>
        </is>
      </c>
      <c r="V315" t="inlineStr">
        <is>
          <t>2003-04-24</t>
        </is>
      </c>
      <c r="W315" t="inlineStr">
        <is>
          <t>1995-06-19</t>
        </is>
      </c>
      <c r="X315" t="inlineStr">
        <is>
          <t>1995-06-19</t>
        </is>
      </c>
      <c r="Y315" t="n">
        <v>239</v>
      </c>
      <c r="Z315" t="n">
        <v>199</v>
      </c>
      <c r="AA315" t="n">
        <v>220</v>
      </c>
      <c r="AB315" t="n">
        <v>2</v>
      </c>
      <c r="AC315" t="n">
        <v>2</v>
      </c>
      <c r="AD315" t="n">
        <v>8</v>
      </c>
      <c r="AE315" t="n">
        <v>9</v>
      </c>
      <c r="AF315" t="n">
        <v>3</v>
      </c>
      <c r="AG315" t="n">
        <v>3</v>
      </c>
      <c r="AH315" t="n">
        <v>2</v>
      </c>
      <c r="AI315" t="n">
        <v>3</v>
      </c>
      <c r="AJ315" t="n">
        <v>3</v>
      </c>
      <c r="AK315" t="n">
        <v>4</v>
      </c>
      <c r="AL315" t="n">
        <v>1</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HYPERLINK("https://creighton-primo.hosted.exlibrisgroup.com/primo-explore/search?tab=default_tab&amp;search_scope=EVERYTHING&amp;vid=01CRU&amp;lang=en_US&amp;offset=0&amp;query=any,contains,991002320039702656","Catalog Record")</f>
        <v/>
      </c>
      <c r="AT315">
        <f>HYPERLINK("http://www.worldcat.org/oclc/30094911","WorldCat Record")</f>
        <v/>
      </c>
      <c r="AU315" t="inlineStr">
        <is>
          <t>477630663:eng</t>
        </is>
      </c>
      <c r="AV315" t="inlineStr">
        <is>
          <t>30094911</t>
        </is>
      </c>
      <c r="AW315" t="inlineStr">
        <is>
          <t>991002320039702656</t>
        </is>
      </c>
      <c r="AX315" t="inlineStr">
        <is>
          <t>991002320039702656</t>
        </is>
      </c>
      <c r="AY315" t="inlineStr">
        <is>
          <t>2272174840002656</t>
        </is>
      </c>
      <c r="AZ315" t="inlineStr">
        <is>
          <t>BOOK</t>
        </is>
      </c>
      <c r="BC315" t="inlineStr">
        <is>
          <t>32285002057452</t>
        </is>
      </c>
      <c r="BD315" t="inlineStr">
        <is>
          <t>893609718</t>
        </is>
      </c>
    </row>
    <row r="316">
      <c r="A316" t="inlineStr">
        <is>
          <t>No</t>
        </is>
      </c>
      <c r="B316" t="inlineStr">
        <is>
          <t>NX588.75 .T47</t>
        </is>
      </c>
      <c r="C316" t="inlineStr">
        <is>
          <t>0                      NX 0588750T  47</t>
        </is>
      </c>
      <c r="D316" t="inlineStr">
        <is>
          <t>African art in motion; icon and act in the Collection of Katherine Coryton White. [Catalog of an exhibition] National Gallery of Art, Washington, D.C.; Frederick S. Wight Art Gallery, University of California, Los Angeles.</t>
        </is>
      </c>
      <c r="F316" t="inlineStr">
        <is>
          <t>No</t>
        </is>
      </c>
      <c r="G316" t="inlineStr">
        <is>
          <t>1</t>
        </is>
      </c>
      <c r="H316" t="inlineStr">
        <is>
          <t>No</t>
        </is>
      </c>
      <c r="I316" t="inlineStr">
        <is>
          <t>No</t>
        </is>
      </c>
      <c r="J316" t="inlineStr">
        <is>
          <t>0</t>
        </is>
      </c>
      <c r="K316" t="inlineStr">
        <is>
          <t>Thompson, Robert Farris.</t>
        </is>
      </c>
      <c r="L316" t="inlineStr">
        <is>
          <t>Los Angeles, University of California Press [1974]</t>
        </is>
      </c>
      <c r="M316" t="inlineStr">
        <is>
          <t>1974</t>
        </is>
      </c>
      <c r="O316" t="inlineStr">
        <is>
          <t>eng</t>
        </is>
      </c>
      <c r="P316" t="inlineStr">
        <is>
          <t>cau</t>
        </is>
      </c>
      <c r="R316" t="inlineStr">
        <is>
          <t xml:space="preserve">NX </t>
        </is>
      </c>
      <c r="S316" t="n">
        <v>3</v>
      </c>
      <c r="T316" t="n">
        <v>3</v>
      </c>
      <c r="U316" t="inlineStr">
        <is>
          <t>1997-09-13</t>
        </is>
      </c>
      <c r="V316" t="inlineStr">
        <is>
          <t>1997-09-13</t>
        </is>
      </c>
      <c r="W316" t="inlineStr">
        <is>
          <t>1997-08-08</t>
        </is>
      </c>
      <c r="X316" t="inlineStr">
        <is>
          <t>1997-08-08</t>
        </is>
      </c>
      <c r="Y316" t="n">
        <v>789</v>
      </c>
      <c r="Z316" t="n">
        <v>670</v>
      </c>
      <c r="AA316" t="n">
        <v>671</v>
      </c>
      <c r="AB316" t="n">
        <v>2</v>
      </c>
      <c r="AC316" t="n">
        <v>2</v>
      </c>
      <c r="AD316" t="n">
        <v>20</v>
      </c>
      <c r="AE316" t="n">
        <v>20</v>
      </c>
      <c r="AF316" t="n">
        <v>8</v>
      </c>
      <c r="AG316" t="n">
        <v>8</v>
      </c>
      <c r="AH316" t="n">
        <v>5</v>
      </c>
      <c r="AI316" t="n">
        <v>5</v>
      </c>
      <c r="AJ316" t="n">
        <v>13</v>
      </c>
      <c r="AK316" t="n">
        <v>13</v>
      </c>
      <c r="AL316" t="n">
        <v>1</v>
      </c>
      <c r="AM316" t="n">
        <v>1</v>
      </c>
      <c r="AN316" t="n">
        <v>0</v>
      </c>
      <c r="AO316" t="n">
        <v>0</v>
      </c>
      <c r="AP316" t="inlineStr">
        <is>
          <t>No</t>
        </is>
      </c>
      <c r="AQ316" t="inlineStr">
        <is>
          <t>Yes</t>
        </is>
      </c>
      <c r="AR316">
        <f>HYPERLINK("http://catalog.hathitrust.org/Record/000016107","HathiTrust Record")</f>
        <v/>
      </c>
      <c r="AS316">
        <f>HYPERLINK("https://creighton-primo.hosted.exlibrisgroup.com/primo-explore/search?tab=default_tab&amp;search_scope=EVERYTHING&amp;vid=01CRU&amp;lang=en_US&amp;offset=0&amp;query=any,contains,991003450419702656","Catalog Record")</f>
        <v/>
      </c>
      <c r="AT316">
        <f>HYPERLINK("http://www.worldcat.org/oclc/987916","WorldCat Record")</f>
        <v/>
      </c>
      <c r="AU316" t="inlineStr">
        <is>
          <t>9350288452:eng</t>
        </is>
      </c>
      <c r="AV316" t="inlineStr">
        <is>
          <t>987916</t>
        </is>
      </c>
      <c r="AW316" t="inlineStr">
        <is>
          <t>991003450419702656</t>
        </is>
      </c>
      <c r="AX316" t="inlineStr">
        <is>
          <t>991003450419702656</t>
        </is>
      </c>
      <c r="AY316" t="inlineStr">
        <is>
          <t>2270379870002656</t>
        </is>
      </c>
      <c r="AZ316" t="inlineStr">
        <is>
          <t>BOOK</t>
        </is>
      </c>
      <c r="BB316" t="inlineStr">
        <is>
          <t>9780520026858</t>
        </is>
      </c>
      <c r="BC316" t="inlineStr">
        <is>
          <t>32285003048708</t>
        </is>
      </c>
      <c r="BD316" t="inlineStr">
        <is>
          <t>893336492</t>
        </is>
      </c>
    </row>
    <row r="317">
      <c r="A317" t="inlineStr">
        <is>
          <t>No</t>
        </is>
      </c>
      <c r="B317" t="inlineStr">
        <is>
          <t>NX589.6.S5 B66 1986</t>
        </is>
      </c>
      <c r="C317" t="inlineStr">
        <is>
          <t>0                      NX 0589600S  5                  B  66          1986</t>
        </is>
      </c>
      <c r="D317" t="inlineStr">
        <is>
          <t>Radiance from the waters : ideals of feminine beauty in Mende art / Sylvia Ardyn Boone ; photographs by Sylvia Ardyn Boone and Rebecca Busselle.</t>
        </is>
      </c>
      <c r="F317" t="inlineStr">
        <is>
          <t>No</t>
        </is>
      </c>
      <c r="G317" t="inlineStr">
        <is>
          <t>1</t>
        </is>
      </c>
      <c r="H317" t="inlineStr">
        <is>
          <t>No</t>
        </is>
      </c>
      <c r="I317" t="inlineStr">
        <is>
          <t>No</t>
        </is>
      </c>
      <c r="J317" t="inlineStr">
        <is>
          <t>0</t>
        </is>
      </c>
      <c r="K317" t="inlineStr">
        <is>
          <t>Boone, Sylvia Ardyn.</t>
        </is>
      </c>
      <c r="L317" t="inlineStr">
        <is>
          <t>New Haven : Yale University Press, c1986.</t>
        </is>
      </c>
      <c r="M317" t="inlineStr">
        <is>
          <t>1986</t>
        </is>
      </c>
      <c r="O317" t="inlineStr">
        <is>
          <t>eng</t>
        </is>
      </c>
      <c r="P317" t="inlineStr">
        <is>
          <t>ctu</t>
        </is>
      </c>
      <c r="Q317" t="inlineStr">
        <is>
          <t>Yale publications in the history of art ; 34</t>
        </is>
      </c>
      <c r="R317" t="inlineStr">
        <is>
          <t xml:space="preserve">NX </t>
        </is>
      </c>
      <c r="S317" t="n">
        <v>2</v>
      </c>
      <c r="T317" t="n">
        <v>2</v>
      </c>
      <c r="U317" t="inlineStr">
        <is>
          <t>1997-10-08</t>
        </is>
      </c>
      <c r="V317" t="inlineStr">
        <is>
          <t>1997-10-08</t>
        </is>
      </c>
      <c r="W317" t="inlineStr">
        <is>
          <t>1996-04-22</t>
        </is>
      </c>
      <c r="X317" t="inlineStr">
        <is>
          <t>1996-04-22</t>
        </is>
      </c>
      <c r="Y317" t="n">
        <v>531</v>
      </c>
      <c r="Z317" t="n">
        <v>442</v>
      </c>
      <c r="AA317" t="n">
        <v>443</v>
      </c>
      <c r="AB317" t="n">
        <v>3</v>
      </c>
      <c r="AC317" t="n">
        <v>3</v>
      </c>
      <c r="AD317" t="n">
        <v>13</v>
      </c>
      <c r="AE317" t="n">
        <v>13</v>
      </c>
      <c r="AF317" t="n">
        <v>1</v>
      </c>
      <c r="AG317" t="n">
        <v>1</v>
      </c>
      <c r="AH317" t="n">
        <v>4</v>
      </c>
      <c r="AI317" t="n">
        <v>4</v>
      </c>
      <c r="AJ317" t="n">
        <v>7</v>
      </c>
      <c r="AK317" t="n">
        <v>7</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HYPERLINK("https://creighton-primo.hosted.exlibrisgroup.com/primo-explore/search?tab=default_tab&amp;search_scope=EVERYTHING&amp;vid=01CRU&amp;lang=en_US&amp;offset=0&amp;query=any,contains,991000677169702656","Catalog Record")</f>
        <v/>
      </c>
      <c r="AT317">
        <f>HYPERLINK("http://www.worldcat.org/oclc/12369976","WorldCat Record")</f>
        <v/>
      </c>
      <c r="AU317" t="inlineStr">
        <is>
          <t>293081044:eng</t>
        </is>
      </c>
      <c r="AV317" t="inlineStr">
        <is>
          <t>12369976</t>
        </is>
      </c>
      <c r="AW317" t="inlineStr">
        <is>
          <t>991000677169702656</t>
        </is>
      </c>
      <c r="AX317" t="inlineStr">
        <is>
          <t>991000677169702656</t>
        </is>
      </c>
      <c r="AY317" t="inlineStr">
        <is>
          <t>2269154410002656</t>
        </is>
      </c>
      <c r="AZ317" t="inlineStr">
        <is>
          <t>BOOK</t>
        </is>
      </c>
      <c r="BB317" t="inlineStr">
        <is>
          <t>9780300035766</t>
        </is>
      </c>
      <c r="BC317" t="inlineStr">
        <is>
          <t>32285002155736</t>
        </is>
      </c>
      <c r="BD317" t="inlineStr">
        <is>
          <t>893778138</t>
        </is>
      </c>
    </row>
    <row r="318">
      <c r="A318" t="inlineStr">
        <is>
          <t>No</t>
        </is>
      </c>
      <c r="B318" t="inlineStr">
        <is>
          <t>NX600.D3 B54</t>
        </is>
      </c>
      <c r="C318" t="inlineStr">
        <is>
          <t>0                      NX 0600000D  3                  B  54</t>
        </is>
      </c>
      <c r="D318" t="inlineStr">
        <is>
          <t>Dada &amp; Surrealism / by C. W. E. Bigsby.</t>
        </is>
      </c>
      <c r="F318" t="inlineStr">
        <is>
          <t>No</t>
        </is>
      </c>
      <c r="G318" t="inlineStr">
        <is>
          <t>1</t>
        </is>
      </c>
      <c r="H318" t="inlineStr">
        <is>
          <t>No</t>
        </is>
      </c>
      <c r="I318" t="inlineStr">
        <is>
          <t>No</t>
        </is>
      </c>
      <c r="J318" t="inlineStr">
        <is>
          <t>0</t>
        </is>
      </c>
      <c r="K318" t="inlineStr">
        <is>
          <t>Bigsby, C. W. E.</t>
        </is>
      </c>
      <c r="L318" t="inlineStr">
        <is>
          <t>[London] Methuen [Distributed in the U.S.A. by Barnes and Noble, 1972]</t>
        </is>
      </c>
      <c r="M318" t="inlineStr">
        <is>
          <t>1972</t>
        </is>
      </c>
      <c r="O318" t="inlineStr">
        <is>
          <t>eng</t>
        </is>
      </c>
      <c r="P318" t="inlineStr">
        <is>
          <t>enk</t>
        </is>
      </c>
      <c r="Q318" t="inlineStr">
        <is>
          <t>The Critical idiom, 23</t>
        </is>
      </c>
      <c r="R318" t="inlineStr">
        <is>
          <t xml:space="preserve">NX </t>
        </is>
      </c>
      <c r="S318" t="n">
        <v>15</v>
      </c>
      <c r="T318" t="n">
        <v>15</v>
      </c>
      <c r="U318" t="inlineStr">
        <is>
          <t>2008-02-06</t>
        </is>
      </c>
      <c r="V318" t="inlineStr">
        <is>
          <t>2008-02-06</t>
        </is>
      </c>
      <c r="W318" t="inlineStr">
        <is>
          <t>1991-12-23</t>
        </is>
      </c>
      <c r="X318" t="inlineStr">
        <is>
          <t>1991-12-23</t>
        </is>
      </c>
      <c r="Y318" t="n">
        <v>902</v>
      </c>
      <c r="Z318" t="n">
        <v>672</v>
      </c>
      <c r="AA318" t="n">
        <v>717</v>
      </c>
      <c r="AB318" t="n">
        <v>5</v>
      </c>
      <c r="AC318" t="n">
        <v>5</v>
      </c>
      <c r="AD318" t="n">
        <v>28</v>
      </c>
      <c r="AE318" t="n">
        <v>28</v>
      </c>
      <c r="AF318" t="n">
        <v>13</v>
      </c>
      <c r="AG318" t="n">
        <v>13</v>
      </c>
      <c r="AH318" t="n">
        <v>7</v>
      </c>
      <c r="AI318" t="n">
        <v>7</v>
      </c>
      <c r="AJ318" t="n">
        <v>12</v>
      </c>
      <c r="AK318" t="n">
        <v>12</v>
      </c>
      <c r="AL318" t="n">
        <v>4</v>
      </c>
      <c r="AM318" t="n">
        <v>4</v>
      </c>
      <c r="AN318" t="n">
        <v>0</v>
      </c>
      <c r="AO318" t="n">
        <v>0</v>
      </c>
      <c r="AP318" t="inlineStr">
        <is>
          <t>No</t>
        </is>
      </c>
      <c r="AQ318" t="inlineStr">
        <is>
          <t>Yes</t>
        </is>
      </c>
      <c r="AR318">
        <f>HYPERLINK("http://catalog.hathitrust.org/Record/001472956","HathiTrust Record")</f>
        <v/>
      </c>
      <c r="AS318">
        <f>HYPERLINK("https://creighton-primo.hosted.exlibrisgroup.com/primo-explore/search?tab=default_tab&amp;search_scope=EVERYTHING&amp;vid=01CRU&amp;lang=en_US&amp;offset=0&amp;query=any,contains,991002667049702656","Catalog Record")</f>
        <v/>
      </c>
      <c r="AT318">
        <f>HYPERLINK("http://www.worldcat.org/oclc/393776","WorldCat Record")</f>
        <v/>
      </c>
      <c r="AU318" t="inlineStr">
        <is>
          <t>1533505:eng</t>
        </is>
      </c>
      <c r="AV318" t="inlineStr">
        <is>
          <t>393776</t>
        </is>
      </c>
      <c r="AW318" t="inlineStr">
        <is>
          <t>991002667049702656</t>
        </is>
      </c>
      <c r="AX318" t="inlineStr">
        <is>
          <t>991002667049702656</t>
        </is>
      </c>
      <c r="AY318" t="inlineStr">
        <is>
          <t>2259756670002656</t>
        </is>
      </c>
      <c r="AZ318" t="inlineStr">
        <is>
          <t>BOOK</t>
        </is>
      </c>
      <c r="BB318" t="inlineStr">
        <is>
          <t>9780416081503</t>
        </is>
      </c>
      <c r="BC318" t="inlineStr">
        <is>
          <t>32285000881127</t>
        </is>
      </c>
      <c r="BD318" t="inlineStr">
        <is>
          <t>893610119</t>
        </is>
      </c>
    </row>
    <row r="319">
      <c r="A319" t="inlineStr">
        <is>
          <t>No</t>
        </is>
      </c>
      <c r="B319" t="inlineStr">
        <is>
          <t>NX600.D3 D295 1985</t>
        </is>
      </c>
      <c r="C319" t="inlineStr">
        <is>
          <t>0                      NX 0600000D  3                  D  295         1985</t>
        </is>
      </c>
      <c r="D319" t="inlineStr">
        <is>
          <t>Dada/dimensions / edited by Stephen C. Foster.</t>
        </is>
      </c>
      <c r="F319" t="inlineStr">
        <is>
          <t>No</t>
        </is>
      </c>
      <c r="G319" t="inlineStr">
        <is>
          <t>1</t>
        </is>
      </c>
      <c r="H319" t="inlineStr">
        <is>
          <t>No</t>
        </is>
      </c>
      <c r="I319" t="inlineStr">
        <is>
          <t>No</t>
        </is>
      </c>
      <c r="J319" t="inlineStr">
        <is>
          <t>0</t>
        </is>
      </c>
      <c r="L319" t="inlineStr">
        <is>
          <t>Ann Arbor, MI : UMI Research Press, c1985.</t>
        </is>
      </c>
      <c r="M319" t="inlineStr">
        <is>
          <t>1985</t>
        </is>
      </c>
      <c r="O319" t="inlineStr">
        <is>
          <t>eng</t>
        </is>
      </c>
      <c r="P319" t="inlineStr">
        <is>
          <t>miu</t>
        </is>
      </c>
      <c r="Q319" t="inlineStr">
        <is>
          <t>Studies in the fine arts. The avant-garde ; no. 48</t>
        </is>
      </c>
      <c r="R319" t="inlineStr">
        <is>
          <t xml:space="preserve">NX </t>
        </is>
      </c>
      <c r="S319" t="n">
        <v>5</v>
      </c>
      <c r="T319" t="n">
        <v>5</v>
      </c>
      <c r="U319" t="inlineStr">
        <is>
          <t>2003-04-27</t>
        </is>
      </c>
      <c r="V319" t="inlineStr">
        <is>
          <t>2003-04-27</t>
        </is>
      </c>
      <c r="W319" t="inlineStr">
        <is>
          <t>1989-11-01</t>
        </is>
      </c>
      <c r="X319" t="inlineStr">
        <is>
          <t>1989-11-01</t>
        </is>
      </c>
      <c r="Y319" t="n">
        <v>510</v>
      </c>
      <c r="Z319" t="n">
        <v>402</v>
      </c>
      <c r="AA319" t="n">
        <v>413</v>
      </c>
      <c r="AB319" t="n">
        <v>4</v>
      </c>
      <c r="AC319" t="n">
        <v>4</v>
      </c>
      <c r="AD319" t="n">
        <v>10</v>
      </c>
      <c r="AE319" t="n">
        <v>10</v>
      </c>
      <c r="AF319" t="n">
        <v>3</v>
      </c>
      <c r="AG319" t="n">
        <v>3</v>
      </c>
      <c r="AH319" t="n">
        <v>2</v>
      </c>
      <c r="AI319" t="n">
        <v>2</v>
      </c>
      <c r="AJ319" t="n">
        <v>5</v>
      </c>
      <c r="AK319" t="n">
        <v>5</v>
      </c>
      <c r="AL319" t="n">
        <v>2</v>
      </c>
      <c r="AM319" t="n">
        <v>2</v>
      </c>
      <c r="AN319" t="n">
        <v>0</v>
      </c>
      <c r="AO319" t="n">
        <v>0</v>
      </c>
      <c r="AP319" t="inlineStr">
        <is>
          <t>No</t>
        </is>
      </c>
      <c r="AQ319" t="inlineStr">
        <is>
          <t>Yes</t>
        </is>
      </c>
      <c r="AR319">
        <f>HYPERLINK("http://catalog.hathitrust.org/Record/000350820","HathiTrust Record")</f>
        <v/>
      </c>
      <c r="AS319">
        <f>HYPERLINK("https://creighton-primo.hosted.exlibrisgroup.com/primo-explore/search?tab=default_tab&amp;search_scope=EVERYTHING&amp;vid=01CRU&amp;lang=en_US&amp;offset=0&amp;query=any,contains,991000558789702656","Catalog Record")</f>
        <v/>
      </c>
      <c r="AT319">
        <f>HYPERLINK("http://www.worldcat.org/oclc/11574075","WorldCat Record")</f>
        <v/>
      </c>
      <c r="AU319" t="inlineStr">
        <is>
          <t>54687457:eng</t>
        </is>
      </c>
      <c r="AV319" t="inlineStr">
        <is>
          <t>11574075</t>
        </is>
      </c>
      <c r="AW319" t="inlineStr">
        <is>
          <t>991000558789702656</t>
        </is>
      </c>
      <c r="AX319" t="inlineStr">
        <is>
          <t>991000558789702656</t>
        </is>
      </c>
      <c r="AY319" t="inlineStr">
        <is>
          <t>2264870430002656</t>
        </is>
      </c>
      <c r="AZ319" t="inlineStr">
        <is>
          <t>BOOK</t>
        </is>
      </c>
      <c r="BB319" t="inlineStr">
        <is>
          <t>9780835716253</t>
        </is>
      </c>
      <c r="BC319" t="inlineStr">
        <is>
          <t>32285000011311</t>
        </is>
      </c>
      <c r="BD319" t="inlineStr">
        <is>
          <t>893327397</t>
        </is>
      </c>
    </row>
    <row r="320">
      <c r="A320" t="inlineStr">
        <is>
          <t>No</t>
        </is>
      </c>
      <c r="B320" t="inlineStr">
        <is>
          <t>NX600.D3 E74 1984</t>
        </is>
      </c>
      <c r="C320" t="inlineStr">
        <is>
          <t>0                      NX 0600000D  3                  E  74          1984</t>
        </is>
      </c>
      <c r="D320" t="inlineStr">
        <is>
          <t>Dada : performance, poetry, and art / by John D. Erickson.</t>
        </is>
      </c>
      <c r="F320" t="inlineStr">
        <is>
          <t>No</t>
        </is>
      </c>
      <c r="G320" t="inlineStr">
        <is>
          <t>1</t>
        </is>
      </c>
      <c r="H320" t="inlineStr">
        <is>
          <t>No</t>
        </is>
      </c>
      <c r="I320" t="inlineStr">
        <is>
          <t>No</t>
        </is>
      </c>
      <c r="J320" t="inlineStr">
        <is>
          <t>0</t>
        </is>
      </c>
      <c r="K320" t="inlineStr">
        <is>
          <t>Erickson, John D.</t>
        </is>
      </c>
      <c r="L320" t="inlineStr">
        <is>
          <t>Boston : Twayne Publishers, c1984.</t>
        </is>
      </c>
      <c r="M320" t="inlineStr">
        <is>
          <t>1984</t>
        </is>
      </c>
      <c r="O320" t="inlineStr">
        <is>
          <t>eng</t>
        </is>
      </c>
      <c r="P320" t="inlineStr">
        <is>
          <t>mau</t>
        </is>
      </c>
      <c r="Q320" t="inlineStr">
        <is>
          <t>Twayne's world authors series ; TWAS 703</t>
        </is>
      </c>
      <c r="R320" t="inlineStr">
        <is>
          <t xml:space="preserve">NX </t>
        </is>
      </c>
      <c r="S320" t="n">
        <v>10</v>
      </c>
      <c r="T320" t="n">
        <v>10</v>
      </c>
      <c r="U320" t="inlineStr">
        <is>
          <t>2006-09-27</t>
        </is>
      </c>
      <c r="V320" t="inlineStr">
        <is>
          <t>2006-09-27</t>
        </is>
      </c>
      <c r="W320" t="inlineStr">
        <is>
          <t>1993-06-02</t>
        </is>
      </c>
      <c r="X320" t="inlineStr">
        <is>
          <t>1993-06-02</t>
        </is>
      </c>
      <c r="Y320" t="n">
        <v>617</v>
      </c>
      <c r="Z320" t="n">
        <v>511</v>
      </c>
      <c r="AA320" t="n">
        <v>517</v>
      </c>
      <c r="AB320" t="n">
        <v>3</v>
      </c>
      <c r="AC320" t="n">
        <v>3</v>
      </c>
      <c r="AD320" t="n">
        <v>21</v>
      </c>
      <c r="AE320" t="n">
        <v>21</v>
      </c>
      <c r="AF320" t="n">
        <v>8</v>
      </c>
      <c r="AG320" t="n">
        <v>8</v>
      </c>
      <c r="AH320" t="n">
        <v>4</v>
      </c>
      <c r="AI320" t="n">
        <v>4</v>
      </c>
      <c r="AJ320" t="n">
        <v>14</v>
      </c>
      <c r="AK320" t="n">
        <v>14</v>
      </c>
      <c r="AL320" t="n">
        <v>2</v>
      </c>
      <c r="AM320" t="n">
        <v>2</v>
      </c>
      <c r="AN320" t="n">
        <v>0</v>
      </c>
      <c r="AO320" t="n">
        <v>0</v>
      </c>
      <c r="AP320" t="inlineStr">
        <is>
          <t>No</t>
        </is>
      </c>
      <c r="AQ320" t="inlineStr">
        <is>
          <t>Yes</t>
        </is>
      </c>
      <c r="AR320">
        <f>HYPERLINK("http://catalog.hathitrust.org/Record/000280292","HathiTrust Record")</f>
        <v/>
      </c>
      <c r="AS320">
        <f>HYPERLINK("https://creighton-primo.hosted.exlibrisgroup.com/primo-explore/search?tab=default_tab&amp;search_scope=EVERYTHING&amp;vid=01CRU&amp;lang=en_US&amp;offset=0&amp;query=any,contains,991000250579702656","Catalog Record")</f>
        <v/>
      </c>
      <c r="AT320">
        <f>HYPERLINK("http://www.worldcat.org/oclc/9756738","WorldCat Record")</f>
        <v/>
      </c>
      <c r="AU320" t="inlineStr">
        <is>
          <t>3943732891:eng</t>
        </is>
      </c>
      <c r="AV320" t="inlineStr">
        <is>
          <t>9756738</t>
        </is>
      </c>
      <c r="AW320" t="inlineStr">
        <is>
          <t>991000250579702656</t>
        </is>
      </c>
      <c r="AX320" t="inlineStr">
        <is>
          <t>991000250579702656</t>
        </is>
      </c>
      <c r="AY320" t="inlineStr">
        <is>
          <t>2256721350002656</t>
        </is>
      </c>
      <c r="AZ320" t="inlineStr">
        <is>
          <t>BOOK</t>
        </is>
      </c>
      <c r="BB320" t="inlineStr">
        <is>
          <t>9780805765502</t>
        </is>
      </c>
      <c r="BC320" t="inlineStr">
        <is>
          <t>32285001717270</t>
        </is>
      </c>
      <c r="BD320" t="inlineStr">
        <is>
          <t>893224866</t>
        </is>
      </c>
    </row>
    <row r="321">
      <c r="A321" t="inlineStr">
        <is>
          <t>No</t>
        </is>
      </c>
      <c r="B321" t="inlineStr">
        <is>
          <t>NX600.D3 H35 1983</t>
        </is>
      </c>
      <c r="C321" t="inlineStr">
        <is>
          <t>0                      NX 0600000D  3                  H  35          1983</t>
        </is>
      </c>
      <c r="D321" t="inlineStr">
        <is>
          <t>Languages of revolt : Dada and surrealist literature and film / Inez Hedges.</t>
        </is>
      </c>
      <c r="F321" t="inlineStr">
        <is>
          <t>No</t>
        </is>
      </c>
      <c r="G321" t="inlineStr">
        <is>
          <t>1</t>
        </is>
      </c>
      <c r="H321" t="inlineStr">
        <is>
          <t>No</t>
        </is>
      </c>
      <c r="I321" t="inlineStr">
        <is>
          <t>No</t>
        </is>
      </c>
      <c r="J321" t="inlineStr">
        <is>
          <t>0</t>
        </is>
      </c>
      <c r="K321" t="inlineStr">
        <is>
          <t>Hedges, Inez, 1947-</t>
        </is>
      </c>
      <c r="L321" t="inlineStr">
        <is>
          <t>Durham, N.C. : Duke University Press, c1983.</t>
        </is>
      </c>
      <c r="M321" t="inlineStr">
        <is>
          <t>1983</t>
        </is>
      </c>
      <c r="O321" t="inlineStr">
        <is>
          <t>eng</t>
        </is>
      </c>
      <c r="P321" t="inlineStr">
        <is>
          <t>ncu</t>
        </is>
      </c>
      <c r="R321" t="inlineStr">
        <is>
          <t xml:space="preserve">NX </t>
        </is>
      </c>
      <c r="S321" t="n">
        <v>8</v>
      </c>
      <c r="T321" t="n">
        <v>8</v>
      </c>
      <c r="U321" t="inlineStr">
        <is>
          <t>2006-11-12</t>
        </is>
      </c>
      <c r="V321" t="inlineStr">
        <is>
          <t>2006-11-12</t>
        </is>
      </c>
      <c r="W321" t="inlineStr">
        <is>
          <t>1990-03-26</t>
        </is>
      </c>
      <c r="X321" t="inlineStr">
        <is>
          <t>1990-03-26</t>
        </is>
      </c>
      <c r="Y321" t="n">
        <v>425</v>
      </c>
      <c r="Z321" t="n">
        <v>338</v>
      </c>
      <c r="AA321" t="n">
        <v>342</v>
      </c>
      <c r="AB321" t="n">
        <v>4</v>
      </c>
      <c r="AC321" t="n">
        <v>4</v>
      </c>
      <c r="AD321" t="n">
        <v>15</v>
      </c>
      <c r="AE321" t="n">
        <v>15</v>
      </c>
      <c r="AF321" t="n">
        <v>5</v>
      </c>
      <c r="AG321" t="n">
        <v>5</v>
      </c>
      <c r="AH321" t="n">
        <v>6</v>
      </c>
      <c r="AI321" t="n">
        <v>6</v>
      </c>
      <c r="AJ321" t="n">
        <v>6</v>
      </c>
      <c r="AK321" t="n">
        <v>6</v>
      </c>
      <c r="AL321" t="n">
        <v>2</v>
      </c>
      <c r="AM321" t="n">
        <v>2</v>
      </c>
      <c r="AN321" t="n">
        <v>0</v>
      </c>
      <c r="AO321" t="n">
        <v>0</v>
      </c>
      <c r="AP321" t="inlineStr">
        <is>
          <t>No</t>
        </is>
      </c>
      <c r="AQ321" t="inlineStr">
        <is>
          <t>Yes</t>
        </is>
      </c>
      <c r="AR321">
        <f>HYPERLINK("http://catalog.hathitrust.org/Record/000196483","HathiTrust Record")</f>
        <v/>
      </c>
      <c r="AS321">
        <f>HYPERLINK("https://creighton-primo.hosted.exlibrisgroup.com/primo-explore/search?tab=default_tab&amp;search_scope=EVERYTHING&amp;vid=01CRU&amp;lang=en_US&amp;offset=0&amp;query=any,contains,991000066429702656","Catalog Record")</f>
        <v/>
      </c>
      <c r="AT321">
        <f>HYPERLINK("http://www.worldcat.org/oclc/8763854","WorldCat Record")</f>
        <v/>
      </c>
      <c r="AU321" t="inlineStr">
        <is>
          <t>249225607:eng</t>
        </is>
      </c>
      <c r="AV321" t="inlineStr">
        <is>
          <t>8763854</t>
        </is>
      </c>
      <c r="AW321" t="inlineStr">
        <is>
          <t>991000066429702656</t>
        </is>
      </c>
      <c r="AX321" t="inlineStr">
        <is>
          <t>991000066429702656</t>
        </is>
      </c>
      <c r="AY321" t="inlineStr">
        <is>
          <t>2265519550002656</t>
        </is>
      </c>
      <c r="AZ321" t="inlineStr">
        <is>
          <t>BOOK</t>
        </is>
      </c>
      <c r="BB321" t="inlineStr">
        <is>
          <t>9780822304937</t>
        </is>
      </c>
      <c r="BC321" t="inlineStr">
        <is>
          <t>32285000096221</t>
        </is>
      </c>
      <c r="BD321" t="inlineStr">
        <is>
          <t>893514966</t>
        </is>
      </c>
    </row>
    <row r="322">
      <c r="A322" t="inlineStr">
        <is>
          <t>No</t>
        </is>
      </c>
      <c r="B322" t="inlineStr">
        <is>
          <t>NX600.D3 L5</t>
        </is>
      </c>
      <c r="C322" t="inlineStr">
        <is>
          <t>0                      NX 0600000D  3                  L  5</t>
        </is>
      </c>
      <c r="D322" t="inlineStr">
        <is>
          <t>Dadas on art / edited by Lucy R. Lippard.</t>
        </is>
      </c>
      <c r="F322" t="inlineStr">
        <is>
          <t>No</t>
        </is>
      </c>
      <c r="G322" t="inlineStr">
        <is>
          <t>1</t>
        </is>
      </c>
      <c r="H322" t="inlineStr">
        <is>
          <t>No</t>
        </is>
      </c>
      <c r="I322" t="inlineStr">
        <is>
          <t>No</t>
        </is>
      </c>
      <c r="J322" t="inlineStr">
        <is>
          <t>0</t>
        </is>
      </c>
      <c r="K322" t="inlineStr">
        <is>
          <t>Lippard, Lucy R. compiler.</t>
        </is>
      </c>
      <c r="L322" t="inlineStr">
        <is>
          <t>Englewood Cliffs, N.J. : Prentice-Hall, [1971]</t>
        </is>
      </c>
      <c r="M322" t="inlineStr">
        <is>
          <t>1971</t>
        </is>
      </c>
      <c r="O322" t="inlineStr">
        <is>
          <t>eng</t>
        </is>
      </c>
      <c r="P322" t="inlineStr">
        <is>
          <t>nju</t>
        </is>
      </c>
      <c r="Q322" t="inlineStr">
        <is>
          <t>A Spectrum book</t>
        </is>
      </c>
      <c r="R322" t="inlineStr">
        <is>
          <t xml:space="preserve">NX </t>
        </is>
      </c>
      <c r="S322" t="n">
        <v>5</v>
      </c>
      <c r="T322" t="n">
        <v>5</v>
      </c>
      <c r="U322" t="inlineStr">
        <is>
          <t>2003-04-27</t>
        </is>
      </c>
      <c r="V322" t="inlineStr">
        <is>
          <t>2003-04-27</t>
        </is>
      </c>
      <c r="W322" t="inlineStr">
        <is>
          <t>1993-11-30</t>
        </is>
      </c>
      <c r="X322" t="inlineStr">
        <is>
          <t>1993-11-30</t>
        </is>
      </c>
      <c r="Y322" t="n">
        <v>636</v>
      </c>
      <c r="Z322" t="n">
        <v>533</v>
      </c>
      <c r="AA322" t="n">
        <v>580</v>
      </c>
      <c r="AB322" t="n">
        <v>3</v>
      </c>
      <c r="AC322" t="n">
        <v>3</v>
      </c>
      <c r="AD322" t="n">
        <v>13</v>
      </c>
      <c r="AE322" t="n">
        <v>13</v>
      </c>
      <c r="AF322" t="n">
        <v>3</v>
      </c>
      <c r="AG322" t="n">
        <v>3</v>
      </c>
      <c r="AH322" t="n">
        <v>5</v>
      </c>
      <c r="AI322" t="n">
        <v>5</v>
      </c>
      <c r="AJ322" t="n">
        <v>7</v>
      </c>
      <c r="AK322" t="n">
        <v>7</v>
      </c>
      <c r="AL322" t="n">
        <v>1</v>
      </c>
      <c r="AM322" t="n">
        <v>1</v>
      </c>
      <c r="AN322" t="n">
        <v>0</v>
      </c>
      <c r="AO322" t="n">
        <v>0</v>
      </c>
      <c r="AP322" t="inlineStr">
        <is>
          <t>No</t>
        </is>
      </c>
      <c r="AQ322" t="inlineStr">
        <is>
          <t>Yes</t>
        </is>
      </c>
      <c r="AR322">
        <f>HYPERLINK("http://catalog.hathitrust.org/Record/001472960","HathiTrust Record")</f>
        <v/>
      </c>
      <c r="AS322">
        <f>HYPERLINK("https://creighton-primo.hosted.exlibrisgroup.com/primo-explore/search?tab=default_tab&amp;search_scope=EVERYTHING&amp;vid=01CRU&amp;lang=en_US&amp;offset=0&amp;query=any,contains,991000798469702656","Catalog Record")</f>
        <v/>
      </c>
      <c r="AT322">
        <f>HYPERLINK("http://www.worldcat.org/oclc/138044","WorldCat Record")</f>
        <v/>
      </c>
      <c r="AU322" t="inlineStr">
        <is>
          <t>1292446:eng</t>
        </is>
      </c>
      <c r="AV322" t="inlineStr">
        <is>
          <t>138044</t>
        </is>
      </c>
      <c r="AW322" t="inlineStr">
        <is>
          <t>991000798469702656</t>
        </is>
      </c>
      <c r="AX322" t="inlineStr">
        <is>
          <t>991000798469702656</t>
        </is>
      </c>
      <c r="AY322" t="inlineStr">
        <is>
          <t>2262351990002656</t>
        </is>
      </c>
      <c r="AZ322" t="inlineStr">
        <is>
          <t>BOOK</t>
        </is>
      </c>
      <c r="BB322" t="inlineStr">
        <is>
          <t>9780131974593</t>
        </is>
      </c>
      <c r="BC322" t="inlineStr">
        <is>
          <t>32285001689719</t>
        </is>
      </c>
      <c r="BD322" t="inlineStr">
        <is>
          <t>893608293</t>
        </is>
      </c>
    </row>
    <row r="323">
      <c r="A323" t="inlineStr">
        <is>
          <t>No</t>
        </is>
      </c>
      <c r="B323" t="inlineStr">
        <is>
          <t>NX600.D3 W37 1980</t>
        </is>
      </c>
      <c r="C323" t="inlineStr">
        <is>
          <t>0                      NX 0600000D  3                  W  37          1980</t>
        </is>
      </c>
      <c r="D323" t="inlineStr">
        <is>
          <t>Chance, a perspective on Dada / by Harriett Ann Watts.</t>
        </is>
      </c>
      <c r="F323" t="inlineStr">
        <is>
          <t>No</t>
        </is>
      </c>
      <c r="G323" t="inlineStr">
        <is>
          <t>1</t>
        </is>
      </c>
      <c r="H323" t="inlineStr">
        <is>
          <t>No</t>
        </is>
      </c>
      <c r="I323" t="inlineStr">
        <is>
          <t>No</t>
        </is>
      </c>
      <c r="J323" t="inlineStr">
        <is>
          <t>0</t>
        </is>
      </c>
      <c r="K323" t="inlineStr">
        <is>
          <t>Watts, Harriett.</t>
        </is>
      </c>
      <c r="L323" t="inlineStr">
        <is>
          <t>Ann Arbor, Mich. : UMI Research Press, c1980.</t>
        </is>
      </c>
      <c r="M323" t="inlineStr">
        <is>
          <t>1980</t>
        </is>
      </c>
      <c r="O323" t="inlineStr">
        <is>
          <t>eng</t>
        </is>
      </c>
      <c r="P323" t="inlineStr">
        <is>
          <t>miu</t>
        </is>
      </c>
      <c r="Q323" t="inlineStr">
        <is>
          <t>University Studies in the fine arts : The Avant-garde ; no. 9</t>
        </is>
      </c>
      <c r="R323" t="inlineStr">
        <is>
          <t xml:space="preserve">NX </t>
        </is>
      </c>
      <c r="S323" t="n">
        <v>4</v>
      </c>
      <c r="T323" t="n">
        <v>4</v>
      </c>
      <c r="U323" t="inlineStr">
        <is>
          <t>2003-04-27</t>
        </is>
      </c>
      <c r="V323" t="inlineStr">
        <is>
          <t>2003-04-27</t>
        </is>
      </c>
      <c r="W323" t="inlineStr">
        <is>
          <t>1993-06-02</t>
        </is>
      </c>
      <c r="X323" t="inlineStr">
        <is>
          <t>1993-06-02</t>
        </is>
      </c>
      <c r="Y323" t="n">
        <v>302</v>
      </c>
      <c r="Z323" t="n">
        <v>214</v>
      </c>
      <c r="AA323" t="n">
        <v>307</v>
      </c>
      <c r="AB323" t="n">
        <v>2</v>
      </c>
      <c r="AC323" t="n">
        <v>2</v>
      </c>
      <c r="AD323" t="n">
        <v>6</v>
      </c>
      <c r="AE323" t="n">
        <v>7</v>
      </c>
      <c r="AF323" t="n">
        <v>2</v>
      </c>
      <c r="AG323" t="n">
        <v>3</v>
      </c>
      <c r="AH323" t="n">
        <v>1</v>
      </c>
      <c r="AI323" t="n">
        <v>1</v>
      </c>
      <c r="AJ323" t="n">
        <v>4</v>
      </c>
      <c r="AK323" t="n">
        <v>4</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HYPERLINK("https://creighton-primo.hosted.exlibrisgroup.com/primo-explore/search?tab=default_tab&amp;search_scope=EVERYTHING&amp;vid=01CRU&amp;lang=en_US&amp;offset=0&amp;query=any,contains,991005057389702656","Catalog Record")</f>
        <v/>
      </c>
      <c r="AT323">
        <f>HYPERLINK("http://www.worldcat.org/oclc/6909046","WorldCat Record")</f>
        <v/>
      </c>
      <c r="AU323" t="inlineStr">
        <is>
          <t>17557423:eng</t>
        </is>
      </c>
      <c r="AV323" t="inlineStr">
        <is>
          <t>6909046</t>
        </is>
      </c>
      <c r="AW323" t="inlineStr">
        <is>
          <t>991005057389702656</t>
        </is>
      </c>
      <c r="AX323" t="inlineStr">
        <is>
          <t>991005057389702656</t>
        </is>
      </c>
      <c r="AY323" t="inlineStr">
        <is>
          <t>2267786540002656</t>
        </is>
      </c>
      <c r="AZ323" t="inlineStr">
        <is>
          <t>BOOK</t>
        </is>
      </c>
      <c r="BC323" t="inlineStr">
        <is>
          <t>32285001717288</t>
        </is>
      </c>
      <c r="BD323" t="inlineStr">
        <is>
          <t>893412249</t>
        </is>
      </c>
    </row>
    <row r="324">
      <c r="A324" t="inlineStr">
        <is>
          <t>No</t>
        </is>
      </c>
      <c r="B324" t="inlineStr">
        <is>
          <t>NX600.F8 P46 1986</t>
        </is>
      </c>
      <c r="C324" t="inlineStr">
        <is>
          <t>0                      NX 0600000F  8                  P  46          1986</t>
        </is>
      </c>
      <c r="D324" t="inlineStr">
        <is>
          <t>The futurist moment : avant-garde, avant guerre, and the language of rupture / Marjorie Perloff.</t>
        </is>
      </c>
      <c r="F324" t="inlineStr">
        <is>
          <t>No</t>
        </is>
      </c>
      <c r="G324" t="inlineStr">
        <is>
          <t>1</t>
        </is>
      </c>
      <c r="H324" t="inlineStr">
        <is>
          <t>No</t>
        </is>
      </c>
      <c r="I324" t="inlineStr">
        <is>
          <t>No</t>
        </is>
      </c>
      <c r="J324" t="inlineStr">
        <is>
          <t>0</t>
        </is>
      </c>
      <c r="K324" t="inlineStr">
        <is>
          <t>Perloff, Marjorie.</t>
        </is>
      </c>
      <c r="L324" t="inlineStr">
        <is>
          <t>Chicago : University of Chicago Press, 1986.</t>
        </is>
      </c>
      <c r="M324" t="inlineStr">
        <is>
          <t>1986</t>
        </is>
      </c>
      <c r="O324" t="inlineStr">
        <is>
          <t>eng</t>
        </is>
      </c>
      <c r="P324" t="inlineStr">
        <is>
          <t>ilu</t>
        </is>
      </c>
      <c r="R324" t="inlineStr">
        <is>
          <t xml:space="preserve">NX </t>
        </is>
      </c>
      <c r="S324" t="n">
        <v>5</v>
      </c>
      <c r="T324" t="n">
        <v>5</v>
      </c>
      <c r="U324" t="inlineStr">
        <is>
          <t>2006-09-13</t>
        </is>
      </c>
      <c r="V324" t="inlineStr">
        <is>
          <t>2006-09-13</t>
        </is>
      </c>
      <c r="W324" t="inlineStr">
        <is>
          <t>1990-05-17</t>
        </is>
      </c>
      <c r="X324" t="inlineStr">
        <is>
          <t>1990-05-17</t>
        </is>
      </c>
      <c r="Y324" t="n">
        <v>703</v>
      </c>
      <c r="Z324" t="n">
        <v>515</v>
      </c>
      <c r="AA324" t="n">
        <v>593</v>
      </c>
      <c r="AB324" t="n">
        <v>3</v>
      </c>
      <c r="AC324" t="n">
        <v>3</v>
      </c>
      <c r="AD324" t="n">
        <v>28</v>
      </c>
      <c r="AE324" t="n">
        <v>31</v>
      </c>
      <c r="AF324" t="n">
        <v>11</v>
      </c>
      <c r="AG324" t="n">
        <v>12</v>
      </c>
      <c r="AH324" t="n">
        <v>9</v>
      </c>
      <c r="AI324" t="n">
        <v>9</v>
      </c>
      <c r="AJ324" t="n">
        <v>16</v>
      </c>
      <c r="AK324" t="n">
        <v>19</v>
      </c>
      <c r="AL324" t="n">
        <v>2</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HYPERLINK("https://creighton-primo.hosted.exlibrisgroup.com/primo-explore/search?tab=default_tab&amp;search_scope=EVERYTHING&amp;vid=01CRU&amp;lang=en_US&amp;offset=0&amp;query=any,contains,991000799309702656","Catalog Record")</f>
        <v/>
      </c>
      <c r="AT324">
        <f>HYPERLINK("http://www.worldcat.org/oclc/13217823","WorldCat Record")</f>
        <v/>
      </c>
      <c r="AU324" t="inlineStr">
        <is>
          <t>666930:eng</t>
        </is>
      </c>
      <c r="AV324" t="inlineStr">
        <is>
          <t>13217823</t>
        </is>
      </c>
      <c r="AW324" t="inlineStr">
        <is>
          <t>991000799309702656</t>
        </is>
      </c>
      <c r="AX324" t="inlineStr">
        <is>
          <t>991000799309702656</t>
        </is>
      </c>
      <c r="AY324" t="inlineStr">
        <is>
          <t>2259987690002656</t>
        </is>
      </c>
      <c r="AZ324" t="inlineStr">
        <is>
          <t>BOOK</t>
        </is>
      </c>
      <c r="BB324" t="inlineStr">
        <is>
          <t>9780226657318</t>
        </is>
      </c>
      <c r="BC324" t="inlineStr">
        <is>
          <t>32285000152842</t>
        </is>
      </c>
      <c r="BD324" t="inlineStr">
        <is>
          <t>893333783</t>
        </is>
      </c>
    </row>
    <row r="325">
      <c r="A325" t="inlineStr">
        <is>
          <t>No</t>
        </is>
      </c>
      <c r="B325" t="inlineStr">
        <is>
          <t>NX600.R6 H66 1979</t>
        </is>
      </c>
      <c r="C325" t="inlineStr">
        <is>
          <t>0                      NX 0600000R  6                  H  66          1979</t>
        </is>
      </c>
      <c r="D325" t="inlineStr">
        <is>
          <t>Romanticism / by Hugh Honour.</t>
        </is>
      </c>
      <c r="F325" t="inlineStr">
        <is>
          <t>No</t>
        </is>
      </c>
      <c r="G325" t="inlineStr">
        <is>
          <t>1</t>
        </is>
      </c>
      <c r="H325" t="inlineStr">
        <is>
          <t>No</t>
        </is>
      </c>
      <c r="I325" t="inlineStr">
        <is>
          <t>No</t>
        </is>
      </c>
      <c r="J325" t="inlineStr">
        <is>
          <t>0</t>
        </is>
      </c>
      <c r="K325" t="inlineStr">
        <is>
          <t>Honour, Hugh.</t>
        </is>
      </c>
      <c r="L325" t="inlineStr">
        <is>
          <t>New York : Harper &amp; Row, c1979.</t>
        </is>
      </c>
      <c r="M325" t="inlineStr">
        <is>
          <t>1979</t>
        </is>
      </c>
      <c r="N325" t="inlineStr">
        <is>
          <t>1st U.S. ed.</t>
        </is>
      </c>
      <c r="O325" t="inlineStr">
        <is>
          <t>eng</t>
        </is>
      </c>
      <c r="P325" t="inlineStr">
        <is>
          <t>nyu</t>
        </is>
      </c>
      <c r="Q325" t="inlineStr">
        <is>
          <t>Icon editions</t>
        </is>
      </c>
      <c r="R325" t="inlineStr">
        <is>
          <t xml:space="preserve">NX </t>
        </is>
      </c>
      <c r="S325" t="n">
        <v>8</v>
      </c>
      <c r="T325" t="n">
        <v>8</v>
      </c>
      <c r="U325" t="inlineStr">
        <is>
          <t>2007-04-20</t>
        </is>
      </c>
      <c r="V325" t="inlineStr">
        <is>
          <t>2007-04-20</t>
        </is>
      </c>
      <c r="W325" t="inlineStr">
        <is>
          <t>1992-03-01</t>
        </is>
      </c>
      <c r="X325" t="inlineStr">
        <is>
          <t>1992-03-01</t>
        </is>
      </c>
      <c r="Y325" t="n">
        <v>1123</v>
      </c>
      <c r="Z325" t="n">
        <v>1024</v>
      </c>
      <c r="AA325" t="n">
        <v>1424</v>
      </c>
      <c r="AB325" t="n">
        <v>6</v>
      </c>
      <c r="AC325" t="n">
        <v>9</v>
      </c>
      <c r="AD325" t="n">
        <v>40</v>
      </c>
      <c r="AE325" t="n">
        <v>45</v>
      </c>
      <c r="AF325" t="n">
        <v>19</v>
      </c>
      <c r="AG325" t="n">
        <v>20</v>
      </c>
      <c r="AH325" t="n">
        <v>7</v>
      </c>
      <c r="AI325" t="n">
        <v>8</v>
      </c>
      <c r="AJ325" t="n">
        <v>20</v>
      </c>
      <c r="AK325" t="n">
        <v>21</v>
      </c>
      <c r="AL325" t="n">
        <v>4</v>
      </c>
      <c r="AM325" t="n">
        <v>7</v>
      </c>
      <c r="AN325" t="n">
        <v>0</v>
      </c>
      <c r="AO325" t="n">
        <v>0</v>
      </c>
      <c r="AP325" t="inlineStr">
        <is>
          <t>No</t>
        </is>
      </c>
      <c r="AQ325" t="inlineStr">
        <is>
          <t>Yes</t>
        </is>
      </c>
      <c r="AR325">
        <f>HYPERLINK("http://catalog.hathitrust.org/Record/000027067","HathiTrust Record")</f>
        <v/>
      </c>
      <c r="AS325">
        <f>HYPERLINK("https://creighton-primo.hosted.exlibrisgroup.com/primo-explore/search?tab=default_tab&amp;search_scope=EVERYTHING&amp;vid=01CRU&amp;lang=en_US&amp;offset=0&amp;query=any,contains,991004800039702656","Catalog Record")</f>
        <v/>
      </c>
      <c r="AT325">
        <f>HYPERLINK("http://www.worldcat.org/oclc/5208691","WorldCat Record")</f>
        <v/>
      </c>
      <c r="AU325" t="inlineStr">
        <is>
          <t>404235:eng</t>
        </is>
      </c>
      <c r="AV325" t="inlineStr">
        <is>
          <t>5208691</t>
        </is>
      </c>
      <c r="AW325" t="inlineStr">
        <is>
          <t>991004800039702656</t>
        </is>
      </c>
      <c r="AX325" t="inlineStr">
        <is>
          <t>991004800039702656</t>
        </is>
      </c>
      <c r="AY325" t="inlineStr">
        <is>
          <t>2265142410002656</t>
        </is>
      </c>
      <c r="AZ325" t="inlineStr">
        <is>
          <t>BOOK</t>
        </is>
      </c>
      <c r="BB325" t="inlineStr">
        <is>
          <t>9780064300896</t>
        </is>
      </c>
      <c r="BC325" t="inlineStr">
        <is>
          <t>32285000979962</t>
        </is>
      </c>
      <c r="BD325" t="inlineStr">
        <is>
          <t>893338138</t>
        </is>
      </c>
    </row>
    <row r="326">
      <c r="A326" t="inlineStr">
        <is>
          <t>No</t>
        </is>
      </c>
      <c r="B326" t="inlineStr">
        <is>
          <t>NX600.S9 H37</t>
        </is>
      </c>
      <c r="C326" t="inlineStr">
        <is>
          <t>0                      NX 0600000S  9                  H  37</t>
        </is>
      </c>
      <c r="D326" t="inlineStr">
        <is>
          <t>The real world of the surrealists / Malcolm Haslam ; introd. by Barbara Rose. --</t>
        </is>
      </c>
      <c r="F326" t="inlineStr">
        <is>
          <t>No</t>
        </is>
      </c>
      <c r="G326" t="inlineStr">
        <is>
          <t>1</t>
        </is>
      </c>
      <c r="H326" t="inlineStr">
        <is>
          <t>No</t>
        </is>
      </c>
      <c r="I326" t="inlineStr">
        <is>
          <t>No</t>
        </is>
      </c>
      <c r="J326" t="inlineStr">
        <is>
          <t>0</t>
        </is>
      </c>
      <c r="K326" t="inlineStr">
        <is>
          <t>Haslam, Malcolm.</t>
        </is>
      </c>
      <c r="L326" t="inlineStr">
        <is>
          <t>New York : Rizzoli, 1978.</t>
        </is>
      </c>
      <c r="M326" t="inlineStr">
        <is>
          <t>1978</t>
        </is>
      </c>
      <c r="O326" t="inlineStr">
        <is>
          <t>eng</t>
        </is>
      </c>
      <c r="P326" t="inlineStr">
        <is>
          <t xml:space="preserve">xx </t>
        </is>
      </c>
      <c r="R326" t="inlineStr">
        <is>
          <t xml:space="preserve">NX </t>
        </is>
      </c>
      <c r="S326" t="n">
        <v>6</v>
      </c>
      <c r="T326" t="n">
        <v>6</v>
      </c>
      <c r="U326" t="inlineStr">
        <is>
          <t>1996-02-08</t>
        </is>
      </c>
      <c r="V326" t="inlineStr">
        <is>
          <t>1996-02-08</t>
        </is>
      </c>
      <c r="W326" t="inlineStr">
        <is>
          <t>1993-06-02</t>
        </is>
      </c>
      <c r="X326" t="inlineStr">
        <is>
          <t>1993-06-02</t>
        </is>
      </c>
      <c r="Y326" t="n">
        <v>645</v>
      </c>
      <c r="Z326" t="n">
        <v>598</v>
      </c>
      <c r="AA326" t="n">
        <v>730</v>
      </c>
      <c r="AB326" t="n">
        <v>4</v>
      </c>
      <c r="AC326" t="n">
        <v>5</v>
      </c>
      <c r="AD326" t="n">
        <v>14</v>
      </c>
      <c r="AE326" t="n">
        <v>18</v>
      </c>
      <c r="AF326" t="n">
        <v>5</v>
      </c>
      <c r="AG326" t="n">
        <v>6</v>
      </c>
      <c r="AH326" t="n">
        <v>3</v>
      </c>
      <c r="AI326" t="n">
        <v>5</v>
      </c>
      <c r="AJ326" t="n">
        <v>7</v>
      </c>
      <c r="AK326" t="n">
        <v>8</v>
      </c>
      <c r="AL326" t="n">
        <v>2</v>
      </c>
      <c r="AM326" t="n">
        <v>3</v>
      </c>
      <c r="AN326" t="n">
        <v>0</v>
      </c>
      <c r="AO326" t="n">
        <v>0</v>
      </c>
      <c r="AP326" t="inlineStr">
        <is>
          <t>No</t>
        </is>
      </c>
      <c r="AQ326" t="inlineStr">
        <is>
          <t>Yes</t>
        </is>
      </c>
      <c r="AR326">
        <f>HYPERLINK("http://catalog.hathitrust.org/Record/000174215","HathiTrust Record")</f>
        <v/>
      </c>
      <c r="AS326">
        <f>HYPERLINK("https://creighton-primo.hosted.exlibrisgroup.com/primo-explore/search?tab=default_tab&amp;search_scope=EVERYTHING&amp;vid=01CRU&amp;lang=en_US&amp;offset=0&amp;query=any,contains,991004522069702656","Catalog Record")</f>
        <v/>
      </c>
      <c r="AT326">
        <f>HYPERLINK("http://www.worldcat.org/oclc/3915195","WorldCat Record")</f>
        <v/>
      </c>
      <c r="AU326" t="inlineStr">
        <is>
          <t>13114770:eng</t>
        </is>
      </c>
      <c r="AV326" t="inlineStr">
        <is>
          <t>3915195</t>
        </is>
      </c>
      <c r="AW326" t="inlineStr">
        <is>
          <t>991004522069702656</t>
        </is>
      </c>
      <c r="AX326" t="inlineStr">
        <is>
          <t>991004522069702656</t>
        </is>
      </c>
      <c r="AY326" t="inlineStr">
        <is>
          <t>2258725430002656</t>
        </is>
      </c>
      <c r="AZ326" t="inlineStr">
        <is>
          <t>BOOK</t>
        </is>
      </c>
      <c r="BB326" t="inlineStr">
        <is>
          <t>9780847801510</t>
        </is>
      </c>
      <c r="BC326" t="inlineStr">
        <is>
          <t>32285001717312</t>
        </is>
      </c>
      <c r="BD326" t="inlineStr">
        <is>
          <t>893500686</t>
        </is>
      </c>
    </row>
    <row r="327">
      <c r="A327" t="inlineStr">
        <is>
          <t>No</t>
        </is>
      </c>
      <c r="B327" t="inlineStr">
        <is>
          <t>NX600.S9 H46</t>
        </is>
      </c>
      <c r="C327" t="inlineStr">
        <is>
          <t>0                      NX 0600000S  9                  H  46</t>
        </is>
      </c>
      <c r="D327" t="inlineStr">
        <is>
          <t>The spirit of surrealism / Edward B. Henning.</t>
        </is>
      </c>
      <c r="F327" t="inlineStr">
        <is>
          <t>No</t>
        </is>
      </c>
      <c r="G327" t="inlineStr">
        <is>
          <t>1</t>
        </is>
      </c>
      <c r="H327" t="inlineStr">
        <is>
          <t>No</t>
        </is>
      </c>
      <c r="I327" t="inlineStr">
        <is>
          <t>No</t>
        </is>
      </c>
      <c r="J327" t="inlineStr">
        <is>
          <t>0</t>
        </is>
      </c>
      <c r="K327" t="inlineStr">
        <is>
          <t>Henning, Edward B.</t>
        </is>
      </c>
      <c r="L327" t="inlineStr">
        <is>
          <t>Cleveland : Cleveland Museum of Art, c1979.</t>
        </is>
      </c>
      <c r="M327" t="inlineStr">
        <is>
          <t>1979</t>
        </is>
      </c>
      <c r="O327" t="inlineStr">
        <is>
          <t>eng</t>
        </is>
      </c>
      <c r="P327" t="inlineStr">
        <is>
          <t>ohu</t>
        </is>
      </c>
      <c r="R327" t="inlineStr">
        <is>
          <t xml:space="preserve">NX </t>
        </is>
      </c>
      <c r="S327" t="n">
        <v>10</v>
      </c>
      <c r="T327" t="n">
        <v>10</v>
      </c>
      <c r="U327" t="inlineStr">
        <is>
          <t>2001-12-05</t>
        </is>
      </c>
      <c r="V327" t="inlineStr">
        <is>
          <t>2001-12-05</t>
        </is>
      </c>
      <c r="W327" t="inlineStr">
        <is>
          <t>1993-06-02</t>
        </is>
      </c>
      <c r="X327" t="inlineStr">
        <is>
          <t>1993-06-02</t>
        </is>
      </c>
      <c r="Y327" t="n">
        <v>658</v>
      </c>
      <c r="Z327" t="n">
        <v>532</v>
      </c>
      <c r="AA327" t="n">
        <v>535</v>
      </c>
      <c r="AB327" t="n">
        <v>5</v>
      </c>
      <c r="AC327" t="n">
        <v>5</v>
      </c>
      <c r="AD327" t="n">
        <v>19</v>
      </c>
      <c r="AE327" t="n">
        <v>19</v>
      </c>
      <c r="AF327" t="n">
        <v>4</v>
      </c>
      <c r="AG327" t="n">
        <v>4</v>
      </c>
      <c r="AH327" t="n">
        <v>5</v>
      </c>
      <c r="AI327" t="n">
        <v>5</v>
      </c>
      <c r="AJ327" t="n">
        <v>11</v>
      </c>
      <c r="AK327" t="n">
        <v>11</v>
      </c>
      <c r="AL327" t="n">
        <v>3</v>
      </c>
      <c r="AM327" t="n">
        <v>3</v>
      </c>
      <c r="AN327" t="n">
        <v>0</v>
      </c>
      <c r="AO327" t="n">
        <v>0</v>
      </c>
      <c r="AP327" t="inlineStr">
        <is>
          <t>No</t>
        </is>
      </c>
      <c r="AQ327" t="inlineStr">
        <is>
          <t>Yes</t>
        </is>
      </c>
      <c r="AR327">
        <f>HYPERLINK("http://catalog.hathitrust.org/Record/000763509","HathiTrust Record")</f>
        <v/>
      </c>
      <c r="AS327">
        <f>HYPERLINK("https://creighton-primo.hosted.exlibrisgroup.com/primo-explore/search?tab=default_tab&amp;search_scope=EVERYTHING&amp;vid=01CRU&amp;lang=en_US&amp;offset=0&amp;query=any,contains,991004853889702656","Catalog Record")</f>
        <v/>
      </c>
      <c r="AT327">
        <f>HYPERLINK("http://www.worldcat.org/oclc/5655402","WorldCat Record")</f>
        <v/>
      </c>
      <c r="AU327" t="inlineStr">
        <is>
          <t>8423084:eng</t>
        </is>
      </c>
      <c r="AV327" t="inlineStr">
        <is>
          <t>5655402</t>
        </is>
      </c>
      <c r="AW327" t="inlineStr">
        <is>
          <t>991004853889702656</t>
        </is>
      </c>
      <c r="AX327" t="inlineStr">
        <is>
          <t>991004853889702656</t>
        </is>
      </c>
      <c r="AY327" t="inlineStr">
        <is>
          <t>2271343860002656</t>
        </is>
      </c>
      <c r="AZ327" t="inlineStr">
        <is>
          <t>BOOK</t>
        </is>
      </c>
      <c r="BB327" t="inlineStr">
        <is>
          <t>9780910386524</t>
        </is>
      </c>
      <c r="BC327" t="inlineStr">
        <is>
          <t>32285001717320</t>
        </is>
      </c>
      <c r="BD327" t="inlineStr">
        <is>
          <t>893782728</t>
        </is>
      </c>
    </row>
    <row r="328">
      <c r="A328" t="inlineStr">
        <is>
          <t>No</t>
        </is>
      </c>
      <c r="B328" t="inlineStr">
        <is>
          <t>NX600.S9 L5</t>
        </is>
      </c>
      <c r="C328" t="inlineStr">
        <is>
          <t>0                      NX 0600000S  9                  L  5</t>
        </is>
      </c>
      <c r="D328" t="inlineStr">
        <is>
          <t>Surrealists on art / edited by Lucy R. Lippard.</t>
        </is>
      </c>
      <c r="F328" t="inlineStr">
        <is>
          <t>No</t>
        </is>
      </c>
      <c r="G328" t="inlineStr">
        <is>
          <t>1</t>
        </is>
      </c>
      <c r="H328" t="inlineStr">
        <is>
          <t>No</t>
        </is>
      </c>
      <c r="I328" t="inlineStr">
        <is>
          <t>No</t>
        </is>
      </c>
      <c r="J328" t="inlineStr">
        <is>
          <t>0</t>
        </is>
      </c>
      <c r="K328" t="inlineStr">
        <is>
          <t>Lippard, Lucy R. compiler.</t>
        </is>
      </c>
      <c r="L328" t="inlineStr">
        <is>
          <t>Englewood Cliffs, N.J. : Prentice-Hall, [1970]</t>
        </is>
      </c>
      <c r="M328" t="inlineStr">
        <is>
          <t>1970</t>
        </is>
      </c>
      <c r="O328" t="inlineStr">
        <is>
          <t>eng</t>
        </is>
      </c>
      <c r="P328" t="inlineStr">
        <is>
          <t>nju</t>
        </is>
      </c>
      <c r="Q328" t="inlineStr">
        <is>
          <t>A Spectrum book</t>
        </is>
      </c>
      <c r="R328" t="inlineStr">
        <is>
          <t xml:space="preserve">NX </t>
        </is>
      </c>
      <c r="S328" t="n">
        <v>7</v>
      </c>
      <c r="T328" t="n">
        <v>7</v>
      </c>
      <c r="U328" t="inlineStr">
        <is>
          <t>2005-12-07</t>
        </is>
      </c>
      <c r="V328" t="inlineStr">
        <is>
          <t>2005-12-07</t>
        </is>
      </c>
      <c r="W328" t="inlineStr">
        <is>
          <t>1992-12-17</t>
        </is>
      </c>
      <c r="X328" t="inlineStr">
        <is>
          <t>1992-12-17</t>
        </is>
      </c>
      <c r="Y328" t="n">
        <v>742</v>
      </c>
      <c r="Z328" t="n">
        <v>627</v>
      </c>
      <c r="AA328" t="n">
        <v>628</v>
      </c>
      <c r="AB328" t="n">
        <v>4</v>
      </c>
      <c r="AC328" t="n">
        <v>4</v>
      </c>
      <c r="AD328" t="n">
        <v>18</v>
      </c>
      <c r="AE328" t="n">
        <v>18</v>
      </c>
      <c r="AF328" t="n">
        <v>5</v>
      </c>
      <c r="AG328" t="n">
        <v>5</v>
      </c>
      <c r="AH328" t="n">
        <v>5</v>
      </c>
      <c r="AI328" t="n">
        <v>5</v>
      </c>
      <c r="AJ328" t="n">
        <v>11</v>
      </c>
      <c r="AK328" t="n">
        <v>11</v>
      </c>
      <c r="AL328" t="n">
        <v>2</v>
      </c>
      <c r="AM328" t="n">
        <v>2</v>
      </c>
      <c r="AN328" t="n">
        <v>0</v>
      </c>
      <c r="AO328" t="n">
        <v>0</v>
      </c>
      <c r="AP328" t="inlineStr">
        <is>
          <t>No</t>
        </is>
      </c>
      <c r="AQ328" t="inlineStr">
        <is>
          <t>Yes</t>
        </is>
      </c>
      <c r="AR328">
        <f>HYPERLINK("http://catalog.hathitrust.org/Record/001472991","HathiTrust Record")</f>
        <v/>
      </c>
      <c r="AS328">
        <f>HYPERLINK("https://creighton-primo.hosted.exlibrisgroup.com/primo-explore/search?tab=default_tab&amp;search_scope=EVERYTHING&amp;vid=01CRU&amp;lang=en_US&amp;offset=0&amp;query=any,contains,991000599939702656","Catalog Record")</f>
        <v/>
      </c>
      <c r="AT328">
        <f>HYPERLINK("http://www.worldcat.org/oclc/98274","WorldCat Record")</f>
        <v/>
      </c>
      <c r="AU328" t="inlineStr">
        <is>
          <t>1328521:eng</t>
        </is>
      </c>
      <c r="AV328" t="inlineStr">
        <is>
          <t>98274</t>
        </is>
      </c>
      <c r="AW328" t="inlineStr">
        <is>
          <t>991000599939702656</t>
        </is>
      </c>
      <c r="AX328" t="inlineStr">
        <is>
          <t>991000599939702656</t>
        </is>
      </c>
      <c r="AY328" t="inlineStr">
        <is>
          <t>2272186880002656</t>
        </is>
      </c>
      <c r="AZ328" t="inlineStr">
        <is>
          <t>BOOK</t>
        </is>
      </c>
      <c r="BB328" t="inlineStr">
        <is>
          <t>9780138780906</t>
        </is>
      </c>
      <c r="BC328" t="inlineStr">
        <is>
          <t>32285001442879</t>
        </is>
      </c>
      <c r="BD328" t="inlineStr">
        <is>
          <t>893790671</t>
        </is>
      </c>
    </row>
    <row r="329">
      <c r="A329" t="inlineStr">
        <is>
          <t>No</t>
        </is>
      </c>
      <c r="B329" t="inlineStr">
        <is>
          <t>NX600.S9 M37 1977</t>
        </is>
      </c>
      <c r="C329" t="inlineStr">
        <is>
          <t>0                      NX 0600000S  9                  M  37          1977</t>
        </is>
      </c>
      <c r="D329" t="inlineStr">
        <is>
          <t>The imagery of surrealism / J. H. Matthews.</t>
        </is>
      </c>
      <c r="F329" t="inlineStr">
        <is>
          <t>No</t>
        </is>
      </c>
      <c r="G329" t="inlineStr">
        <is>
          <t>1</t>
        </is>
      </c>
      <c r="H329" t="inlineStr">
        <is>
          <t>No</t>
        </is>
      </c>
      <c r="I329" t="inlineStr">
        <is>
          <t>No</t>
        </is>
      </c>
      <c r="J329" t="inlineStr">
        <is>
          <t>0</t>
        </is>
      </c>
      <c r="K329" t="inlineStr">
        <is>
          <t>Matthews, J. H.</t>
        </is>
      </c>
      <c r="L329" t="inlineStr">
        <is>
          <t>Syracuse, N.Y. : Syracuse University Press, 1977.</t>
        </is>
      </c>
      <c r="M329" t="inlineStr">
        <is>
          <t>1977</t>
        </is>
      </c>
      <c r="N329" t="inlineStr">
        <is>
          <t>1st ed.</t>
        </is>
      </c>
      <c r="O329" t="inlineStr">
        <is>
          <t>eng</t>
        </is>
      </c>
      <c r="P329" t="inlineStr">
        <is>
          <t>nyu</t>
        </is>
      </c>
      <c r="R329" t="inlineStr">
        <is>
          <t xml:space="preserve">NX </t>
        </is>
      </c>
      <c r="S329" t="n">
        <v>9</v>
      </c>
      <c r="T329" t="n">
        <v>9</v>
      </c>
      <c r="U329" t="inlineStr">
        <is>
          <t>2001-12-05</t>
        </is>
      </c>
      <c r="V329" t="inlineStr">
        <is>
          <t>2001-12-05</t>
        </is>
      </c>
      <c r="W329" t="inlineStr">
        <is>
          <t>1992-12-15</t>
        </is>
      </c>
      <c r="X329" t="inlineStr">
        <is>
          <t>1992-12-15</t>
        </is>
      </c>
      <c r="Y329" t="n">
        <v>647</v>
      </c>
      <c r="Z329" t="n">
        <v>519</v>
      </c>
      <c r="AA329" t="n">
        <v>522</v>
      </c>
      <c r="AB329" t="n">
        <v>4</v>
      </c>
      <c r="AC329" t="n">
        <v>4</v>
      </c>
      <c r="AD329" t="n">
        <v>25</v>
      </c>
      <c r="AE329" t="n">
        <v>25</v>
      </c>
      <c r="AF329" t="n">
        <v>12</v>
      </c>
      <c r="AG329" t="n">
        <v>12</v>
      </c>
      <c r="AH329" t="n">
        <v>7</v>
      </c>
      <c r="AI329" t="n">
        <v>7</v>
      </c>
      <c r="AJ329" t="n">
        <v>13</v>
      </c>
      <c r="AK329" t="n">
        <v>13</v>
      </c>
      <c r="AL329" t="n">
        <v>3</v>
      </c>
      <c r="AM329" t="n">
        <v>3</v>
      </c>
      <c r="AN329" t="n">
        <v>0</v>
      </c>
      <c r="AO329" t="n">
        <v>0</v>
      </c>
      <c r="AP329" t="inlineStr">
        <is>
          <t>No</t>
        </is>
      </c>
      <c r="AQ329" t="inlineStr">
        <is>
          <t>Yes</t>
        </is>
      </c>
      <c r="AR329">
        <f>HYPERLINK("http://catalog.hathitrust.org/Record/000250366","HathiTrust Record")</f>
        <v/>
      </c>
      <c r="AS329">
        <f>HYPERLINK("https://creighton-primo.hosted.exlibrisgroup.com/primo-explore/search?tab=default_tab&amp;search_scope=EVERYTHING&amp;vid=01CRU&amp;lang=en_US&amp;offset=0&amp;query=any,contains,991004306679702656","Catalog Record")</f>
        <v/>
      </c>
      <c r="AT329">
        <f>HYPERLINK("http://www.worldcat.org/oclc/2984182","WorldCat Record")</f>
        <v/>
      </c>
      <c r="AU329" t="inlineStr">
        <is>
          <t>477663:eng</t>
        </is>
      </c>
      <c r="AV329" t="inlineStr">
        <is>
          <t>2984182</t>
        </is>
      </c>
      <c r="AW329" t="inlineStr">
        <is>
          <t>991004306679702656</t>
        </is>
      </c>
      <c r="AX329" t="inlineStr">
        <is>
          <t>991004306679702656</t>
        </is>
      </c>
      <c r="AY329" t="inlineStr">
        <is>
          <t>2258431860002656</t>
        </is>
      </c>
      <c r="AZ329" t="inlineStr">
        <is>
          <t>BOOK</t>
        </is>
      </c>
      <c r="BB329" t="inlineStr">
        <is>
          <t>9780815621836</t>
        </is>
      </c>
      <c r="BC329" t="inlineStr">
        <is>
          <t>32285001467033</t>
        </is>
      </c>
      <c r="BD329" t="inlineStr">
        <is>
          <t>893247416</t>
        </is>
      </c>
    </row>
    <row r="330">
      <c r="A330" t="inlineStr">
        <is>
          <t>No</t>
        </is>
      </c>
      <c r="B330" t="inlineStr">
        <is>
          <t>NX600.S9 R42 1971</t>
        </is>
      </c>
      <c r="C330" t="inlineStr">
        <is>
          <t>0                      NX 0600000S  9                  R  42          1971</t>
        </is>
      </c>
      <c r="D330" t="inlineStr">
        <is>
          <t>Surrealism / edited with an introd. by Herbert Read. Contributions by André Breton [and others]</t>
        </is>
      </c>
      <c r="F330" t="inlineStr">
        <is>
          <t>No</t>
        </is>
      </c>
      <c r="G330" t="inlineStr">
        <is>
          <t>1</t>
        </is>
      </c>
      <c r="H330" t="inlineStr">
        <is>
          <t>No</t>
        </is>
      </c>
      <c r="I330" t="inlineStr">
        <is>
          <t>No</t>
        </is>
      </c>
      <c r="J330" t="inlineStr">
        <is>
          <t>0</t>
        </is>
      </c>
      <c r="K330" t="inlineStr">
        <is>
          <t>Read, Herbert, 1893-1968 editor.</t>
        </is>
      </c>
      <c r="L330" t="inlineStr">
        <is>
          <t>New York : Praeger, [1971]</t>
        </is>
      </c>
      <c r="M330" t="inlineStr">
        <is>
          <t>1971</t>
        </is>
      </c>
      <c r="O330" t="inlineStr">
        <is>
          <t>eng</t>
        </is>
      </c>
      <c r="P330" t="inlineStr">
        <is>
          <t>nyu</t>
        </is>
      </c>
      <c r="R330" t="inlineStr">
        <is>
          <t xml:space="preserve">NX </t>
        </is>
      </c>
      <c r="S330" t="n">
        <v>9</v>
      </c>
      <c r="T330" t="n">
        <v>9</v>
      </c>
      <c r="U330" t="inlineStr">
        <is>
          <t>1994-07-07</t>
        </is>
      </c>
      <c r="V330" t="inlineStr">
        <is>
          <t>1994-07-07</t>
        </is>
      </c>
      <c r="W330" t="inlineStr">
        <is>
          <t>1994-08-30</t>
        </is>
      </c>
      <c r="X330" t="inlineStr">
        <is>
          <t>1994-08-30</t>
        </is>
      </c>
      <c r="Y330" t="n">
        <v>731</v>
      </c>
      <c r="Z330" t="n">
        <v>688</v>
      </c>
      <c r="AA330" t="n">
        <v>725</v>
      </c>
      <c r="AB330" t="n">
        <v>6</v>
      </c>
      <c r="AC330" t="n">
        <v>6</v>
      </c>
      <c r="AD330" t="n">
        <v>24</v>
      </c>
      <c r="AE330" t="n">
        <v>26</v>
      </c>
      <c r="AF330" t="n">
        <v>8</v>
      </c>
      <c r="AG330" t="n">
        <v>8</v>
      </c>
      <c r="AH330" t="n">
        <v>5</v>
      </c>
      <c r="AI330" t="n">
        <v>6</v>
      </c>
      <c r="AJ330" t="n">
        <v>9</v>
      </c>
      <c r="AK330" t="n">
        <v>10</v>
      </c>
      <c r="AL330" t="n">
        <v>5</v>
      </c>
      <c r="AM330" t="n">
        <v>5</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HYPERLINK("https://creighton-primo.hosted.exlibrisgroup.com/primo-explore/search?tab=default_tab&amp;search_scope=EVERYTHING&amp;vid=01CRU&amp;lang=en_US&amp;offset=0&amp;query=any,contains,991003103199702656","Catalog Record")</f>
        <v/>
      </c>
      <c r="AT330">
        <f>HYPERLINK("http://www.worldcat.org/oclc/652449","WorldCat Record")</f>
        <v/>
      </c>
      <c r="AU330" t="inlineStr">
        <is>
          <t>372827827:eng</t>
        </is>
      </c>
      <c r="AV330" t="inlineStr">
        <is>
          <t>652449</t>
        </is>
      </c>
      <c r="AW330" t="inlineStr">
        <is>
          <t>991003103199702656</t>
        </is>
      </c>
      <c r="AX330" t="inlineStr">
        <is>
          <t>991003103199702656</t>
        </is>
      </c>
      <c r="AY330" t="inlineStr">
        <is>
          <t>2262793000002656</t>
        </is>
      </c>
      <c r="AZ330" t="inlineStr">
        <is>
          <t>BOOK</t>
        </is>
      </c>
      <c r="BC330" t="inlineStr">
        <is>
          <t>32285001777902</t>
        </is>
      </c>
      <c r="BD330" t="inlineStr">
        <is>
          <t>893610721</t>
        </is>
      </c>
    </row>
    <row r="331">
      <c r="A331" t="inlineStr">
        <is>
          <t>No</t>
        </is>
      </c>
      <c r="B331" t="inlineStr">
        <is>
          <t>NX620 .P37 1991</t>
        </is>
      </c>
      <c r="C331" t="inlineStr">
        <is>
          <t>0                      NX 0620000P  37          1991</t>
        </is>
      </c>
      <c r="D331" t="inlineStr">
        <is>
          <t>Serious art / John Passmore.</t>
        </is>
      </c>
      <c r="F331" t="inlineStr">
        <is>
          <t>No</t>
        </is>
      </c>
      <c r="G331" t="inlineStr">
        <is>
          <t>1</t>
        </is>
      </c>
      <c r="H331" t="inlineStr">
        <is>
          <t>No</t>
        </is>
      </c>
      <c r="I331" t="inlineStr">
        <is>
          <t>No</t>
        </is>
      </c>
      <c r="J331" t="inlineStr">
        <is>
          <t>0</t>
        </is>
      </c>
      <c r="K331" t="inlineStr">
        <is>
          <t>Passmore, John Arthur.</t>
        </is>
      </c>
      <c r="L331" t="inlineStr">
        <is>
          <t>La Salle, Ill. : Open Court, 1991.</t>
        </is>
      </c>
      <c r="M331" t="inlineStr">
        <is>
          <t>1991</t>
        </is>
      </c>
      <c r="O331" t="inlineStr">
        <is>
          <t>eng</t>
        </is>
      </c>
      <c r="P331" t="inlineStr">
        <is>
          <t>ilu</t>
        </is>
      </c>
      <c r="R331" t="inlineStr">
        <is>
          <t xml:space="preserve">NX </t>
        </is>
      </c>
      <c r="S331" t="n">
        <v>5</v>
      </c>
      <c r="T331" t="n">
        <v>5</v>
      </c>
      <c r="U331" t="inlineStr">
        <is>
          <t>1994-11-16</t>
        </is>
      </c>
      <c r="V331" t="inlineStr">
        <is>
          <t>1994-11-16</t>
        </is>
      </c>
      <c r="W331" t="inlineStr">
        <is>
          <t>1992-01-21</t>
        </is>
      </c>
      <c r="X331" t="inlineStr">
        <is>
          <t>1992-01-21</t>
        </is>
      </c>
      <c r="Y331" t="n">
        <v>242</v>
      </c>
      <c r="Z331" t="n">
        <v>213</v>
      </c>
      <c r="AA331" t="n">
        <v>260</v>
      </c>
      <c r="AB331" t="n">
        <v>3</v>
      </c>
      <c r="AC331" t="n">
        <v>3</v>
      </c>
      <c r="AD331" t="n">
        <v>12</v>
      </c>
      <c r="AE331" t="n">
        <v>14</v>
      </c>
      <c r="AF331" t="n">
        <v>4</v>
      </c>
      <c r="AG331" t="n">
        <v>4</v>
      </c>
      <c r="AH331" t="n">
        <v>3</v>
      </c>
      <c r="AI331" t="n">
        <v>3</v>
      </c>
      <c r="AJ331" t="n">
        <v>6</v>
      </c>
      <c r="AK331" t="n">
        <v>8</v>
      </c>
      <c r="AL331" t="n">
        <v>2</v>
      </c>
      <c r="AM331" t="n">
        <v>2</v>
      </c>
      <c r="AN331" t="n">
        <v>0</v>
      </c>
      <c r="AO331" t="n">
        <v>0</v>
      </c>
      <c r="AP331" t="inlineStr">
        <is>
          <t>No</t>
        </is>
      </c>
      <c r="AQ331" t="inlineStr">
        <is>
          <t>Yes</t>
        </is>
      </c>
      <c r="AR331">
        <f>HYPERLINK("http://catalog.hathitrust.org/Record/008545846","HathiTrust Record")</f>
        <v/>
      </c>
      <c r="AS331">
        <f>HYPERLINK("https://creighton-primo.hosted.exlibrisgroup.com/primo-explore/search?tab=default_tab&amp;search_scope=EVERYTHING&amp;vid=01CRU&amp;lang=en_US&amp;offset=0&amp;query=any,contains,991001893099702656","Catalog Record")</f>
        <v/>
      </c>
      <c r="AT331">
        <f>HYPERLINK("http://www.worldcat.org/oclc/23901870","WorldCat Record")</f>
        <v/>
      </c>
      <c r="AU331" t="inlineStr">
        <is>
          <t>197562458:eng</t>
        </is>
      </c>
      <c r="AV331" t="inlineStr">
        <is>
          <t>23901870</t>
        </is>
      </c>
      <c r="AW331" t="inlineStr">
        <is>
          <t>991001893099702656</t>
        </is>
      </c>
      <c r="AX331" t="inlineStr">
        <is>
          <t>991001893099702656</t>
        </is>
      </c>
      <c r="AY331" t="inlineStr">
        <is>
          <t>2262271270002656</t>
        </is>
      </c>
      <c r="AZ331" t="inlineStr">
        <is>
          <t>BOOK</t>
        </is>
      </c>
      <c r="BB331" t="inlineStr">
        <is>
          <t>9780812691825</t>
        </is>
      </c>
      <c r="BC331" t="inlineStr">
        <is>
          <t>32285000864693</t>
        </is>
      </c>
      <c r="BD331" t="inlineStr">
        <is>
          <t>893621692</t>
        </is>
      </c>
    </row>
    <row r="332">
      <c r="A332" t="inlineStr">
        <is>
          <t>No</t>
        </is>
      </c>
      <c r="B332" t="inlineStr">
        <is>
          <t>NX65 .B37 1982</t>
        </is>
      </c>
      <c r="C332" t="inlineStr">
        <is>
          <t>0                      NX 0065000B  37          1982</t>
        </is>
      </c>
      <c r="D332" t="inlineStr">
        <is>
          <t>A Barthes reader / edited, and with an introd. by Susan Sontag.</t>
        </is>
      </c>
      <c r="F332" t="inlineStr">
        <is>
          <t>No</t>
        </is>
      </c>
      <c r="G332" t="inlineStr">
        <is>
          <t>1</t>
        </is>
      </c>
      <c r="H332" t="inlineStr">
        <is>
          <t>No</t>
        </is>
      </c>
      <c r="I332" t="inlineStr">
        <is>
          <t>No</t>
        </is>
      </c>
      <c r="J332" t="inlineStr">
        <is>
          <t>0</t>
        </is>
      </c>
      <c r="K332" t="inlineStr">
        <is>
          <t>Barthes, Roland.</t>
        </is>
      </c>
      <c r="L332" t="inlineStr">
        <is>
          <t>New York : Hill and Wang, c1982.</t>
        </is>
      </c>
      <c r="M332" t="inlineStr">
        <is>
          <t>1982</t>
        </is>
      </c>
      <c r="O332" t="inlineStr">
        <is>
          <t>eng</t>
        </is>
      </c>
      <c r="P332" t="inlineStr">
        <is>
          <t>nyu</t>
        </is>
      </c>
      <c r="R332" t="inlineStr">
        <is>
          <t xml:space="preserve">NX </t>
        </is>
      </c>
      <c r="S332" t="n">
        <v>15</v>
      </c>
      <c r="T332" t="n">
        <v>15</v>
      </c>
      <c r="U332" t="inlineStr">
        <is>
          <t>2007-04-05</t>
        </is>
      </c>
      <c r="V332" t="inlineStr">
        <is>
          <t>2007-04-05</t>
        </is>
      </c>
      <c r="W332" t="inlineStr">
        <is>
          <t>1993-06-02</t>
        </is>
      </c>
      <c r="X332" t="inlineStr">
        <is>
          <t>1993-06-02</t>
        </is>
      </c>
      <c r="Y332" t="n">
        <v>1030</v>
      </c>
      <c r="Z332" t="n">
        <v>902</v>
      </c>
      <c r="AA332" t="n">
        <v>968</v>
      </c>
      <c r="AB332" t="n">
        <v>6</v>
      </c>
      <c r="AC332" t="n">
        <v>6</v>
      </c>
      <c r="AD332" t="n">
        <v>40</v>
      </c>
      <c r="AE332" t="n">
        <v>43</v>
      </c>
      <c r="AF332" t="n">
        <v>18</v>
      </c>
      <c r="AG332" t="n">
        <v>19</v>
      </c>
      <c r="AH332" t="n">
        <v>8</v>
      </c>
      <c r="AI332" t="n">
        <v>9</v>
      </c>
      <c r="AJ332" t="n">
        <v>21</v>
      </c>
      <c r="AK332" t="n">
        <v>23</v>
      </c>
      <c r="AL332" t="n">
        <v>5</v>
      </c>
      <c r="AM332" t="n">
        <v>5</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HYPERLINK("https://creighton-primo.hosted.exlibrisgroup.com/primo-explore/search?tab=default_tab&amp;search_scope=EVERYTHING&amp;vid=01CRU&amp;lang=en_US&amp;offset=0&amp;query=any,contains,991005068289702656","Catalog Record")</f>
        <v/>
      </c>
      <c r="AT332">
        <f>HYPERLINK("http://www.worldcat.org/oclc/6982503","WorldCat Record")</f>
        <v/>
      </c>
      <c r="AU332" t="inlineStr">
        <is>
          <t>572522:eng</t>
        </is>
      </c>
      <c r="AV332" t="inlineStr">
        <is>
          <t>6982503</t>
        </is>
      </c>
      <c r="AW332" t="inlineStr">
        <is>
          <t>991005068289702656</t>
        </is>
      </c>
      <c r="AX332" t="inlineStr">
        <is>
          <t>991005068289702656</t>
        </is>
      </c>
      <c r="AY332" t="inlineStr">
        <is>
          <t>2272689090002656</t>
        </is>
      </c>
      <c r="AZ332" t="inlineStr">
        <is>
          <t>BOOK</t>
        </is>
      </c>
      <c r="BB332" t="inlineStr">
        <is>
          <t>9780809028153</t>
        </is>
      </c>
      <c r="BC332" t="inlineStr">
        <is>
          <t>32285001716652</t>
        </is>
      </c>
      <c r="BD332" t="inlineStr">
        <is>
          <t>893338443</t>
        </is>
      </c>
    </row>
    <row r="333">
      <c r="A333" t="inlineStr">
        <is>
          <t>No</t>
        </is>
      </c>
      <c r="B333" t="inlineStr">
        <is>
          <t>NX65 .B7 1972</t>
        </is>
      </c>
      <c r="C333" t="inlineStr">
        <is>
          <t>0                      NX 0065000B  7           1972</t>
        </is>
      </c>
      <c r="D333" t="inlineStr">
        <is>
          <t>Art is action : a discussion of nine arts in a modern world.</t>
        </is>
      </c>
      <c r="F333" t="inlineStr">
        <is>
          <t>No</t>
        </is>
      </c>
      <c r="G333" t="inlineStr">
        <is>
          <t>1</t>
        </is>
      </c>
      <c r="H333" t="inlineStr">
        <is>
          <t>No</t>
        </is>
      </c>
      <c r="I333" t="inlineStr">
        <is>
          <t>No</t>
        </is>
      </c>
      <c r="J333" t="inlineStr">
        <is>
          <t>0</t>
        </is>
      </c>
      <c r="K333" t="inlineStr">
        <is>
          <t>Brownell, Baker, 1887-1965.</t>
        </is>
      </c>
      <c r="L333" t="inlineStr">
        <is>
          <t>Port Washington, N.Y. : Kennikat Press, [1972, c1939]</t>
        </is>
      </c>
      <c r="M333" t="inlineStr">
        <is>
          <t>1972</t>
        </is>
      </c>
      <c r="O333" t="inlineStr">
        <is>
          <t>eng</t>
        </is>
      </c>
      <c r="P333" t="inlineStr">
        <is>
          <t>nyu</t>
        </is>
      </c>
      <c r="Q333" t="inlineStr">
        <is>
          <t>Essay and general literature index reprint series</t>
        </is>
      </c>
      <c r="R333" t="inlineStr">
        <is>
          <t xml:space="preserve">NX </t>
        </is>
      </c>
      <c r="S333" t="n">
        <v>1</v>
      </c>
      <c r="T333" t="n">
        <v>1</v>
      </c>
      <c r="U333" t="inlineStr">
        <is>
          <t>2002-09-05</t>
        </is>
      </c>
      <c r="V333" t="inlineStr">
        <is>
          <t>2002-09-05</t>
        </is>
      </c>
      <c r="W333" t="inlineStr">
        <is>
          <t>1993-07-13</t>
        </is>
      </c>
      <c r="X333" t="inlineStr">
        <is>
          <t>1993-07-13</t>
        </is>
      </c>
      <c r="Y333" t="n">
        <v>113</v>
      </c>
      <c r="Z333" t="n">
        <v>93</v>
      </c>
      <c r="AA333" t="n">
        <v>386</v>
      </c>
      <c r="AB333" t="n">
        <v>2</v>
      </c>
      <c r="AC333" t="n">
        <v>5</v>
      </c>
      <c r="AD333" t="n">
        <v>1</v>
      </c>
      <c r="AE333" t="n">
        <v>18</v>
      </c>
      <c r="AF333" t="n">
        <v>1</v>
      </c>
      <c r="AG333" t="n">
        <v>10</v>
      </c>
      <c r="AH333" t="n">
        <v>0</v>
      </c>
      <c r="AI333" t="n">
        <v>4</v>
      </c>
      <c r="AJ333" t="n">
        <v>0</v>
      </c>
      <c r="AK333" t="n">
        <v>3</v>
      </c>
      <c r="AL333" t="n">
        <v>0</v>
      </c>
      <c r="AM333" t="n">
        <v>3</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HYPERLINK("https://creighton-primo.hosted.exlibrisgroup.com/primo-explore/search?tab=default_tab&amp;search_scope=EVERYTHING&amp;vid=01CRU&amp;lang=en_US&amp;offset=0&amp;query=any,contains,991002110649702656","Catalog Record")</f>
        <v/>
      </c>
      <c r="AT333">
        <f>HYPERLINK("http://www.worldcat.org/oclc/267235","WorldCat Record")</f>
        <v/>
      </c>
      <c r="AU333" t="inlineStr">
        <is>
          <t>1171867:eng</t>
        </is>
      </c>
      <c r="AV333" t="inlineStr">
        <is>
          <t>267235</t>
        </is>
      </c>
      <c r="AW333" t="inlineStr">
        <is>
          <t>991002110649702656</t>
        </is>
      </c>
      <c r="AX333" t="inlineStr">
        <is>
          <t>991002110649702656</t>
        </is>
      </c>
      <c r="AY333" t="inlineStr">
        <is>
          <t>2269136320002656</t>
        </is>
      </c>
      <c r="AZ333" t="inlineStr">
        <is>
          <t>BOOK</t>
        </is>
      </c>
      <c r="BB333" t="inlineStr">
        <is>
          <t>9780804616904</t>
        </is>
      </c>
      <c r="BC333" t="inlineStr">
        <is>
          <t>32285001722155</t>
        </is>
      </c>
      <c r="BD333" t="inlineStr">
        <is>
          <t>893773234</t>
        </is>
      </c>
    </row>
    <row r="334">
      <c r="A334" t="inlineStr">
        <is>
          <t>No</t>
        </is>
      </c>
      <c r="B334" t="inlineStr">
        <is>
          <t>NX65 .K5 1969</t>
        </is>
      </c>
      <c r="C334" t="inlineStr">
        <is>
          <t>0                      NX 0065000K  5           1969</t>
        </is>
      </c>
      <c r="D334" t="inlineStr">
        <is>
          <t>The art of time : essays on the avant-garde / by Michael Kirby.</t>
        </is>
      </c>
      <c r="F334" t="inlineStr">
        <is>
          <t>No</t>
        </is>
      </c>
      <c r="G334" t="inlineStr">
        <is>
          <t>1</t>
        </is>
      </c>
      <c r="H334" t="inlineStr">
        <is>
          <t>No</t>
        </is>
      </c>
      <c r="I334" t="inlineStr">
        <is>
          <t>No</t>
        </is>
      </c>
      <c r="J334" t="inlineStr">
        <is>
          <t>0</t>
        </is>
      </c>
      <c r="K334" t="inlineStr">
        <is>
          <t>Kirby, Michael, 1931-1997.</t>
        </is>
      </c>
      <c r="L334" t="inlineStr">
        <is>
          <t>New York : E. P. Dutton, 1969.</t>
        </is>
      </c>
      <c r="M334" t="inlineStr">
        <is>
          <t>1969</t>
        </is>
      </c>
      <c r="N334" t="inlineStr">
        <is>
          <t>[1st ed.]</t>
        </is>
      </c>
      <c r="O334" t="inlineStr">
        <is>
          <t>eng</t>
        </is>
      </c>
      <c r="P334" t="inlineStr">
        <is>
          <t>nyu</t>
        </is>
      </c>
      <c r="R334" t="inlineStr">
        <is>
          <t xml:space="preserve">NX </t>
        </is>
      </c>
      <c r="S334" t="n">
        <v>1</v>
      </c>
      <c r="T334" t="n">
        <v>1</v>
      </c>
      <c r="U334" t="inlineStr">
        <is>
          <t>1993-06-28</t>
        </is>
      </c>
      <c r="V334" t="inlineStr">
        <is>
          <t>1993-06-28</t>
        </is>
      </c>
      <c r="W334" t="inlineStr">
        <is>
          <t>1992-07-07</t>
        </is>
      </c>
      <c r="X334" t="inlineStr">
        <is>
          <t>1992-07-07</t>
        </is>
      </c>
      <c r="Y334" t="n">
        <v>524</v>
      </c>
      <c r="Z334" t="n">
        <v>443</v>
      </c>
      <c r="AA334" t="n">
        <v>449</v>
      </c>
      <c r="AB334" t="n">
        <v>7</v>
      </c>
      <c r="AC334" t="n">
        <v>7</v>
      </c>
      <c r="AD334" t="n">
        <v>28</v>
      </c>
      <c r="AE334" t="n">
        <v>28</v>
      </c>
      <c r="AF334" t="n">
        <v>8</v>
      </c>
      <c r="AG334" t="n">
        <v>8</v>
      </c>
      <c r="AH334" t="n">
        <v>7</v>
      </c>
      <c r="AI334" t="n">
        <v>7</v>
      </c>
      <c r="AJ334" t="n">
        <v>12</v>
      </c>
      <c r="AK334" t="n">
        <v>12</v>
      </c>
      <c r="AL334" t="n">
        <v>6</v>
      </c>
      <c r="AM334" t="n">
        <v>6</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HYPERLINK("https://creighton-primo.hosted.exlibrisgroup.com/primo-explore/search?tab=default_tab&amp;search_scope=EVERYTHING&amp;vid=01CRU&amp;lang=en_US&amp;offset=0&amp;query=any,contains,991000054819702656","Catalog Record")</f>
        <v/>
      </c>
      <c r="AT334">
        <f>HYPERLINK("http://www.worldcat.org/oclc/23326","WorldCat Record")</f>
        <v/>
      </c>
      <c r="AU334" t="inlineStr">
        <is>
          <t>1145536:eng</t>
        </is>
      </c>
      <c r="AV334" t="inlineStr">
        <is>
          <t>23326</t>
        </is>
      </c>
      <c r="AW334" t="inlineStr">
        <is>
          <t>991000054819702656</t>
        </is>
      </c>
      <c r="AX334" t="inlineStr">
        <is>
          <t>991000054819702656</t>
        </is>
      </c>
      <c r="AY334" t="inlineStr">
        <is>
          <t>2265494320002656</t>
        </is>
      </c>
      <c r="AZ334" t="inlineStr">
        <is>
          <t>BOOK</t>
        </is>
      </c>
      <c r="BC334" t="inlineStr">
        <is>
          <t>32285001149979</t>
        </is>
      </c>
      <c r="BD334" t="inlineStr">
        <is>
          <t>893783912</t>
        </is>
      </c>
    </row>
    <row r="335">
      <c r="A335" t="inlineStr">
        <is>
          <t>No</t>
        </is>
      </c>
      <c r="B335" t="inlineStr">
        <is>
          <t>NX65 .W45 2004</t>
        </is>
      </c>
      <c r="C335" t="inlineStr">
        <is>
          <t>0                      NX 0065000W  45          2004</t>
        </is>
      </c>
      <c r="D335" t="inlineStr">
        <is>
          <t>Vermeer in Bosnia : a reader / Lawrence Weschler.</t>
        </is>
      </c>
      <c r="F335" t="inlineStr">
        <is>
          <t>No</t>
        </is>
      </c>
      <c r="G335" t="inlineStr">
        <is>
          <t>1</t>
        </is>
      </c>
      <c r="H335" t="inlineStr">
        <is>
          <t>No</t>
        </is>
      </c>
      <c r="I335" t="inlineStr">
        <is>
          <t>No</t>
        </is>
      </c>
      <c r="J335" t="inlineStr">
        <is>
          <t>0</t>
        </is>
      </c>
      <c r="K335" t="inlineStr">
        <is>
          <t>Weschler, Lawrence.</t>
        </is>
      </c>
      <c r="L335" t="inlineStr">
        <is>
          <t>New York : Pantheon Books, c2004.</t>
        </is>
      </c>
      <c r="M335" t="inlineStr">
        <is>
          <t>2004</t>
        </is>
      </c>
      <c r="N335" t="inlineStr">
        <is>
          <t>1st ed.</t>
        </is>
      </c>
      <c r="O335" t="inlineStr">
        <is>
          <t>eng</t>
        </is>
      </c>
      <c r="P335" t="inlineStr">
        <is>
          <t>nyu</t>
        </is>
      </c>
      <c r="R335" t="inlineStr">
        <is>
          <t xml:space="preserve">NX </t>
        </is>
      </c>
      <c r="S335" t="n">
        <v>3</v>
      </c>
      <c r="T335" t="n">
        <v>3</v>
      </c>
      <c r="U335" t="inlineStr">
        <is>
          <t>2010-02-03</t>
        </is>
      </c>
      <c r="V335" t="inlineStr">
        <is>
          <t>2010-02-03</t>
        </is>
      </c>
      <c r="W335" t="inlineStr">
        <is>
          <t>2004-07-28</t>
        </is>
      </c>
      <c r="X335" t="inlineStr">
        <is>
          <t>2004-07-28</t>
        </is>
      </c>
      <c r="Y335" t="n">
        <v>356</v>
      </c>
      <c r="Z335" t="n">
        <v>324</v>
      </c>
      <c r="AA335" t="n">
        <v>353</v>
      </c>
      <c r="AB335" t="n">
        <v>1</v>
      </c>
      <c r="AC335" t="n">
        <v>3</v>
      </c>
      <c r="AD335" t="n">
        <v>9</v>
      </c>
      <c r="AE335" t="n">
        <v>12</v>
      </c>
      <c r="AF335" t="n">
        <v>2</v>
      </c>
      <c r="AG335" t="n">
        <v>3</v>
      </c>
      <c r="AH335" t="n">
        <v>2</v>
      </c>
      <c r="AI335" t="n">
        <v>2</v>
      </c>
      <c r="AJ335" t="n">
        <v>6</v>
      </c>
      <c r="AK335" t="n">
        <v>6</v>
      </c>
      <c r="AL335" t="n">
        <v>0</v>
      </c>
      <c r="AM335" t="n">
        <v>2</v>
      </c>
      <c r="AN335" t="n">
        <v>0</v>
      </c>
      <c r="AO335" t="n">
        <v>0</v>
      </c>
      <c r="AP335" t="inlineStr">
        <is>
          <t>No</t>
        </is>
      </c>
      <c r="AQ335" t="inlineStr">
        <is>
          <t>Yes</t>
        </is>
      </c>
      <c r="AR335">
        <f>HYPERLINK("http://catalog.hathitrust.org/Record/004729840","HathiTrust Record")</f>
        <v/>
      </c>
      <c r="AS335">
        <f>HYPERLINK("https://creighton-primo.hosted.exlibrisgroup.com/primo-explore/search?tab=default_tab&amp;search_scope=EVERYTHING&amp;vid=01CRU&amp;lang=en_US&amp;offset=0&amp;query=any,contains,991004319119702656","Catalog Record")</f>
        <v/>
      </c>
      <c r="AT335">
        <f>HYPERLINK("http://www.worldcat.org/oclc/53434822","WorldCat Record")</f>
        <v/>
      </c>
      <c r="AU335" t="inlineStr">
        <is>
          <t>836227135:eng</t>
        </is>
      </c>
      <c r="AV335" t="inlineStr">
        <is>
          <t>53434822</t>
        </is>
      </c>
      <c r="AW335" t="inlineStr">
        <is>
          <t>991004319119702656</t>
        </is>
      </c>
      <c r="AX335" t="inlineStr">
        <is>
          <t>991004319119702656</t>
        </is>
      </c>
      <c r="AY335" t="inlineStr">
        <is>
          <t>2269441040002656</t>
        </is>
      </c>
      <c r="AZ335" t="inlineStr">
        <is>
          <t>BOOK</t>
        </is>
      </c>
      <c r="BB335" t="inlineStr">
        <is>
          <t>9780679442707</t>
        </is>
      </c>
      <c r="BC335" t="inlineStr">
        <is>
          <t>32285004926217</t>
        </is>
      </c>
      <c r="BD335" t="inlineStr">
        <is>
          <t>893253542</t>
        </is>
      </c>
    </row>
    <row r="336">
      <c r="A336" t="inlineStr">
        <is>
          <t>No</t>
        </is>
      </c>
      <c r="B336" t="inlineStr">
        <is>
          <t>NX650.A44 E5</t>
        </is>
      </c>
      <c r="C336" t="inlineStr">
        <is>
          <t>0                      NX 0650000A  44                 E  5</t>
        </is>
      </c>
      <c r="D336" t="inlineStr">
        <is>
          <t>Allegory and representation / edited, with a preface, by Stephen J. Greenblatt.</t>
        </is>
      </c>
      <c r="F336" t="inlineStr">
        <is>
          <t>No</t>
        </is>
      </c>
      <c r="G336" t="inlineStr">
        <is>
          <t>1</t>
        </is>
      </c>
      <c r="H336" t="inlineStr">
        <is>
          <t>No</t>
        </is>
      </c>
      <c r="I336" t="inlineStr">
        <is>
          <t>No</t>
        </is>
      </c>
      <c r="J336" t="inlineStr">
        <is>
          <t>0</t>
        </is>
      </c>
      <c r="K336" t="inlineStr">
        <is>
          <t>English Institute.</t>
        </is>
      </c>
      <c r="L336" t="inlineStr">
        <is>
          <t>Baltimore : Johns Hopkins University Press, c1981.</t>
        </is>
      </c>
      <c r="M336" t="inlineStr">
        <is>
          <t>1981</t>
        </is>
      </c>
      <c r="O336" t="inlineStr">
        <is>
          <t>eng</t>
        </is>
      </c>
      <c r="P336" t="inlineStr">
        <is>
          <t>mdu</t>
        </is>
      </c>
      <c r="Q336" t="inlineStr">
        <is>
          <t>Selected papers from the English Institute ; 1979-80, new ser., no. 5</t>
        </is>
      </c>
      <c r="R336" t="inlineStr">
        <is>
          <t xml:space="preserve">NX </t>
        </is>
      </c>
      <c r="S336" t="n">
        <v>2</v>
      </c>
      <c r="T336" t="n">
        <v>2</v>
      </c>
      <c r="U336" t="inlineStr">
        <is>
          <t>1997-04-01</t>
        </is>
      </c>
      <c r="V336" t="inlineStr">
        <is>
          <t>1997-04-01</t>
        </is>
      </c>
      <c r="W336" t="inlineStr">
        <is>
          <t>1993-06-02</t>
        </is>
      </c>
      <c r="X336" t="inlineStr">
        <is>
          <t>1993-06-02</t>
        </is>
      </c>
      <c r="Y336" t="n">
        <v>752</v>
      </c>
      <c r="Z336" t="n">
        <v>621</v>
      </c>
      <c r="AA336" t="n">
        <v>760</v>
      </c>
      <c r="AB336" t="n">
        <v>6</v>
      </c>
      <c r="AC336" t="n">
        <v>7</v>
      </c>
      <c r="AD336" t="n">
        <v>37</v>
      </c>
      <c r="AE336" t="n">
        <v>45</v>
      </c>
      <c r="AF336" t="n">
        <v>17</v>
      </c>
      <c r="AG336" t="n">
        <v>21</v>
      </c>
      <c r="AH336" t="n">
        <v>6</v>
      </c>
      <c r="AI336" t="n">
        <v>8</v>
      </c>
      <c r="AJ336" t="n">
        <v>19</v>
      </c>
      <c r="AK336" t="n">
        <v>21</v>
      </c>
      <c r="AL336" t="n">
        <v>5</v>
      </c>
      <c r="AM336" t="n">
        <v>6</v>
      </c>
      <c r="AN336" t="n">
        <v>0</v>
      </c>
      <c r="AO336" t="n">
        <v>0</v>
      </c>
      <c r="AP336" t="inlineStr">
        <is>
          <t>No</t>
        </is>
      </c>
      <c r="AQ336" t="inlineStr">
        <is>
          <t>Yes</t>
        </is>
      </c>
      <c r="AR336">
        <f>HYPERLINK("http://catalog.hathitrust.org/Record/000223623","HathiTrust Record")</f>
        <v/>
      </c>
      <c r="AS336">
        <f>HYPERLINK("https://creighton-primo.hosted.exlibrisgroup.com/primo-explore/search?tab=default_tab&amp;search_scope=EVERYTHING&amp;vid=01CRU&amp;lang=en_US&amp;offset=0&amp;query=any,contains,991005128159702656","Catalog Record")</f>
        <v/>
      </c>
      <c r="AT336">
        <f>HYPERLINK("http://www.worldcat.org/oclc/7554898","WorldCat Record")</f>
        <v/>
      </c>
      <c r="AU336" t="inlineStr">
        <is>
          <t>452427:eng</t>
        </is>
      </c>
      <c r="AV336" t="inlineStr">
        <is>
          <t>7554898</t>
        </is>
      </c>
      <c r="AW336" t="inlineStr">
        <is>
          <t>991005128159702656</t>
        </is>
      </c>
      <c r="AX336" t="inlineStr">
        <is>
          <t>991005128159702656</t>
        </is>
      </c>
      <c r="AY336" t="inlineStr">
        <is>
          <t>2264592390002656</t>
        </is>
      </c>
      <c r="AZ336" t="inlineStr">
        <is>
          <t>BOOK</t>
        </is>
      </c>
      <c r="BB336" t="inlineStr">
        <is>
          <t>9780801826429</t>
        </is>
      </c>
      <c r="BC336" t="inlineStr">
        <is>
          <t>32285001717353</t>
        </is>
      </c>
      <c r="BD336" t="inlineStr">
        <is>
          <t>893326208</t>
        </is>
      </c>
    </row>
    <row r="337">
      <c r="A337" t="inlineStr">
        <is>
          <t>No</t>
        </is>
      </c>
      <c r="B337" t="inlineStr">
        <is>
          <t>NX650.A6 A66 1999</t>
        </is>
      </c>
      <c r="C337" t="inlineStr">
        <is>
          <t>0                      NX 0650000A  6                  A  66          1999</t>
        </is>
      </c>
      <c r="D337" t="inlineStr">
        <is>
          <t>The Apocalypse and the shape of things to come / edited by Frances Carey.</t>
        </is>
      </c>
      <c r="F337" t="inlineStr">
        <is>
          <t>No</t>
        </is>
      </c>
      <c r="G337" t="inlineStr">
        <is>
          <t>1</t>
        </is>
      </c>
      <c r="H337" t="inlineStr">
        <is>
          <t>No</t>
        </is>
      </c>
      <c r="I337" t="inlineStr">
        <is>
          <t>No</t>
        </is>
      </c>
      <c r="J337" t="inlineStr">
        <is>
          <t>0</t>
        </is>
      </c>
      <c r="L337" t="inlineStr">
        <is>
          <t>Toronto ; Buffalo : University of Toronto Press, 1999.</t>
        </is>
      </c>
      <c r="M337" t="inlineStr">
        <is>
          <t>1999</t>
        </is>
      </c>
      <c r="O337" t="inlineStr">
        <is>
          <t>eng</t>
        </is>
      </c>
      <c r="P337" t="inlineStr">
        <is>
          <t>onc</t>
        </is>
      </c>
      <c r="R337" t="inlineStr">
        <is>
          <t xml:space="preserve">NX </t>
        </is>
      </c>
      <c r="S337" t="n">
        <v>2</v>
      </c>
      <c r="T337" t="n">
        <v>2</v>
      </c>
      <c r="U337" t="inlineStr">
        <is>
          <t>2009-08-26</t>
        </is>
      </c>
      <c r="V337" t="inlineStr">
        <is>
          <t>2009-08-26</t>
        </is>
      </c>
      <c r="W337" t="inlineStr">
        <is>
          <t>2003-11-13</t>
        </is>
      </c>
      <c r="X337" t="inlineStr">
        <is>
          <t>2003-11-13</t>
        </is>
      </c>
      <c r="Y337" t="n">
        <v>403</v>
      </c>
      <c r="Z337" t="n">
        <v>361</v>
      </c>
      <c r="AA337" t="n">
        <v>430</v>
      </c>
      <c r="AB337" t="n">
        <v>2</v>
      </c>
      <c r="AC337" t="n">
        <v>3</v>
      </c>
      <c r="AD337" t="n">
        <v>18</v>
      </c>
      <c r="AE337" t="n">
        <v>21</v>
      </c>
      <c r="AF337" t="n">
        <v>8</v>
      </c>
      <c r="AG337" t="n">
        <v>9</v>
      </c>
      <c r="AH337" t="n">
        <v>5</v>
      </c>
      <c r="AI337" t="n">
        <v>6</v>
      </c>
      <c r="AJ337" t="n">
        <v>8</v>
      </c>
      <c r="AK337" t="n">
        <v>9</v>
      </c>
      <c r="AL337" t="n">
        <v>1</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HYPERLINK("https://creighton-primo.hosted.exlibrisgroup.com/primo-explore/search?tab=default_tab&amp;search_scope=EVERYTHING&amp;vid=01CRU&amp;lang=en_US&amp;offset=0&amp;query=any,contains,991004170279702656","Catalog Record")</f>
        <v/>
      </c>
      <c r="AT337">
        <f>HYPERLINK("http://www.worldcat.org/oclc/47929363","WorldCat Record")</f>
        <v/>
      </c>
      <c r="AU337" t="inlineStr">
        <is>
          <t>1407136418:eng</t>
        </is>
      </c>
      <c r="AV337" t="inlineStr">
        <is>
          <t>47929363</t>
        </is>
      </c>
      <c r="AW337" t="inlineStr">
        <is>
          <t>991004170279702656</t>
        </is>
      </c>
      <c r="AX337" t="inlineStr">
        <is>
          <t>991004170279702656</t>
        </is>
      </c>
      <c r="AY337" t="inlineStr">
        <is>
          <t>2268434690002656</t>
        </is>
      </c>
      <c r="AZ337" t="inlineStr">
        <is>
          <t>BOOK</t>
        </is>
      </c>
      <c r="BB337" t="inlineStr">
        <is>
          <t>9780802047762</t>
        </is>
      </c>
      <c r="BC337" t="inlineStr">
        <is>
          <t>32285004797907</t>
        </is>
      </c>
      <c r="BD337" t="inlineStr">
        <is>
          <t>893241106</t>
        </is>
      </c>
    </row>
    <row r="338">
      <c r="A338" t="inlineStr">
        <is>
          <t>No</t>
        </is>
      </c>
      <c r="B338" t="inlineStr">
        <is>
          <t>NX650.C5 M3</t>
        </is>
      </c>
      <c r="C338" t="inlineStr">
        <is>
          <t>0                      NX 0650000C  5                  M  3</t>
        </is>
      </c>
      <c r="D338" t="inlineStr">
        <is>
          <t>Art and the religious experience: the "language" of the sacred [by] F. David Martin.</t>
        </is>
      </c>
      <c r="F338" t="inlineStr">
        <is>
          <t>No</t>
        </is>
      </c>
      <c r="G338" t="inlineStr">
        <is>
          <t>1</t>
        </is>
      </c>
      <c r="H338" t="inlineStr">
        <is>
          <t>No</t>
        </is>
      </c>
      <c r="I338" t="inlineStr">
        <is>
          <t>No</t>
        </is>
      </c>
      <c r="J338" t="inlineStr">
        <is>
          <t>0</t>
        </is>
      </c>
      <c r="K338" t="inlineStr">
        <is>
          <t>Martin, F. David, 1920-</t>
        </is>
      </c>
      <c r="L338" t="inlineStr">
        <is>
          <t>Lewisburg [Pa.] Bucknell University Press [1972]</t>
        </is>
      </c>
      <c r="M338" t="inlineStr">
        <is>
          <t>1972</t>
        </is>
      </c>
      <c r="O338" t="inlineStr">
        <is>
          <t>eng</t>
        </is>
      </c>
      <c r="P338" t="inlineStr">
        <is>
          <t>pau</t>
        </is>
      </c>
      <c r="R338" t="inlineStr">
        <is>
          <t xml:space="preserve">NX </t>
        </is>
      </c>
      <c r="S338" t="n">
        <v>2</v>
      </c>
      <c r="T338" t="n">
        <v>2</v>
      </c>
      <c r="U338" t="inlineStr">
        <is>
          <t>2007-03-09</t>
        </is>
      </c>
      <c r="V338" t="inlineStr">
        <is>
          <t>2007-03-09</t>
        </is>
      </c>
      <c r="W338" t="inlineStr">
        <is>
          <t>1997-08-08</t>
        </is>
      </c>
      <c r="X338" t="inlineStr">
        <is>
          <t>1997-08-08</t>
        </is>
      </c>
      <c r="Y338" t="n">
        <v>573</v>
      </c>
      <c r="Z338" t="n">
        <v>500</v>
      </c>
      <c r="AA338" t="n">
        <v>500</v>
      </c>
      <c r="AB338" t="n">
        <v>5</v>
      </c>
      <c r="AC338" t="n">
        <v>5</v>
      </c>
      <c r="AD338" t="n">
        <v>29</v>
      </c>
      <c r="AE338" t="n">
        <v>29</v>
      </c>
      <c r="AF338" t="n">
        <v>12</v>
      </c>
      <c r="AG338" t="n">
        <v>12</v>
      </c>
      <c r="AH338" t="n">
        <v>6</v>
      </c>
      <c r="AI338" t="n">
        <v>6</v>
      </c>
      <c r="AJ338" t="n">
        <v>17</v>
      </c>
      <c r="AK338" t="n">
        <v>17</v>
      </c>
      <c r="AL338" t="n">
        <v>4</v>
      </c>
      <c r="AM338" t="n">
        <v>4</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HYPERLINK("https://creighton-primo.hosted.exlibrisgroup.com/primo-explore/search?tab=default_tab&amp;search_scope=EVERYTHING&amp;vid=01CRU&amp;lang=en_US&amp;offset=0&amp;query=any,contains,991001225499702656","Catalog Record")</f>
        <v/>
      </c>
      <c r="AT338">
        <f>HYPERLINK("http://www.worldcat.org/oclc/199741","WorldCat Record")</f>
        <v/>
      </c>
      <c r="AU338" t="inlineStr">
        <is>
          <t>1381190:eng</t>
        </is>
      </c>
      <c r="AV338" t="inlineStr">
        <is>
          <t>199741</t>
        </is>
      </c>
      <c r="AW338" t="inlineStr">
        <is>
          <t>991001225499702656</t>
        </is>
      </c>
      <c r="AX338" t="inlineStr">
        <is>
          <t>991001225499702656</t>
        </is>
      </c>
      <c r="AY338" t="inlineStr">
        <is>
          <t>2269749530002656</t>
        </is>
      </c>
      <c r="AZ338" t="inlineStr">
        <is>
          <t>BOOK</t>
        </is>
      </c>
      <c r="BB338" t="inlineStr">
        <is>
          <t>9780838779354</t>
        </is>
      </c>
      <c r="BC338" t="inlineStr">
        <is>
          <t>32285003048781</t>
        </is>
      </c>
      <c r="BD338" t="inlineStr">
        <is>
          <t>893903346</t>
        </is>
      </c>
    </row>
    <row r="339">
      <c r="A339" t="inlineStr">
        <is>
          <t>No</t>
        </is>
      </c>
      <c r="B339" t="inlineStr">
        <is>
          <t>NX650.C66 V57 1987</t>
        </is>
      </c>
      <c r="C339" t="inlineStr">
        <is>
          <t>0                      NX 0650000C  66                 V  57          1987</t>
        </is>
      </c>
      <c r="D339" t="inlineStr">
        <is>
          <t>Visions of the modern city : essays in history, art, and literature / edited by William Sharpe and Leonard Wallock.</t>
        </is>
      </c>
      <c r="F339" t="inlineStr">
        <is>
          <t>No</t>
        </is>
      </c>
      <c r="G339" t="inlineStr">
        <is>
          <t>1</t>
        </is>
      </c>
      <c r="H339" t="inlineStr">
        <is>
          <t>No</t>
        </is>
      </c>
      <c r="I339" t="inlineStr">
        <is>
          <t>No</t>
        </is>
      </c>
      <c r="J339" t="inlineStr">
        <is>
          <t>0</t>
        </is>
      </c>
      <c r="L339" t="inlineStr">
        <is>
          <t>Baltimore : Johns Hopkins University Press, 1987.</t>
        </is>
      </c>
      <c r="M339" t="inlineStr">
        <is>
          <t>1987</t>
        </is>
      </c>
      <c r="O339" t="inlineStr">
        <is>
          <t>eng</t>
        </is>
      </c>
      <c r="P339" t="inlineStr">
        <is>
          <t>mdu</t>
        </is>
      </c>
      <c r="R339" t="inlineStr">
        <is>
          <t xml:space="preserve">NX </t>
        </is>
      </c>
      <c r="S339" t="n">
        <v>8</v>
      </c>
      <c r="T339" t="n">
        <v>8</v>
      </c>
      <c r="U339" t="inlineStr">
        <is>
          <t>1998-10-19</t>
        </is>
      </c>
      <c r="V339" t="inlineStr">
        <is>
          <t>1998-10-19</t>
        </is>
      </c>
      <c r="W339" t="inlineStr">
        <is>
          <t>1993-06-02</t>
        </is>
      </c>
      <c r="X339" t="inlineStr">
        <is>
          <t>1993-06-02</t>
        </is>
      </c>
      <c r="Y339" t="n">
        <v>442</v>
      </c>
      <c r="Z339" t="n">
        <v>319</v>
      </c>
      <c r="AA339" t="n">
        <v>383</v>
      </c>
      <c r="AB339" t="n">
        <v>3</v>
      </c>
      <c r="AC339" t="n">
        <v>3</v>
      </c>
      <c r="AD339" t="n">
        <v>16</v>
      </c>
      <c r="AE339" t="n">
        <v>18</v>
      </c>
      <c r="AF339" t="n">
        <v>7</v>
      </c>
      <c r="AG339" t="n">
        <v>8</v>
      </c>
      <c r="AH339" t="n">
        <v>3</v>
      </c>
      <c r="AI339" t="n">
        <v>4</v>
      </c>
      <c r="AJ339" t="n">
        <v>8</v>
      </c>
      <c r="AK339" t="n">
        <v>9</v>
      </c>
      <c r="AL339" t="n">
        <v>2</v>
      </c>
      <c r="AM339" t="n">
        <v>2</v>
      </c>
      <c r="AN339" t="n">
        <v>0</v>
      </c>
      <c r="AO339" t="n">
        <v>0</v>
      </c>
      <c r="AP339" t="inlineStr">
        <is>
          <t>No</t>
        </is>
      </c>
      <c r="AQ339" t="inlineStr">
        <is>
          <t>Yes</t>
        </is>
      </c>
      <c r="AR339">
        <f>HYPERLINK("http://catalog.hathitrust.org/Record/008545835","HathiTrust Record")</f>
        <v/>
      </c>
      <c r="AS339">
        <f>HYPERLINK("https://creighton-primo.hosted.exlibrisgroup.com/primo-explore/search?tab=default_tab&amp;search_scope=EVERYTHING&amp;vid=01CRU&amp;lang=en_US&amp;offset=0&amp;query=any,contains,991001047779702656","Catalog Record")</f>
        <v/>
      </c>
      <c r="AT339">
        <f>HYPERLINK("http://www.worldcat.org/oclc/15630254","WorldCat Record")</f>
        <v/>
      </c>
      <c r="AU339" t="inlineStr">
        <is>
          <t>815113286:eng</t>
        </is>
      </c>
      <c r="AV339" t="inlineStr">
        <is>
          <t>15630254</t>
        </is>
      </c>
      <c r="AW339" t="inlineStr">
        <is>
          <t>991001047779702656</t>
        </is>
      </c>
      <c r="AX339" t="inlineStr">
        <is>
          <t>991001047779702656</t>
        </is>
      </c>
      <c r="AY339" t="inlineStr">
        <is>
          <t>2263097720002656</t>
        </is>
      </c>
      <c r="AZ339" t="inlineStr">
        <is>
          <t>BOOK</t>
        </is>
      </c>
      <c r="BB339" t="inlineStr">
        <is>
          <t>9780801835407</t>
        </is>
      </c>
      <c r="BC339" t="inlineStr">
        <is>
          <t>32285001717361</t>
        </is>
      </c>
      <c r="BD339" t="inlineStr">
        <is>
          <t>893334008</t>
        </is>
      </c>
    </row>
    <row r="340">
      <c r="A340" t="inlineStr">
        <is>
          <t>No</t>
        </is>
      </c>
      <c r="B340" t="inlineStr">
        <is>
          <t>NX650.C676 R56 1995</t>
        </is>
      </c>
      <c r="C340" t="inlineStr">
        <is>
          <t>0                      NX 0650000C  676                R  56          1995</t>
        </is>
      </c>
      <c r="D340" t="inlineStr">
        <is>
          <t>Color codes : modern theories of color in philosophy, painting and architecture, literature, music and psychology / Charles A. Riley II.</t>
        </is>
      </c>
      <c r="F340" t="inlineStr">
        <is>
          <t>No</t>
        </is>
      </c>
      <c r="G340" t="inlineStr">
        <is>
          <t>1</t>
        </is>
      </c>
      <c r="H340" t="inlineStr">
        <is>
          <t>No</t>
        </is>
      </c>
      <c r="I340" t="inlineStr">
        <is>
          <t>No</t>
        </is>
      </c>
      <c r="J340" t="inlineStr">
        <is>
          <t>0</t>
        </is>
      </c>
      <c r="K340" t="inlineStr">
        <is>
          <t>Riley, Charles A., II</t>
        </is>
      </c>
      <c r="L340" t="inlineStr">
        <is>
          <t>Hanover, NH : University Press of New England, c1995.</t>
        </is>
      </c>
      <c r="M340" t="inlineStr">
        <is>
          <t>1995</t>
        </is>
      </c>
      <c r="O340" t="inlineStr">
        <is>
          <t>eng</t>
        </is>
      </c>
      <c r="P340" t="inlineStr">
        <is>
          <t>nhu</t>
        </is>
      </c>
      <c r="R340" t="inlineStr">
        <is>
          <t xml:space="preserve">NX </t>
        </is>
      </c>
      <c r="S340" t="n">
        <v>18</v>
      </c>
      <c r="T340" t="n">
        <v>18</v>
      </c>
      <c r="U340" t="inlineStr">
        <is>
          <t>2005-04-15</t>
        </is>
      </c>
      <c r="V340" t="inlineStr">
        <is>
          <t>2005-04-15</t>
        </is>
      </c>
      <c r="W340" t="inlineStr">
        <is>
          <t>1995-05-01</t>
        </is>
      </c>
      <c r="X340" t="inlineStr">
        <is>
          <t>1995-05-01</t>
        </is>
      </c>
      <c r="Y340" t="n">
        <v>939</v>
      </c>
      <c r="Z340" t="n">
        <v>776</v>
      </c>
      <c r="AA340" t="n">
        <v>1470</v>
      </c>
      <c r="AB340" t="n">
        <v>8</v>
      </c>
      <c r="AC340" t="n">
        <v>9</v>
      </c>
      <c r="AD340" t="n">
        <v>32</v>
      </c>
      <c r="AE340" t="n">
        <v>44</v>
      </c>
      <c r="AF340" t="n">
        <v>10</v>
      </c>
      <c r="AG340" t="n">
        <v>19</v>
      </c>
      <c r="AH340" t="n">
        <v>7</v>
      </c>
      <c r="AI340" t="n">
        <v>9</v>
      </c>
      <c r="AJ340" t="n">
        <v>12</v>
      </c>
      <c r="AK340" t="n">
        <v>16</v>
      </c>
      <c r="AL340" t="n">
        <v>7</v>
      </c>
      <c r="AM340" t="n">
        <v>8</v>
      </c>
      <c r="AN340" t="n">
        <v>1</v>
      </c>
      <c r="AO340" t="n">
        <v>1</v>
      </c>
      <c r="AP340" t="inlineStr">
        <is>
          <t>No</t>
        </is>
      </c>
      <c r="AQ340" t="inlineStr">
        <is>
          <t>Yes</t>
        </is>
      </c>
      <c r="AR340">
        <f>HYPERLINK("http://catalog.hathitrust.org/Record/002974177","HathiTrust Record")</f>
        <v/>
      </c>
      <c r="AS340">
        <f>HYPERLINK("https://creighton-primo.hosted.exlibrisgroup.com/primo-explore/search?tab=default_tab&amp;search_scope=EVERYTHING&amp;vid=01CRU&amp;lang=en_US&amp;offset=0&amp;query=any,contains,991002317179702656","Catalog Record")</f>
        <v/>
      </c>
      <c r="AT340">
        <f>HYPERLINK("http://www.worldcat.org/oclc/30070157","WorldCat Record")</f>
        <v/>
      </c>
      <c r="AU340" t="inlineStr">
        <is>
          <t>799865595:eng</t>
        </is>
      </c>
      <c r="AV340" t="inlineStr">
        <is>
          <t>30070157</t>
        </is>
      </c>
      <c r="AW340" t="inlineStr">
        <is>
          <t>991002317179702656</t>
        </is>
      </c>
      <c r="AX340" t="inlineStr">
        <is>
          <t>991002317179702656</t>
        </is>
      </c>
      <c r="AY340" t="inlineStr">
        <is>
          <t>2260694760002656</t>
        </is>
      </c>
      <c r="AZ340" t="inlineStr">
        <is>
          <t>BOOK</t>
        </is>
      </c>
      <c r="BB340" t="inlineStr">
        <is>
          <t>9780874516715</t>
        </is>
      </c>
      <c r="BC340" t="inlineStr">
        <is>
          <t>32285002036829</t>
        </is>
      </c>
      <c r="BD340" t="inlineStr">
        <is>
          <t>893415068</t>
        </is>
      </c>
    </row>
    <row r="341">
      <c r="A341" t="inlineStr">
        <is>
          <t>No</t>
        </is>
      </c>
      <c r="B341" t="inlineStr">
        <is>
          <t>NX650.C69 B87 1989</t>
        </is>
      </c>
      <c r="C341" t="inlineStr">
        <is>
          <t>0                      NX 0650000C  69                 B  87          1989</t>
        </is>
      </c>
      <c r="D341" t="inlineStr">
        <is>
          <t>Pastoral inventions : rural life in nineteenth-century American art and culture / Sarah Burns.</t>
        </is>
      </c>
      <c r="F341" t="inlineStr">
        <is>
          <t>No</t>
        </is>
      </c>
      <c r="G341" t="inlineStr">
        <is>
          <t>1</t>
        </is>
      </c>
      <c r="H341" t="inlineStr">
        <is>
          <t>No</t>
        </is>
      </c>
      <c r="I341" t="inlineStr">
        <is>
          <t>No</t>
        </is>
      </c>
      <c r="J341" t="inlineStr">
        <is>
          <t>0</t>
        </is>
      </c>
      <c r="K341" t="inlineStr">
        <is>
          <t>Burns, Sarah.</t>
        </is>
      </c>
      <c r="L341" t="inlineStr">
        <is>
          <t>Philadelphia : Temple University Press, 1989.</t>
        </is>
      </c>
      <c r="M341" t="inlineStr">
        <is>
          <t>1989</t>
        </is>
      </c>
      <c r="O341" t="inlineStr">
        <is>
          <t>eng</t>
        </is>
      </c>
      <c r="P341" t="inlineStr">
        <is>
          <t>pau</t>
        </is>
      </c>
      <c r="Q341" t="inlineStr">
        <is>
          <t>American civilization</t>
        </is>
      </c>
      <c r="R341" t="inlineStr">
        <is>
          <t xml:space="preserve">NX </t>
        </is>
      </c>
      <c r="S341" t="n">
        <v>1</v>
      </c>
      <c r="T341" t="n">
        <v>1</v>
      </c>
      <c r="U341" t="inlineStr">
        <is>
          <t>2007-10-09</t>
        </is>
      </c>
      <c r="V341" t="inlineStr">
        <is>
          <t>2007-10-09</t>
        </is>
      </c>
      <c r="W341" t="inlineStr">
        <is>
          <t>1989-11-13</t>
        </is>
      </c>
      <c r="X341" t="inlineStr">
        <is>
          <t>1989-11-13</t>
        </is>
      </c>
      <c r="Y341" t="n">
        <v>612</v>
      </c>
      <c r="Z341" t="n">
        <v>552</v>
      </c>
      <c r="AA341" t="n">
        <v>554</v>
      </c>
      <c r="AB341" t="n">
        <v>5</v>
      </c>
      <c r="AC341" t="n">
        <v>5</v>
      </c>
      <c r="AD341" t="n">
        <v>25</v>
      </c>
      <c r="AE341" t="n">
        <v>25</v>
      </c>
      <c r="AF341" t="n">
        <v>7</v>
      </c>
      <c r="AG341" t="n">
        <v>7</v>
      </c>
      <c r="AH341" t="n">
        <v>8</v>
      </c>
      <c r="AI341" t="n">
        <v>8</v>
      </c>
      <c r="AJ341" t="n">
        <v>12</v>
      </c>
      <c r="AK341" t="n">
        <v>12</v>
      </c>
      <c r="AL341" t="n">
        <v>3</v>
      </c>
      <c r="AM341" t="n">
        <v>3</v>
      </c>
      <c r="AN341" t="n">
        <v>0</v>
      </c>
      <c r="AO341" t="n">
        <v>0</v>
      </c>
      <c r="AP341" t="inlineStr">
        <is>
          <t>No</t>
        </is>
      </c>
      <c r="AQ341" t="inlineStr">
        <is>
          <t>Yes</t>
        </is>
      </c>
      <c r="AR341">
        <f>HYPERLINK("http://catalog.hathitrust.org/Record/001831236","HathiTrust Record")</f>
        <v/>
      </c>
      <c r="AS341">
        <f>HYPERLINK("https://creighton-primo.hosted.exlibrisgroup.com/primo-explore/search?tab=default_tab&amp;search_scope=EVERYTHING&amp;vid=01CRU&amp;lang=en_US&amp;offset=0&amp;query=any,contains,991001271659702656","Catalog Record")</f>
        <v/>
      </c>
      <c r="AT341">
        <f>HYPERLINK("http://www.worldcat.org/oclc/17841535","WorldCat Record")</f>
        <v/>
      </c>
      <c r="AU341" t="inlineStr">
        <is>
          <t>347399246:eng</t>
        </is>
      </c>
      <c r="AV341" t="inlineStr">
        <is>
          <t>17841535</t>
        </is>
      </c>
      <c r="AW341" t="inlineStr">
        <is>
          <t>991001271659702656</t>
        </is>
      </c>
      <c r="AX341" t="inlineStr">
        <is>
          <t>991001271659702656</t>
        </is>
      </c>
      <c r="AY341" t="inlineStr">
        <is>
          <t>2269018480002656</t>
        </is>
      </c>
      <c r="AZ341" t="inlineStr">
        <is>
          <t>BOOK</t>
        </is>
      </c>
      <c r="BB341" t="inlineStr">
        <is>
          <t>9780877225805</t>
        </is>
      </c>
      <c r="BC341" t="inlineStr">
        <is>
          <t>32285000012822</t>
        </is>
      </c>
      <c r="BD341" t="inlineStr">
        <is>
          <t>893231857</t>
        </is>
      </c>
    </row>
    <row r="342">
      <c r="A342" t="inlineStr">
        <is>
          <t>No</t>
        </is>
      </c>
      <c r="B342" t="inlineStr">
        <is>
          <t>NX650.E85 B64 2003</t>
        </is>
      </c>
      <c r="C342" t="inlineStr">
        <is>
          <t>0                      NX 0650000E  85                 B  64          2003</t>
        </is>
      </c>
      <c r="D342" t="inlineStr">
        <is>
          <t>Orientalism and visual culture : imagining Mesopotamia in nineteenth-century Europe / Frederick N. Bohrer.</t>
        </is>
      </c>
      <c r="F342" t="inlineStr">
        <is>
          <t>No</t>
        </is>
      </c>
      <c r="G342" t="inlineStr">
        <is>
          <t>1</t>
        </is>
      </c>
      <c r="H342" t="inlineStr">
        <is>
          <t>No</t>
        </is>
      </c>
      <c r="I342" t="inlineStr">
        <is>
          <t>No</t>
        </is>
      </c>
      <c r="J342" t="inlineStr">
        <is>
          <t>0</t>
        </is>
      </c>
      <c r="K342" t="inlineStr">
        <is>
          <t>Bohrer, Frederick Nathaniel, 1956-</t>
        </is>
      </c>
      <c r="L342" t="inlineStr">
        <is>
          <t>Cambridge, UK ; New York : Cambridge University Press, 2003.</t>
        </is>
      </c>
      <c r="M342" t="inlineStr">
        <is>
          <t>2003</t>
        </is>
      </c>
      <c r="O342" t="inlineStr">
        <is>
          <t>eng</t>
        </is>
      </c>
      <c r="P342" t="inlineStr">
        <is>
          <t>enk</t>
        </is>
      </c>
      <c r="R342" t="inlineStr">
        <is>
          <t xml:space="preserve">NX </t>
        </is>
      </c>
      <c r="S342" t="n">
        <v>1</v>
      </c>
      <c r="T342" t="n">
        <v>1</v>
      </c>
      <c r="U342" t="inlineStr">
        <is>
          <t>2007-04-09</t>
        </is>
      </c>
      <c r="V342" t="inlineStr">
        <is>
          <t>2007-04-09</t>
        </is>
      </c>
      <c r="W342" t="inlineStr">
        <is>
          <t>2005-07-25</t>
        </is>
      </c>
      <c r="X342" t="inlineStr">
        <is>
          <t>2005-07-25</t>
        </is>
      </c>
      <c r="Y342" t="n">
        <v>436</v>
      </c>
      <c r="Z342" t="n">
        <v>322</v>
      </c>
      <c r="AA342" t="n">
        <v>322</v>
      </c>
      <c r="AB342" t="n">
        <v>2</v>
      </c>
      <c r="AC342" t="n">
        <v>2</v>
      </c>
      <c r="AD342" t="n">
        <v>18</v>
      </c>
      <c r="AE342" t="n">
        <v>18</v>
      </c>
      <c r="AF342" t="n">
        <v>6</v>
      </c>
      <c r="AG342" t="n">
        <v>6</v>
      </c>
      <c r="AH342" t="n">
        <v>6</v>
      </c>
      <c r="AI342" t="n">
        <v>6</v>
      </c>
      <c r="AJ342" t="n">
        <v>8</v>
      </c>
      <c r="AK342" t="n">
        <v>8</v>
      </c>
      <c r="AL342" t="n">
        <v>1</v>
      </c>
      <c r="AM342" t="n">
        <v>1</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HYPERLINK("https://creighton-primo.hosted.exlibrisgroup.com/primo-explore/search?tab=default_tab&amp;search_scope=EVERYTHING&amp;vid=01CRU&amp;lang=en_US&amp;offset=0&amp;query=any,contains,991004604509702656","Catalog Record")</f>
        <v/>
      </c>
      <c r="AT342">
        <f>HYPERLINK("http://www.worldcat.org/oclc/50339550","WorldCat Record")</f>
        <v/>
      </c>
      <c r="AU342" t="inlineStr">
        <is>
          <t>909554:eng</t>
        </is>
      </c>
      <c r="AV342" t="inlineStr">
        <is>
          <t>50339550</t>
        </is>
      </c>
      <c r="AW342" t="inlineStr">
        <is>
          <t>991004604509702656</t>
        </is>
      </c>
      <c r="AX342" t="inlineStr">
        <is>
          <t>991004604509702656</t>
        </is>
      </c>
      <c r="AY342" t="inlineStr">
        <is>
          <t>2255847620002656</t>
        </is>
      </c>
      <c r="AZ342" t="inlineStr">
        <is>
          <t>BOOK</t>
        </is>
      </c>
      <c r="BB342" t="inlineStr">
        <is>
          <t>9780521806572</t>
        </is>
      </c>
      <c r="BC342" t="inlineStr">
        <is>
          <t>32285005097703</t>
        </is>
      </c>
      <c r="BD342" t="inlineStr">
        <is>
          <t>893882660</t>
        </is>
      </c>
    </row>
    <row r="343">
      <c r="A343" t="inlineStr">
        <is>
          <t>No</t>
        </is>
      </c>
      <c r="B343" t="inlineStr">
        <is>
          <t>NX650.E85 M33 1995</t>
        </is>
      </c>
      <c r="C343" t="inlineStr">
        <is>
          <t>0                      NX 0650000E  85                 M  33          1995</t>
        </is>
      </c>
      <c r="D343" t="inlineStr">
        <is>
          <t>Orientalism : history, theory, and the arts / John M. MacKenzie.</t>
        </is>
      </c>
      <c r="F343" t="inlineStr">
        <is>
          <t>No</t>
        </is>
      </c>
      <c r="G343" t="inlineStr">
        <is>
          <t>1</t>
        </is>
      </c>
      <c r="H343" t="inlineStr">
        <is>
          <t>No</t>
        </is>
      </c>
      <c r="I343" t="inlineStr">
        <is>
          <t>No</t>
        </is>
      </c>
      <c r="J343" t="inlineStr">
        <is>
          <t>0</t>
        </is>
      </c>
      <c r="K343" t="inlineStr">
        <is>
          <t>MacKenzie, John M. (John MacDonald), 1943-</t>
        </is>
      </c>
      <c r="L343" t="inlineStr">
        <is>
          <t>Manchester ; New York : Manchester University Press ; New York : Distributed exclusively in the USA and Canada by St. Martin's Pres, c1995.</t>
        </is>
      </c>
      <c r="M343" t="inlineStr">
        <is>
          <t>1995</t>
        </is>
      </c>
      <c r="O343" t="inlineStr">
        <is>
          <t>eng</t>
        </is>
      </c>
      <c r="P343" t="inlineStr">
        <is>
          <t>enk</t>
        </is>
      </c>
      <c r="R343" t="inlineStr">
        <is>
          <t xml:space="preserve">NX </t>
        </is>
      </c>
      <c r="S343" t="n">
        <v>2</v>
      </c>
      <c r="T343" t="n">
        <v>2</v>
      </c>
      <c r="U343" t="inlineStr">
        <is>
          <t>2005-07-26</t>
        </is>
      </c>
      <c r="V343" t="inlineStr">
        <is>
          <t>2005-07-26</t>
        </is>
      </c>
      <c r="W343" t="inlineStr">
        <is>
          <t>2005-07-26</t>
        </is>
      </c>
      <c r="X343" t="inlineStr">
        <is>
          <t>2005-07-26</t>
        </is>
      </c>
      <c r="Y343" t="n">
        <v>676</v>
      </c>
      <c r="Z343" t="n">
        <v>423</v>
      </c>
      <c r="AA343" t="n">
        <v>425</v>
      </c>
      <c r="AB343" t="n">
        <v>6</v>
      </c>
      <c r="AC343" t="n">
        <v>6</v>
      </c>
      <c r="AD343" t="n">
        <v>17</v>
      </c>
      <c r="AE343" t="n">
        <v>17</v>
      </c>
      <c r="AF343" t="n">
        <v>2</v>
      </c>
      <c r="AG343" t="n">
        <v>2</v>
      </c>
      <c r="AH343" t="n">
        <v>6</v>
      </c>
      <c r="AI343" t="n">
        <v>6</v>
      </c>
      <c r="AJ343" t="n">
        <v>8</v>
      </c>
      <c r="AK343" t="n">
        <v>8</v>
      </c>
      <c r="AL343" t="n">
        <v>4</v>
      </c>
      <c r="AM343" t="n">
        <v>4</v>
      </c>
      <c r="AN343" t="n">
        <v>0</v>
      </c>
      <c r="AO343" t="n">
        <v>0</v>
      </c>
      <c r="AP343" t="inlineStr">
        <is>
          <t>No</t>
        </is>
      </c>
      <c r="AQ343" t="inlineStr">
        <is>
          <t>Yes</t>
        </is>
      </c>
      <c r="AR343">
        <f>HYPERLINK("http://catalog.hathitrust.org/Record/003014845","HathiTrust Record")</f>
        <v/>
      </c>
      <c r="AS343">
        <f>HYPERLINK("https://creighton-primo.hosted.exlibrisgroup.com/primo-explore/search?tab=default_tab&amp;search_scope=EVERYTHING&amp;vid=01CRU&amp;lang=en_US&amp;offset=0&amp;query=any,contains,991004604469702656","Catalog Record")</f>
        <v/>
      </c>
      <c r="AT343">
        <f>HYPERLINK("http://www.worldcat.org/oclc/31657169","WorldCat Record")</f>
        <v/>
      </c>
      <c r="AU343" t="inlineStr">
        <is>
          <t>24230438:eng</t>
        </is>
      </c>
      <c r="AV343" t="inlineStr">
        <is>
          <t>31657169</t>
        </is>
      </c>
      <c r="AW343" t="inlineStr">
        <is>
          <t>991004604469702656</t>
        </is>
      </c>
      <c r="AX343" t="inlineStr">
        <is>
          <t>991004604469702656</t>
        </is>
      </c>
      <c r="AY343" t="inlineStr">
        <is>
          <t>2269441540002656</t>
        </is>
      </c>
      <c r="AZ343" t="inlineStr">
        <is>
          <t>BOOK</t>
        </is>
      </c>
      <c r="BB343" t="inlineStr">
        <is>
          <t>9780719018619</t>
        </is>
      </c>
      <c r="BC343" t="inlineStr">
        <is>
          <t>32285005098131</t>
        </is>
      </c>
      <c r="BD343" t="inlineStr">
        <is>
          <t>893229538</t>
        </is>
      </c>
    </row>
    <row r="344">
      <c r="A344" t="inlineStr">
        <is>
          <t>No</t>
        </is>
      </c>
      <c r="B344" t="inlineStr">
        <is>
          <t>NX650.H6 Q43 1997</t>
        </is>
      </c>
      <c r="C344" t="inlineStr">
        <is>
          <t>0                      NX 0650000H  6                  Q  43          1997</t>
        </is>
      </c>
      <c r="D344" t="inlineStr">
        <is>
          <t>Queer representations : reading lives, reading cultures : a Center for Lesbian and Gay Studies book / edited by Martin Duberman.</t>
        </is>
      </c>
      <c r="F344" t="inlineStr">
        <is>
          <t>No</t>
        </is>
      </c>
      <c r="G344" t="inlineStr">
        <is>
          <t>1</t>
        </is>
      </c>
      <c r="H344" t="inlineStr">
        <is>
          <t>No</t>
        </is>
      </c>
      <c r="I344" t="inlineStr">
        <is>
          <t>No</t>
        </is>
      </c>
      <c r="J344" t="inlineStr">
        <is>
          <t>0</t>
        </is>
      </c>
      <c r="L344" t="inlineStr">
        <is>
          <t>New York : New York University Press, c1997.</t>
        </is>
      </c>
      <c r="M344" t="inlineStr">
        <is>
          <t>1997</t>
        </is>
      </c>
      <c r="O344" t="inlineStr">
        <is>
          <t>eng</t>
        </is>
      </c>
      <c r="P344" t="inlineStr">
        <is>
          <t>nyu</t>
        </is>
      </c>
      <c r="R344" t="inlineStr">
        <is>
          <t xml:space="preserve">NX </t>
        </is>
      </c>
      <c r="S344" t="n">
        <v>6</v>
      </c>
      <c r="T344" t="n">
        <v>6</v>
      </c>
      <c r="U344" t="inlineStr">
        <is>
          <t>2006-09-06</t>
        </is>
      </c>
      <c r="V344" t="inlineStr">
        <is>
          <t>2006-09-06</t>
        </is>
      </c>
      <c r="W344" t="inlineStr">
        <is>
          <t>1997-06-03</t>
        </is>
      </c>
      <c r="X344" t="inlineStr">
        <is>
          <t>1997-06-03</t>
        </is>
      </c>
      <c r="Y344" t="n">
        <v>349</v>
      </c>
      <c r="Z344" t="n">
        <v>279</v>
      </c>
      <c r="AA344" t="n">
        <v>282</v>
      </c>
      <c r="AB344" t="n">
        <v>2</v>
      </c>
      <c r="AC344" t="n">
        <v>2</v>
      </c>
      <c r="AD344" t="n">
        <v>11</v>
      </c>
      <c r="AE344" t="n">
        <v>11</v>
      </c>
      <c r="AF344" t="n">
        <v>2</v>
      </c>
      <c r="AG344" t="n">
        <v>2</v>
      </c>
      <c r="AH344" t="n">
        <v>3</v>
      </c>
      <c r="AI344" t="n">
        <v>3</v>
      </c>
      <c r="AJ344" t="n">
        <v>8</v>
      </c>
      <c r="AK344" t="n">
        <v>8</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HYPERLINK("https://creighton-primo.hosted.exlibrisgroup.com/primo-explore/search?tab=default_tab&amp;search_scope=EVERYTHING&amp;vid=01CRU&amp;lang=en_US&amp;offset=0&amp;query=any,contains,991002753009702656","Catalog Record")</f>
        <v/>
      </c>
      <c r="AT344">
        <f>HYPERLINK("http://www.worldcat.org/oclc/36126490","WorldCat Record")</f>
        <v/>
      </c>
      <c r="AU344" t="inlineStr">
        <is>
          <t>56134990:eng</t>
        </is>
      </c>
      <c r="AV344" t="inlineStr">
        <is>
          <t>36126490</t>
        </is>
      </c>
      <c r="AW344" t="inlineStr">
        <is>
          <t>991002753009702656</t>
        </is>
      </c>
      <c r="AX344" t="inlineStr">
        <is>
          <t>991002753009702656</t>
        </is>
      </c>
      <c r="AY344" t="inlineStr">
        <is>
          <t>2260535980002656</t>
        </is>
      </c>
      <c r="AZ344" t="inlineStr">
        <is>
          <t>BOOK</t>
        </is>
      </c>
      <c r="BB344" t="inlineStr">
        <is>
          <t>9780814718834</t>
        </is>
      </c>
      <c r="BC344" t="inlineStr">
        <is>
          <t>32285002613981</t>
        </is>
      </c>
      <c r="BD344" t="inlineStr">
        <is>
          <t>893685739</t>
        </is>
      </c>
    </row>
    <row r="345">
      <c r="A345" t="inlineStr">
        <is>
          <t>No</t>
        </is>
      </c>
      <c r="B345" t="inlineStr">
        <is>
          <t>NX650.H6 S27 1986</t>
        </is>
      </c>
      <c r="C345" t="inlineStr">
        <is>
          <t>0                      NX 0650000H  6                  S  27          1986</t>
        </is>
      </c>
      <c r="D345" t="inlineStr">
        <is>
          <t>Ganymede in the Renaissance : homosexuality in art and society / James M. Saslow.</t>
        </is>
      </c>
      <c r="F345" t="inlineStr">
        <is>
          <t>No</t>
        </is>
      </c>
      <c r="G345" t="inlineStr">
        <is>
          <t>1</t>
        </is>
      </c>
      <c r="H345" t="inlineStr">
        <is>
          <t>No</t>
        </is>
      </c>
      <c r="I345" t="inlineStr">
        <is>
          <t>No</t>
        </is>
      </c>
      <c r="J345" t="inlineStr">
        <is>
          <t>0</t>
        </is>
      </c>
      <c r="K345" t="inlineStr">
        <is>
          <t>Saslow, James M.</t>
        </is>
      </c>
      <c r="L345" t="inlineStr">
        <is>
          <t>New Haven : Yale University Press, c1986.</t>
        </is>
      </c>
      <c r="M345" t="inlineStr">
        <is>
          <t>1986</t>
        </is>
      </c>
      <c r="O345" t="inlineStr">
        <is>
          <t>eng</t>
        </is>
      </c>
      <c r="P345" t="inlineStr">
        <is>
          <t>ctu</t>
        </is>
      </c>
      <c r="R345" t="inlineStr">
        <is>
          <t xml:space="preserve">NX </t>
        </is>
      </c>
      <c r="S345" t="n">
        <v>3</v>
      </c>
      <c r="T345" t="n">
        <v>3</v>
      </c>
      <c r="U345" t="inlineStr">
        <is>
          <t>2003-10-27</t>
        </is>
      </c>
      <c r="V345" t="inlineStr">
        <is>
          <t>2003-10-27</t>
        </is>
      </c>
      <c r="W345" t="inlineStr">
        <is>
          <t>1990-10-26</t>
        </is>
      </c>
      <c r="X345" t="inlineStr">
        <is>
          <t>1990-10-26</t>
        </is>
      </c>
      <c r="Y345" t="n">
        <v>775</v>
      </c>
      <c r="Z345" t="n">
        <v>614</v>
      </c>
      <c r="AA345" t="n">
        <v>615</v>
      </c>
      <c r="AB345" t="n">
        <v>5</v>
      </c>
      <c r="AC345" t="n">
        <v>5</v>
      </c>
      <c r="AD345" t="n">
        <v>33</v>
      </c>
      <c r="AE345" t="n">
        <v>33</v>
      </c>
      <c r="AF345" t="n">
        <v>13</v>
      </c>
      <c r="AG345" t="n">
        <v>13</v>
      </c>
      <c r="AH345" t="n">
        <v>10</v>
      </c>
      <c r="AI345" t="n">
        <v>10</v>
      </c>
      <c r="AJ345" t="n">
        <v>18</v>
      </c>
      <c r="AK345" t="n">
        <v>18</v>
      </c>
      <c r="AL345" t="n">
        <v>3</v>
      </c>
      <c r="AM345" t="n">
        <v>3</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HYPERLINK("https://creighton-primo.hosted.exlibrisgroup.com/primo-explore/search?tab=default_tab&amp;search_scope=EVERYTHING&amp;vid=01CRU&amp;lang=en_US&amp;offset=0&amp;query=any,contains,991000606659702656","Catalog Record")</f>
        <v/>
      </c>
      <c r="AT345">
        <f>HYPERLINK("http://www.worldcat.org/oclc/11866964","WorldCat Record")</f>
        <v/>
      </c>
      <c r="AU345" t="inlineStr">
        <is>
          <t>836706286:eng</t>
        </is>
      </c>
      <c r="AV345" t="inlineStr">
        <is>
          <t>11866964</t>
        </is>
      </c>
      <c r="AW345" t="inlineStr">
        <is>
          <t>991000606659702656</t>
        </is>
      </c>
      <c r="AX345" t="inlineStr">
        <is>
          <t>991000606659702656</t>
        </is>
      </c>
      <c r="AY345" t="inlineStr">
        <is>
          <t>2265140080002656</t>
        </is>
      </c>
      <c r="AZ345" t="inlineStr">
        <is>
          <t>BOOK</t>
        </is>
      </c>
      <c r="BB345" t="inlineStr">
        <is>
          <t>9780300034233</t>
        </is>
      </c>
      <c r="BC345" t="inlineStr">
        <is>
          <t>32285000311844</t>
        </is>
      </c>
      <c r="BD345" t="inlineStr">
        <is>
          <t>893243416</t>
        </is>
      </c>
    </row>
    <row r="346">
      <c r="A346" t="inlineStr">
        <is>
          <t>No</t>
        </is>
      </c>
      <c r="B346" t="inlineStr">
        <is>
          <t>NX650.M29 M35 2003</t>
        </is>
      </c>
      <c r="C346" t="inlineStr">
        <is>
          <t>0                      NX 0650000M  29                 M  35          2003</t>
        </is>
      </c>
      <c r="D346" t="inlineStr">
        <is>
          <t>Husbands, wives, and lovers : marriage and its discontents in nineteenth-century France / Patricia Mainardi.</t>
        </is>
      </c>
      <c r="F346" t="inlineStr">
        <is>
          <t>No</t>
        </is>
      </c>
      <c r="G346" t="inlineStr">
        <is>
          <t>1</t>
        </is>
      </c>
      <c r="H346" t="inlineStr">
        <is>
          <t>No</t>
        </is>
      </c>
      <c r="I346" t="inlineStr">
        <is>
          <t>No</t>
        </is>
      </c>
      <c r="J346" t="inlineStr">
        <is>
          <t>0</t>
        </is>
      </c>
      <c r="K346" t="inlineStr">
        <is>
          <t>Mainardi, Patricia.</t>
        </is>
      </c>
      <c r="L346" t="inlineStr">
        <is>
          <t>New Haven : Yale University Press, c2003.</t>
        </is>
      </c>
      <c r="M346" t="inlineStr">
        <is>
          <t>2003</t>
        </is>
      </c>
      <c r="O346" t="inlineStr">
        <is>
          <t>eng</t>
        </is>
      </c>
      <c r="P346" t="inlineStr">
        <is>
          <t>ctu</t>
        </is>
      </c>
      <c r="R346" t="inlineStr">
        <is>
          <t xml:space="preserve">NX </t>
        </is>
      </c>
      <c r="S346" t="n">
        <v>2</v>
      </c>
      <c r="T346" t="n">
        <v>2</v>
      </c>
      <c r="U346" t="inlineStr">
        <is>
          <t>2008-03-25</t>
        </is>
      </c>
      <c r="V346" t="inlineStr">
        <is>
          <t>2008-03-25</t>
        </is>
      </c>
      <c r="W346" t="inlineStr">
        <is>
          <t>2006-07-24</t>
        </is>
      </c>
      <c r="X346" t="inlineStr">
        <is>
          <t>2006-07-24</t>
        </is>
      </c>
      <c r="Y346" t="n">
        <v>389</v>
      </c>
      <c r="Z346" t="n">
        <v>304</v>
      </c>
      <c r="AA346" t="n">
        <v>305</v>
      </c>
      <c r="AB346" t="n">
        <v>3</v>
      </c>
      <c r="AC346" t="n">
        <v>3</v>
      </c>
      <c r="AD346" t="n">
        <v>21</v>
      </c>
      <c r="AE346" t="n">
        <v>21</v>
      </c>
      <c r="AF346" t="n">
        <v>9</v>
      </c>
      <c r="AG346" t="n">
        <v>9</v>
      </c>
      <c r="AH346" t="n">
        <v>6</v>
      </c>
      <c r="AI346" t="n">
        <v>6</v>
      </c>
      <c r="AJ346" t="n">
        <v>9</v>
      </c>
      <c r="AK346" t="n">
        <v>9</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HYPERLINK("https://creighton-primo.hosted.exlibrisgroup.com/primo-explore/search?tab=default_tab&amp;search_scope=EVERYTHING&amp;vid=01CRU&amp;lang=en_US&amp;offset=0&amp;query=any,contains,991004849559702656","Catalog Record")</f>
        <v/>
      </c>
      <c r="AT346">
        <f>HYPERLINK("http://www.worldcat.org/oclc/51613913","WorldCat Record")</f>
        <v/>
      </c>
      <c r="AU346" t="inlineStr">
        <is>
          <t>837154340:eng</t>
        </is>
      </c>
      <c r="AV346" t="inlineStr">
        <is>
          <t>51613913</t>
        </is>
      </c>
      <c r="AW346" t="inlineStr">
        <is>
          <t>991004849559702656</t>
        </is>
      </c>
      <c r="AX346" t="inlineStr">
        <is>
          <t>991004849559702656</t>
        </is>
      </c>
      <c r="AY346" t="inlineStr">
        <is>
          <t>2272586800002656</t>
        </is>
      </c>
      <c r="AZ346" t="inlineStr">
        <is>
          <t>BOOK</t>
        </is>
      </c>
      <c r="BB346" t="inlineStr">
        <is>
          <t>9780300101041</t>
        </is>
      </c>
      <c r="BC346" t="inlineStr">
        <is>
          <t>32285005196943</t>
        </is>
      </c>
      <c r="BD346" t="inlineStr">
        <is>
          <t>893332116</t>
        </is>
      </c>
    </row>
    <row r="347">
      <c r="A347" t="inlineStr">
        <is>
          <t>No</t>
        </is>
      </c>
      <c r="B347" t="inlineStr">
        <is>
          <t>NX650.M48 B37 1986</t>
        </is>
      </c>
      <c r="C347" t="inlineStr">
        <is>
          <t>0                      NX 0650000M  48                 B  37          1986</t>
        </is>
      </c>
      <c r="D347" t="inlineStr">
        <is>
          <t>The gods made flesh : metamorphosis &amp; the pursuit of paganism / Leonard Barkan.</t>
        </is>
      </c>
      <c r="F347" t="inlineStr">
        <is>
          <t>No</t>
        </is>
      </c>
      <c r="G347" t="inlineStr">
        <is>
          <t>1</t>
        </is>
      </c>
      <c r="H347" t="inlineStr">
        <is>
          <t>No</t>
        </is>
      </c>
      <c r="I347" t="inlineStr">
        <is>
          <t>No</t>
        </is>
      </c>
      <c r="J347" t="inlineStr">
        <is>
          <t>0</t>
        </is>
      </c>
      <c r="K347" t="inlineStr">
        <is>
          <t>Barkan, Leonard.</t>
        </is>
      </c>
      <c r="L347" t="inlineStr">
        <is>
          <t>New Haven : Yale University Press, c1986.</t>
        </is>
      </c>
      <c r="M347" t="inlineStr">
        <is>
          <t>1986</t>
        </is>
      </c>
      <c r="O347" t="inlineStr">
        <is>
          <t>eng</t>
        </is>
      </c>
      <c r="P347" t="inlineStr">
        <is>
          <t>ctu</t>
        </is>
      </c>
      <c r="R347" t="inlineStr">
        <is>
          <t xml:space="preserve">NX </t>
        </is>
      </c>
      <c r="S347" t="n">
        <v>2</v>
      </c>
      <c r="T347" t="n">
        <v>2</v>
      </c>
      <c r="U347" t="inlineStr">
        <is>
          <t>2006-11-07</t>
        </is>
      </c>
      <c r="V347" t="inlineStr">
        <is>
          <t>2006-11-07</t>
        </is>
      </c>
      <c r="W347" t="inlineStr">
        <is>
          <t>1993-06-02</t>
        </is>
      </c>
      <c r="X347" t="inlineStr">
        <is>
          <t>1993-06-02</t>
        </is>
      </c>
      <c r="Y347" t="n">
        <v>793</v>
      </c>
      <c r="Z347" t="n">
        <v>616</v>
      </c>
      <c r="AA347" t="n">
        <v>617</v>
      </c>
      <c r="AB347" t="n">
        <v>5</v>
      </c>
      <c r="AC347" t="n">
        <v>5</v>
      </c>
      <c r="AD347" t="n">
        <v>32</v>
      </c>
      <c r="AE347" t="n">
        <v>32</v>
      </c>
      <c r="AF347" t="n">
        <v>11</v>
      </c>
      <c r="AG347" t="n">
        <v>11</v>
      </c>
      <c r="AH347" t="n">
        <v>10</v>
      </c>
      <c r="AI347" t="n">
        <v>10</v>
      </c>
      <c r="AJ347" t="n">
        <v>18</v>
      </c>
      <c r="AK347" t="n">
        <v>18</v>
      </c>
      <c r="AL347" t="n">
        <v>3</v>
      </c>
      <c r="AM347" t="n">
        <v>3</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HYPERLINK("https://creighton-primo.hosted.exlibrisgroup.com/primo-explore/search?tab=default_tab&amp;search_scope=EVERYTHING&amp;vid=01CRU&amp;lang=en_US&amp;offset=0&amp;query=any,contains,991000781419702656","Catalog Record")</f>
        <v/>
      </c>
      <c r="AT347">
        <f>HYPERLINK("http://www.worldcat.org/oclc/13096227","WorldCat Record")</f>
        <v/>
      </c>
      <c r="AU347" t="inlineStr">
        <is>
          <t>288343748:eng</t>
        </is>
      </c>
      <c r="AV347" t="inlineStr">
        <is>
          <t>13096227</t>
        </is>
      </c>
      <c r="AW347" t="inlineStr">
        <is>
          <t>991000781419702656</t>
        </is>
      </c>
      <c r="AX347" t="inlineStr">
        <is>
          <t>991000781419702656</t>
        </is>
      </c>
      <c r="AY347" t="inlineStr">
        <is>
          <t>2256899840002656</t>
        </is>
      </c>
      <c r="AZ347" t="inlineStr">
        <is>
          <t>BOOK</t>
        </is>
      </c>
      <c r="BB347" t="inlineStr">
        <is>
          <t>9780300035612</t>
        </is>
      </c>
      <c r="BC347" t="inlineStr">
        <is>
          <t>32285001717387</t>
        </is>
      </c>
      <c r="BD347" t="inlineStr">
        <is>
          <t>893432286</t>
        </is>
      </c>
    </row>
    <row r="348">
      <c r="A348" t="inlineStr">
        <is>
          <t>No</t>
        </is>
      </c>
      <c r="B348" t="inlineStr">
        <is>
          <t>NX650.M9 M38</t>
        </is>
      </c>
      <c r="C348" t="inlineStr">
        <is>
          <t>0                      NX 0650000M  9                  M  38</t>
        </is>
      </c>
      <c r="D348" t="inlineStr">
        <is>
          <t>Classical mythology in literature, art, and music.</t>
        </is>
      </c>
      <c r="F348" t="inlineStr">
        <is>
          <t>No</t>
        </is>
      </c>
      <c r="G348" t="inlineStr">
        <is>
          <t>1</t>
        </is>
      </c>
      <c r="H348" t="inlineStr">
        <is>
          <t>No</t>
        </is>
      </c>
      <c r="I348" t="inlineStr">
        <is>
          <t>No</t>
        </is>
      </c>
      <c r="J348" t="inlineStr">
        <is>
          <t>0</t>
        </is>
      </c>
      <c r="K348" t="inlineStr">
        <is>
          <t>Mayerson, Philip.</t>
        </is>
      </c>
      <c r="L348" t="inlineStr">
        <is>
          <t>Waltham, Mass., Xerox College Pub. [1971]</t>
        </is>
      </c>
      <c r="M348" t="inlineStr">
        <is>
          <t>1971</t>
        </is>
      </c>
      <c r="O348" t="inlineStr">
        <is>
          <t>eng</t>
        </is>
      </c>
      <c r="P348" t="inlineStr">
        <is>
          <t>mau</t>
        </is>
      </c>
      <c r="R348" t="inlineStr">
        <is>
          <t xml:space="preserve">NX </t>
        </is>
      </c>
      <c r="S348" t="n">
        <v>12</v>
      </c>
      <c r="T348" t="n">
        <v>12</v>
      </c>
      <c r="U348" t="inlineStr">
        <is>
          <t>2003-05-02</t>
        </is>
      </c>
      <c r="V348" t="inlineStr">
        <is>
          <t>2003-05-02</t>
        </is>
      </c>
      <c r="W348" t="inlineStr">
        <is>
          <t>1997-08-08</t>
        </is>
      </c>
      <c r="X348" t="inlineStr">
        <is>
          <t>1997-08-08</t>
        </is>
      </c>
      <c r="Y348" t="n">
        <v>490</v>
      </c>
      <c r="Z348" t="n">
        <v>444</v>
      </c>
      <c r="AA348" t="n">
        <v>610</v>
      </c>
      <c r="AB348" t="n">
        <v>2</v>
      </c>
      <c r="AC348" t="n">
        <v>2</v>
      </c>
      <c r="AD348" t="n">
        <v>20</v>
      </c>
      <c r="AE348" t="n">
        <v>26</v>
      </c>
      <c r="AF348" t="n">
        <v>7</v>
      </c>
      <c r="AG348" t="n">
        <v>10</v>
      </c>
      <c r="AH348" t="n">
        <v>6</v>
      </c>
      <c r="AI348" t="n">
        <v>7</v>
      </c>
      <c r="AJ348" t="n">
        <v>12</v>
      </c>
      <c r="AK348" t="n">
        <v>15</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HYPERLINK("https://creighton-primo.hosted.exlibrisgroup.com/primo-explore/search?tab=default_tab&amp;search_scope=EVERYTHING&amp;vid=01CRU&amp;lang=en_US&amp;offset=0&amp;query=any,contains,991000830419702656","Catalog Record")</f>
        <v/>
      </c>
      <c r="AT348">
        <f>HYPERLINK("http://www.worldcat.org/oclc/147611","WorldCat Record")</f>
        <v/>
      </c>
      <c r="AU348" t="inlineStr">
        <is>
          <t>795374:eng</t>
        </is>
      </c>
      <c r="AV348" t="inlineStr">
        <is>
          <t>147611</t>
        </is>
      </c>
      <c r="AW348" t="inlineStr">
        <is>
          <t>991000830419702656</t>
        </is>
      </c>
      <c r="AX348" t="inlineStr">
        <is>
          <t>991000830419702656</t>
        </is>
      </c>
      <c r="AY348" t="inlineStr">
        <is>
          <t>2258931330002656</t>
        </is>
      </c>
      <c r="AZ348" t="inlineStr">
        <is>
          <t>BOOK</t>
        </is>
      </c>
      <c r="BC348" t="inlineStr">
        <is>
          <t>32285003048799</t>
        </is>
      </c>
      <c r="BD348" t="inlineStr">
        <is>
          <t>893690076</t>
        </is>
      </c>
    </row>
    <row r="349">
      <c r="A349" t="inlineStr">
        <is>
          <t>No</t>
        </is>
      </c>
      <c r="B349" t="inlineStr">
        <is>
          <t>NX650.P65 P37</t>
        </is>
      </c>
      <c r="C349" t="inlineStr">
        <is>
          <t>0                      NX 0650000P  65                 P  37</t>
        </is>
      </c>
      <c r="D349" t="inlineStr">
        <is>
          <t>Patterns of symmetry / edited by Marjorie Senechal and George Fleck.</t>
        </is>
      </c>
      <c r="F349" t="inlineStr">
        <is>
          <t>No</t>
        </is>
      </c>
      <c r="G349" t="inlineStr">
        <is>
          <t>1</t>
        </is>
      </c>
      <c r="H349" t="inlineStr">
        <is>
          <t>No</t>
        </is>
      </c>
      <c r="I349" t="inlineStr">
        <is>
          <t>No</t>
        </is>
      </c>
      <c r="J349" t="inlineStr">
        <is>
          <t>0</t>
        </is>
      </c>
      <c r="L349" t="inlineStr">
        <is>
          <t>Amherst : University of Massachusetts Press, 1977.</t>
        </is>
      </c>
      <c r="M349" t="inlineStr">
        <is>
          <t>1977</t>
        </is>
      </c>
      <c r="O349" t="inlineStr">
        <is>
          <t>eng</t>
        </is>
      </c>
      <c r="P349" t="inlineStr">
        <is>
          <t>mau</t>
        </is>
      </c>
      <c r="R349" t="inlineStr">
        <is>
          <t xml:space="preserve">NX </t>
        </is>
      </c>
      <c r="S349" t="n">
        <v>1</v>
      </c>
      <c r="T349" t="n">
        <v>1</v>
      </c>
      <c r="U349" t="inlineStr">
        <is>
          <t>2010-02-16</t>
        </is>
      </c>
      <c r="V349" t="inlineStr">
        <is>
          <t>2010-02-16</t>
        </is>
      </c>
      <c r="W349" t="inlineStr">
        <is>
          <t>1997-08-08</t>
        </is>
      </c>
      <c r="X349" t="inlineStr">
        <is>
          <t>1997-08-08</t>
        </is>
      </c>
      <c r="Y349" t="n">
        <v>585</v>
      </c>
      <c r="Z349" t="n">
        <v>516</v>
      </c>
      <c r="AA349" t="n">
        <v>524</v>
      </c>
      <c r="AB349" t="n">
        <v>4</v>
      </c>
      <c r="AC349" t="n">
        <v>4</v>
      </c>
      <c r="AD349" t="n">
        <v>27</v>
      </c>
      <c r="AE349" t="n">
        <v>27</v>
      </c>
      <c r="AF349" t="n">
        <v>12</v>
      </c>
      <c r="AG349" t="n">
        <v>12</v>
      </c>
      <c r="AH349" t="n">
        <v>6</v>
      </c>
      <c r="AI349" t="n">
        <v>6</v>
      </c>
      <c r="AJ349" t="n">
        <v>12</v>
      </c>
      <c r="AK349" t="n">
        <v>12</v>
      </c>
      <c r="AL349" t="n">
        <v>3</v>
      </c>
      <c r="AM349" t="n">
        <v>3</v>
      </c>
      <c r="AN349" t="n">
        <v>0</v>
      </c>
      <c r="AO349" t="n">
        <v>0</v>
      </c>
      <c r="AP349" t="inlineStr">
        <is>
          <t>No</t>
        </is>
      </c>
      <c r="AQ349" t="inlineStr">
        <is>
          <t>Yes</t>
        </is>
      </c>
      <c r="AR349">
        <f>HYPERLINK("http://catalog.hathitrust.org/Record/000741086","HathiTrust Record")</f>
        <v/>
      </c>
      <c r="AS349">
        <f>HYPERLINK("https://creighton-primo.hosted.exlibrisgroup.com/primo-explore/search?tab=default_tab&amp;search_scope=EVERYTHING&amp;vid=01CRU&amp;lang=en_US&amp;offset=0&amp;query=any,contains,991004198819702656","Catalog Record")</f>
        <v/>
      </c>
      <c r="AT349">
        <f>HYPERLINK("http://www.worldcat.org/oclc/2646249","WorldCat Record")</f>
        <v/>
      </c>
      <c r="AU349" t="inlineStr">
        <is>
          <t>424125909:eng</t>
        </is>
      </c>
      <c r="AV349" t="inlineStr">
        <is>
          <t>2646249</t>
        </is>
      </c>
      <c r="AW349" t="inlineStr">
        <is>
          <t>991004198819702656</t>
        </is>
      </c>
      <c r="AX349" t="inlineStr">
        <is>
          <t>991004198819702656</t>
        </is>
      </c>
      <c r="AY349" t="inlineStr">
        <is>
          <t>2254905240002656</t>
        </is>
      </c>
      <c r="AZ349" t="inlineStr">
        <is>
          <t>BOOK</t>
        </is>
      </c>
      <c r="BB349" t="inlineStr">
        <is>
          <t>9780870232329</t>
        </is>
      </c>
      <c r="BC349" t="inlineStr">
        <is>
          <t>32285003048807</t>
        </is>
      </c>
      <c r="BD349" t="inlineStr">
        <is>
          <t>893423499</t>
        </is>
      </c>
    </row>
    <row r="350">
      <c r="A350" t="inlineStr">
        <is>
          <t>No</t>
        </is>
      </c>
      <c r="B350" t="inlineStr">
        <is>
          <t>NX650.S8 M32</t>
        </is>
      </c>
      <c r="C350" t="inlineStr">
        <is>
          <t>0                      NX 0650000S  8                  M  32</t>
        </is>
      </c>
      <c r="D350" t="inlineStr">
        <is>
          <t>Through the vanishing point; space in poetry and painting [by] Marshall McLuhan and Harley Parker.</t>
        </is>
      </c>
      <c r="F350" t="inlineStr">
        <is>
          <t>No</t>
        </is>
      </c>
      <c r="G350" t="inlineStr">
        <is>
          <t>1</t>
        </is>
      </c>
      <c r="H350" t="inlineStr">
        <is>
          <t>No</t>
        </is>
      </c>
      <c r="I350" t="inlineStr">
        <is>
          <t>No</t>
        </is>
      </c>
      <c r="J350" t="inlineStr">
        <is>
          <t>0</t>
        </is>
      </c>
      <c r="K350" t="inlineStr">
        <is>
          <t>McLuhan, Marshall, 1911-1980.</t>
        </is>
      </c>
      <c r="L350" t="inlineStr">
        <is>
          <t>New York, Harper &amp; Row [1968]</t>
        </is>
      </c>
      <c r="M350" t="inlineStr">
        <is>
          <t>1968</t>
        </is>
      </c>
      <c r="N350" t="inlineStr">
        <is>
          <t>[1st ed.]</t>
        </is>
      </c>
      <c r="O350" t="inlineStr">
        <is>
          <t>eng</t>
        </is>
      </c>
      <c r="P350" t="inlineStr">
        <is>
          <t>nyu</t>
        </is>
      </c>
      <c r="Q350" t="inlineStr">
        <is>
          <t>World perspectives ; v. 37</t>
        </is>
      </c>
      <c r="R350" t="inlineStr">
        <is>
          <t xml:space="preserve">NX </t>
        </is>
      </c>
      <c r="S350" t="n">
        <v>1</v>
      </c>
      <c r="T350" t="n">
        <v>1</v>
      </c>
      <c r="U350" t="inlineStr">
        <is>
          <t>2010-05-18</t>
        </is>
      </c>
      <c r="V350" t="inlineStr">
        <is>
          <t>2010-05-18</t>
        </is>
      </c>
      <c r="W350" t="inlineStr">
        <is>
          <t>1997-08-08</t>
        </is>
      </c>
      <c r="X350" t="inlineStr">
        <is>
          <t>1997-08-08</t>
        </is>
      </c>
      <c r="Y350" t="n">
        <v>1047</v>
      </c>
      <c r="Z350" t="n">
        <v>914</v>
      </c>
      <c r="AA350" t="n">
        <v>941</v>
      </c>
      <c r="AB350" t="n">
        <v>2</v>
      </c>
      <c r="AC350" t="n">
        <v>2</v>
      </c>
      <c r="AD350" t="n">
        <v>33</v>
      </c>
      <c r="AE350" t="n">
        <v>33</v>
      </c>
      <c r="AF350" t="n">
        <v>15</v>
      </c>
      <c r="AG350" t="n">
        <v>15</v>
      </c>
      <c r="AH350" t="n">
        <v>10</v>
      </c>
      <c r="AI350" t="n">
        <v>10</v>
      </c>
      <c r="AJ350" t="n">
        <v>17</v>
      </c>
      <c r="AK350" t="n">
        <v>17</v>
      </c>
      <c r="AL350" t="n">
        <v>1</v>
      </c>
      <c r="AM350" t="n">
        <v>1</v>
      </c>
      <c r="AN350" t="n">
        <v>0</v>
      </c>
      <c r="AO350" t="n">
        <v>0</v>
      </c>
      <c r="AP350" t="inlineStr">
        <is>
          <t>No</t>
        </is>
      </c>
      <c r="AQ350" t="inlineStr">
        <is>
          <t>Yes</t>
        </is>
      </c>
      <c r="AR350">
        <f>HYPERLINK("http://catalog.hathitrust.org/Record/001473011","HathiTrust Record")</f>
        <v/>
      </c>
      <c r="AS350">
        <f>HYPERLINK("https://creighton-primo.hosted.exlibrisgroup.com/primo-explore/search?tab=default_tab&amp;search_scope=EVERYTHING&amp;vid=01CRU&amp;lang=en_US&amp;offset=0&amp;query=any,contains,991002777699702656","Catalog Record")</f>
        <v/>
      </c>
      <c r="AT350">
        <f>HYPERLINK("http://www.worldcat.org/oclc/439215","WorldCat Record")</f>
        <v/>
      </c>
      <c r="AU350" t="inlineStr">
        <is>
          <t>52364910:eng</t>
        </is>
      </c>
      <c r="AV350" t="inlineStr">
        <is>
          <t>439215</t>
        </is>
      </c>
      <c r="AW350" t="inlineStr">
        <is>
          <t>991002777699702656</t>
        </is>
      </c>
      <c r="AX350" t="inlineStr">
        <is>
          <t>991002777699702656</t>
        </is>
      </c>
      <c r="AY350" t="inlineStr">
        <is>
          <t>2266612240002656</t>
        </is>
      </c>
      <c r="AZ350" t="inlineStr">
        <is>
          <t>BOOK</t>
        </is>
      </c>
      <c r="BC350" t="inlineStr">
        <is>
          <t>32285003048823</t>
        </is>
      </c>
      <c r="BD350" t="inlineStr">
        <is>
          <t>893440510</t>
        </is>
      </c>
    </row>
    <row r="351">
      <c r="A351" t="inlineStr">
        <is>
          <t>No</t>
        </is>
      </c>
      <c r="B351" t="inlineStr">
        <is>
          <t>NX650.S83 W66 2003</t>
        </is>
      </c>
      <c r="C351" t="inlineStr">
        <is>
          <t>0                      NX 0650000S  83                 W  66          2003</t>
        </is>
      </c>
      <c r="D351" t="inlineStr">
        <is>
          <t>Sport as symbol : images of the athlete in art, literature and song / Mari Womack.</t>
        </is>
      </c>
      <c r="F351" t="inlineStr">
        <is>
          <t>No</t>
        </is>
      </c>
      <c r="G351" t="inlineStr">
        <is>
          <t>1</t>
        </is>
      </c>
      <c r="H351" t="inlineStr">
        <is>
          <t>No</t>
        </is>
      </c>
      <c r="I351" t="inlineStr">
        <is>
          <t>No</t>
        </is>
      </c>
      <c r="J351" t="inlineStr">
        <is>
          <t>0</t>
        </is>
      </c>
      <c r="K351" t="inlineStr">
        <is>
          <t>Womack, Mari.</t>
        </is>
      </c>
      <c r="L351" t="inlineStr">
        <is>
          <t>Jefferson, N.C. : McFarland &amp; Co., c2003.</t>
        </is>
      </c>
      <c r="M351" t="inlineStr">
        <is>
          <t>2003</t>
        </is>
      </c>
      <c r="O351" t="inlineStr">
        <is>
          <t>eng</t>
        </is>
      </c>
      <c r="P351" t="inlineStr">
        <is>
          <t>ncu</t>
        </is>
      </c>
      <c r="R351" t="inlineStr">
        <is>
          <t xml:space="preserve">NX </t>
        </is>
      </c>
      <c r="S351" t="n">
        <v>2</v>
      </c>
      <c r="T351" t="n">
        <v>2</v>
      </c>
      <c r="U351" t="inlineStr">
        <is>
          <t>2005-05-09</t>
        </is>
      </c>
      <c r="V351" t="inlineStr">
        <is>
          <t>2005-05-09</t>
        </is>
      </c>
      <c r="W351" t="inlineStr">
        <is>
          <t>2005-05-09</t>
        </is>
      </c>
      <c r="X351" t="inlineStr">
        <is>
          <t>2005-05-09</t>
        </is>
      </c>
      <c r="Y351" t="n">
        <v>537</v>
      </c>
      <c r="Z351" t="n">
        <v>479</v>
      </c>
      <c r="AA351" t="n">
        <v>482</v>
      </c>
      <c r="AB351" t="n">
        <v>3</v>
      </c>
      <c r="AC351" t="n">
        <v>3</v>
      </c>
      <c r="AD351" t="n">
        <v>23</v>
      </c>
      <c r="AE351" t="n">
        <v>23</v>
      </c>
      <c r="AF351" t="n">
        <v>13</v>
      </c>
      <c r="AG351" t="n">
        <v>13</v>
      </c>
      <c r="AH351" t="n">
        <v>3</v>
      </c>
      <c r="AI351" t="n">
        <v>3</v>
      </c>
      <c r="AJ351" t="n">
        <v>10</v>
      </c>
      <c r="AK351" t="n">
        <v>10</v>
      </c>
      <c r="AL351" t="n">
        <v>2</v>
      </c>
      <c r="AM351" t="n">
        <v>2</v>
      </c>
      <c r="AN351" t="n">
        <v>0</v>
      </c>
      <c r="AO351" t="n">
        <v>0</v>
      </c>
      <c r="AP351" t="inlineStr">
        <is>
          <t>No</t>
        </is>
      </c>
      <c r="AQ351" t="inlineStr">
        <is>
          <t>Yes</t>
        </is>
      </c>
      <c r="AR351">
        <f>HYPERLINK("http://catalog.hathitrust.org/Record/004350152","HathiTrust Record")</f>
        <v/>
      </c>
      <c r="AS351">
        <f>HYPERLINK("https://creighton-primo.hosted.exlibrisgroup.com/primo-explore/search?tab=default_tab&amp;search_scope=EVERYTHING&amp;vid=01CRU&amp;lang=en_US&amp;offset=0&amp;query=any,contains,991004541189702656","Catalog Record")</f>
        <v/>
      </c>
      <c r="AT351">
        <f>HYPERLINK("http://www.worldcat.org/oclc/51914256","WorldCat Record")</f>
        <v/>
      </c>
      <c r="AU351" t="inlineStr">
        <is>
          <t>838127241:eng</t>
        </is>
      </c>
      <c r="AV351" t="inlineStr">
        <is>
          <t>51914256</t>
        </is>
      </c>
      <c r="AW351" t="inlineStr">
        <is>
          <t>991004541189702656</t>
        </is>
      </c>
      <c r="AX351" t="inlineStr">
        <is>
          <t>991004541189702656</t>
        </is>
      </c>
      <c r="AY351" t="inlineStr">
        <is>
          <t>2263044080002656</t>
        </is>
      </c>
      <c r="AZ351" t="inlineStr">
        <is>
          <t>BOOK</t>
        </is>
      </c>
      <c r="BB351" t="inlineStr">
        <is>
          <t>9780786415793</t>
        </is>
      </c>
      <c r="BC351" t="inlineStr">
        <is>
          <t>32285005036305</t>
        </is>
      </c>
      <c r="BD351" t="inlineStr">
        <is>
          <t>893411664</t>
        </is>
      </c>
    </row>
    <row r="352">
      <c r="A352" t="inlineStr">
        <is>
          <t>No</t>
        </is>
      </c>
      <c r="B352" t="inlineStr">
        <is>
          <t>NX650.T45 N67 1979</t>
        </is>
      </c>
      <c r="C352" t="inlineStr">
        <is>
          <t>0                      NX 0650000T  45                 N  67          1979</t>
        </is>
      </c>
      <c r="D352" t="inlineStr">
        <is>
          <t>From myth to icon : reflections of Greek ethical doctrine in literature and art / Helen F. North.</t>
        </is>
      </c>
      <c r="F352" t="inlineStr">
        <is>
          <t>No</t>
        </is>
      </c>
      <c r="G352" t="inlineStr">
        <is>
          <t>1</t>
        </is>
      </c>
      <c r="H352" t="inlineStr">
        <is>
          <t>No</t>
        </is>
      </c>
      <c r="I352" t="inlineStr">
        <is>
          <t>No</t>
        </is>
      </c>
      <c r="J352" t="inlineStr">
        <is>
          <t>0</t>
        </is>
      </c>
      <c r="K352" t="inlineStr">
        <is>
          <t>North, Helen F. (Helen Florence), 1921-2012.</t>
        </is>
      </c>
      <c r="L352" t="inlineStr">
        <is>
          <t>Ithaca, N.Y. : Cornell University Press, 1979.</t>
        </is>
      </c>
      <c r="M352" t="inlineStr">
        <is>
          <t>1979</t>
        </is>
      </c>
      <c r="O352" t="inlineStr">
        <is>
          <t>eng</t>
        </is>
      </c>
      <c r="P352" t="inlineStr">
        <is>
          <t>nyu</t>
        </is>
      </c>
      <c r="Q352" t="inlineStr">
        <is>
          <t>Cornell studies in classical philology ; v. 40</t>
        </is>
      </c>
      <c r="R352" t="inlineStr">
        <is>
          <t xml:space="preserve">NX </t>
        </is>
      </c>
      <c r="S352" t="n">
        <v>7</v>
      </c>
      <c r="T352" t="n">
        <v>7</v>
      </c>
      <c r="U352" t="inlineStr">
        <is>
          <t>2004-12-03</t>
        </is>
      </c>
      <c r="V352" t="inlineStr">
        <is>
          <t>2004-12-03</t>
        </is>
      </c>
      <c r="W352" t="inlineStr">
        <is>
          <t>1993-06-02</t>
        </is>
      </c>
      <c r="X352" t="inlineStr">
        <is>
          <t>1993-06-02</t>
        </is>
      </c>
      <c r="Y352" t="n">
        <v>485</v>
      </c>
      <c r="Z352" t="n">
        <v>378</v>
      </c>
      <c r="AA352" t="n">
        <v>546</v>
      </c>
      <c r="AB352" t="n">
        <v>3</v>
      </c>
      <c r="AC352" t="n">
        <v>3</v>
      </c>
      <c r="AD352" t="n">
        <v>23</v>
      </c>
      <c r="AE352" t="n">
        <v>30</v>
      </c>
      <c r="AF352" t="n">
        <v>7</v>
      </c>
      <c r="AG352" t="n">
        <v>11</v>
      </c>
      <c r="AH352" t="n">
        <v>7</v>
      </c>
      <c r="AI352" t="n">
        <v>10</v>
      </c>
      <c r="AJ352" t="n">
        <v>15</v>
      </c>
      <c r="AK352" t="n">
        <v>17</v>
      </c>
      <c r="AL352" t="n">
        <v>2</v>
      </c>
      <c r="AM352" t="n">
        <v>2</v>
      </c>
      <c r="AN352" t="n">
        <v>0</v>
      </c>
      <c r="AO352" t="n">
        <v>0</v>
      </c>
      <c r="AP352" t="inlineStr">
        <is>
          <t>No</t>
        </is>
      </c>
      <c r="AQ352" t="inlineStr">
        <is>
          <t>Yes</t>
        </is>
      </c>
      <c r="AR352">
        <f>HYPERLINK("http://catalog.hathitrust.org/Record/000303473","HathiTrust Record")</f>
        <v/>
      </c>
      <c r="AS352">
        <f>HYPERLINK("https://creighton-primo.hosted.exlibrisgroup.com/primo-explore/search?tab=default_tab&amp;search_scope=EVERYTHING&amp;vid=01CRU&amp;lang=en_US&amp;offset=0&amp;query=any,contains,991004778469702656","Catalog Record")</f>
        <v/>
      </c>
      <c r="AT352">
        <f>HYPERLINK("http://www.worldcat.org/oclc/5101878","WorldCat Record")</f>
        <v/>
      </c>
      <c r="AU352" t="inlineStr">
        <is>
          <t>118234230:eng</t>
        </is>
      </c>
      <c r="AV352" t="inlineStr">
        <is>
          <t>5101878</t>
        </is>
      </c>
      <c r="AW352" t="inlineStr">
        <is>
          <t>991004778469702656</t>
        </is>
      </c>
      <c r="AX352" t="inlineStr">
        <is>
          <t>991004778469702656</t>
        </is>
      </c>
      <c r="AY352" t="inlineStr">
        <is>
          <t>2259025490002656</t>
        </is>
      </c>
      <c r="AZ352" t="inlineStr">
        <is>
          <t>BOOK</t>
        </is>
      </c>
      <c r="BB352" t="inlineStr">
        <is>
          <t>9780801411359</t>
        </is>
      </c>
      <c r="BC352" t="inlineStr">
        <is>
          <t>32285001717437</t>
        </is>
      </c>
      <c r="BD352" t="inlineStr">
        <is>
          <t>893247970</t>
        </is>
      </c>
    </row>
    <row r="353">
      <c r="A353" t="inlineStr">
        <is>
          <t>No</t>
        </is>
      </c>
      <c r="B353" t="inlineStr">
        <is>
          <t>NX652.E7 E76 1991</t>
        </is>
      </c>
      <c r="C353" t="inlineStr">
        <is>
          <t>0                      NX 0652000E  7                  E  76          1991</t>
        </is>
      </c>
      <c r="D353" t="inlineStr">
        <is>
          <t>Eroticism and the body politic / edited by Lynn Hunt.</t>
        </is>
      </c>
      <c r="F353" t="inlineStr">
        <is>
          <t>No</t>
        </is>
      </c>
      <c r="G353" t="inlineStr">
        <is>
          <t>1</t>
        </is>
      </c>
      <c r="H353" t="inlineStr">
        <is>
          <t>No</t>
        </is>
      </c>
      <c r="I353" t="inlineStr">
        <is>
          <t>No</t>
        </is>
      </c>
      <c r="J353" t="inlineStr">
        <is>
          <t>0</t>
        </is>
      </c>
      <c r="L353" t="inlineStr">
        <is>
          <t>Baltimore : Johns Hopkins University Press, c1991.</t>
        </is>
      </c>
      <c r="M353" t="inlineStr">
        <is>
          <t>1991</t>
        </is>
      </c>
      <c r="O353" t="inlineStr">
        <is>
          <t>eng</t>
        </is>
      </c>
      <c r="P353" t="inlineStr">
        <is>
          <t>mdu</t>
        </is>
      </c>
      <c r="Q353" t="inlineStr">
        <is>
          <t>Parallax : re-visions of culture and society</t>
        </is>
      </c>
      <c r="R353" t="inlineStr">
        <is>
          <t xml:space="preserve">NX </t>
        </is>
      </c>
      <c r="S353" t="n">
        <v>4</v>
      </c>
      <c r="T353" t="n">
        <v>4</v>
      </c>
      <c r="U353" t="inlineStr">
        <is>
          <t>1996-02-10</t>
        </is>
      </c>
      <c r="V353" t="inlineStr">
        <is>
          <t>1996-02-10</t>
        </is>
      </c>
      <c r="W353" t="inlineStr">
        <is>
          <t>1991-07-10</t>
        </is>
      </c>
      <c r="X353" t="inlineStr">
        <is>
          <t>1991-07-10</t>
        </is>
      </c>
      <c r="Y353" t="n">
        <v>633</v>
      </c>
      <c r="Z353" t="n">
        <v>486</v>
      </c>
      <c r="AA353" t="n">
        <v>639</v>
      </c>
      <c r="AB353" t="n">
        <v>6</v>
      </c>
      <c r="AC353" t="n">
        <v>6</v>
      </c>
      <c r="AD353" t="n">
        <v>29</v>
      </c>
      <c r="AE353" t="n">
        <v>38</v>
      </c>
      <c r="AF353" t="n">
        <v>9</v>
      </c>
      <c r="AG353" t="n">
        <v>14</v>
      </c>
      <c r="AH353" t="n">
        <v>9</v>
      </c>
      <c r="AI353" t="n">
        <v>10</v>
      </c>
      <c r="AJ353" t="n">
        <v>13</v>
      </c>
      <c r="AK353" t="n">
        <v>18</v>
      </c>
      <c r="AL353" t="n">
        <v>5</v>
      </c>
      <c r="AM353" t="n">
        <v>5</v>
      </c>
      <c r="AN353" t="n">
        <v>0</v>
      </c>
      <c r="AO353" t="n">
        <v>0</v>
      </c>
      <c r="AP353" t="inlineStr">
        <is>
          <t>No</t>
        </is>
      </c>
      <c r="AQ353" t="inlineStr">
        <is>
          <t>Yes</t>
        </is>
      </c>
      <c r="AR353">
        <f>HYPERLINK("http://catalog.hathitrust.org/Record/002458050","HathiTrust Record")</f>
        <v/>
      </c>
      <c r="AS353">
        <f>HYPERLINK("https://creighton-primo.hosted.exlibrisgroup.com/primo-explore/search?tab=default_tab&amp;search_scope=EVERYTHING&amp;vid=01CRU&amp;lang=en_US&amp;offset=0&amp;query=any,contains,991001701039702656","Catalog Record")</f>
        <v/>
      </c>
      <c r="AT353">
        <f>HYPERLINK("http://www.worldcat.org/oclc/21523640","WorldCat Record")</f>
        <v/>
      </c>
      <c r="AU353" t="inlineStr">
        <is>
          <t>356300148:eng</t>
        </is>
      </c>
      <c r="AV353" t="inlineStr">
        <is>
          <t>21523640</t>
        </is>
      </c>
      <c r="AW353" t="inlineStr">
        <is>
          <t>991001701039702656</t>
        </is>
      </c>
      <c r="AX353" t="inlineStr">
        <is>
          <t>991001701039702656</t>
        </is>
      </c>
      <c r="AY353" t="inlineStr">
        <is>
          <t>2259125940002656</t>
        </is>
      </c>
      <c r="AZ353" t="inlineStr">
        <is>
          <t>BOOK</t>
        </is>
      </c>
      <c r="BB353" t="inlineStr">
        <is>
          <t>9780801840265</t>
        </is>
      </c>
      <c r="BC353" t="inlineStr">
        <is>
          <t>32285000660729</t>
        </is>
      </c>
      <c r="BD353" t="inlineStr">
        <is>
          <t>893785323</t>
        </is>
      </c>
    </row>
    <row r="354">
      <c r="A354" t="inlineStr">
        <is>
          <t>No</t>
        </is>
      </c>
      <c r="B354" t="inlineStr">
        <is>
          <t>NX652.M27 M34</t>
        </is>
      </c>
      <c r="C354" t="inlineStr">
        <is>
          <t>0                      NX 0652000M  27                 M  34</t>
        </is>
      </c>
      <c r="D354" t="inlineStr">
        <is>
          <t>Venus in sackcloth : the Magdalen's origins and metamorphoses / by Marjorie M. Malvern.</t>
        </is>
      </c>
      <c r="F354" t="inlineStr">
        <is>
          <t>No</t>
        </is>
      </c>
      <c r="G354" t="inlineStr">
        <is>
          <t>1</t>
        </is>
      </c>
      <c r="H354" t="inlineStr">
        <is>
          <t>No</t>
        </is>
      </c>
      <c r="I354" t="inlineStr">
        <is>
          <t>No</t>
        </is>
      </c>
      <c r="J354" t="inlineStr">
        <is>
          <t>0</t>
        </is>
      </c>
      <c r="K354" t="inlineStr">
        <is>
          <t>Malvern, Marjorie M.</t>
        </is>
      </c>
      <c r="L354" t="inlineStr">
        <is>
          <t>Carbondale : Southern Illinois University Press, [1975]</t>
        </is>
      </c>
      <c r="M354" t="inlineStr">
        <is>
          <t>1975</t>
        </is>
      </c>
      <c r="O354" t="inlineStr">
        <is>
          <t>eng</t>
        </is>
      </c>
      <c r="P354" t="inlineStr">
        <is>
          <t>ilu</t>
        </is>
      </c>
      <c r="R354" t="inlineStr">
        <is>
          <t xml:space="preserve">NX </t>
        </is>
      </c>
      <c r="S354" t="n">
        <v>6</v>
      </c>
      <c r="T354" t="n">
        <v>6</v>
      </c>
      <c r="U354" t="inlineStr">
        <is>
          <t>2004-10-02</t>
        </is>
      </c>
      <c r="V354" t="inlineStr">
        <is>
          <t>2004-10-02</t>
        </is>
      </c>
      <c r="W354" t="inlineStr">
        <is>
          <t>1997-08-08</t>
        </is>
      </c>
      <c r="X354" t="inlineStr">
        <is>
          <t>1997-08-08</t>
        </is>
      </c>
      <c r="Y354" t="n">
        <v>395</v>
      </c>
      <c r="Z354" t="n">
        <v>329</v>
      </c>
      <c r="AA354" t="n">
        <v>331</v>
      </c>
      <c r="AB354" t="n">
        <v>3</v>
      </c>
      <c r="AC354" t="n">
        <v>3</v>
      </c>
      <c r="AD354" t="n">
        <v>14</v>
      </c>
      <c r="AE354" t="n">
        <v>14</v>
      </c>
      <c r="AF354" t="n">
        <v>3</v>
      </c>
      <c r="AG354" t="n">
        <v>3</v>
      </c>
      <c r="AH354" t="n">
        <v>5</v>
      </c>
      <c r="AI354" t="n">
        <v>5</v>
      </c>
      <c r="AJ354" t="n">
        <v>7</v>
      </c>
      <c r="AK354" t="n">
        <v>7</v>
      </c>
      <c r="AL354" t="n">
        <v>2</v>
      </c>
      <c r="AM354" t="n">
        <v>2</v>
      </c>
      <c r="AN354" t="n">
        <v>0</v>
      </c>
      <c r="AO354" t="n">
        <v>0</v>
      </c>
      <c r="AP354" t="inlineStr">
        <is>
          <t>No</t>
        </is>
      </c>
      <c r="AQ354" t="inlineStr">
        <is>
          <t>Yes</t>
        </is>
      </c>
      <c r="AR354">
        <f>HYPERLINK("http://catalog.hathitrust.org/Record/002783437","HathiTrust Record")</f>
        <v/>
      </c>
      <c r="AS354">
        <f>HYPERLINK("https://creighton-primo.hosted.exlibrisgroup.com/primo-explore/search?tab=default_tab&amp;search_scope=EVERYTHING&amp;vid=01CRU&amp;lang=en_US&amp;offset=0&amp;query=any,contains,991005358059702656","Catalog Record")</f>
        <v/>
      </c>
      <c r="AT354">
        <f>HYPERLINK("http://www.worldcat.org/oclc/1230785","WorldCat Record")</f>
        <v/>
      </c>
      <c r="AU354" t="inlineStr">
        <is>
          <t>795578696:eng</t>
        </is>
      </c>
      <c r="AV354" t="inlineStr">
        <is>
          <t>1230785</t>
        </is>
      </c>
      <c r="AW354" t="inlineStr">
        <is>
          <t>991005358059702656</t>
        </is>
      </c>
      <c r="AX354" t="inlineStr">
        <is>
          <t>991005358059702656</t>
        </is>
      </c>
      <c r="AY354" t="inlineStr">
        <is>
          <t>2261691140002656</t>
        </is>
      </c>
      <c r="AZ354" t="inlineStr">
        <is>
          <t>BOOK</t>
        </is>
      </c>
      <c r="BB354" t="inlineStr">
        <is>
          <t>9780809307074</t>
        </is>
      </c>
      <c r="BC354" t="inlineStr">
        <is>
          <t>32285003048849</t>
        </is>
      </c>
      <c r="BD354" t="inlineStr">
        <is>
          <t>893425020</t>
        </is>
      </c>
    </row>
    <row r="355">
      <c r="A355" t="inlineStr">
        <is>
          <t>No</t>
        </is>
      </c>
      <c r="B355" t="inlineStr">
        <is>
          <t>NX652.P43 W66 1976</t>
        </is>
      </c>
      <c r="C355" t="inlineStr">
        <is>
          <t>0                      NX 0652000P  43                 W  66          1976</t>
        </is>
      </c>
      <c r="D355" t="inlineStr">
        <is>
          <t>Perseus : a study in Greek art and legend / by Jocelyn M. Woodward.</t>
        </is>
      </c>
      <c r="F355" t="inlineStr">
        <is>
          <t>No</t>
        </is>
      </c>
      <c r="G355" t="inlineStr">
        <is>
          <t>1</t>
        </is>
      </c>
      <c r="H355" t="inlineStr">
        <is>
          <t>No</t>
        </is>
      </c>
      <c r="I355" t="inlineStr">
        <is>
          <t>No</t>
        </is>
      </c>
      <c r="J355" t="inlineStr">
        <is>
          <t>0</t>
        </is>
      </c>
      <c r="K355" t="inlineStr">
        <is>
          <t>Woodward, Jocelyn M.</t>
        </is>
      </c>
      <c r="L355" t="inlineStr">
        <is>
          <t>New York : AMS Press, 1976.</t>
        </is>
      </c>
      <c r="M355" t="inlineStr">
        <is>
          <t>1976</t>
        </is>
      </c>
      <c r="O355" t="inlineStr">
        <is>
          <t>eng</t>
        </is>
      </c>
      <c r="P355" t="inlineStr">
        <is>
          <t>nyu</t>
        </is>
      </c>
      <c r="R355" t="inlineStr">
        <is>
          <t xml:space="preserve">NX </t>
        </is>
      </c>
      <c r="S355" t="n">
        <v>2</v>
      </c>
      <c r="T355" t="n">
        <v>2</v>
      </c>
      <c r="U355" t="inlineStr">
        <is>
          <t>2002-02-06</t>
        </is>
      </c>
      <c r="V355" t="inlineStr">
        <is>
          <t>2002-02-06</t>
        </is>
      </c>
      <c r="W355" t="inlineStr">
        <is>
          <t>1997-08-08</t>
        </is>
      </c>
      <c r="X355" t="inlineStr">
        <is>
          <t>1997-08-08</t>
        </is>
      </c>
      <c r="Y355" t="n">
        <v>100</v>
      </c>
      <c r="Z355" t="n">
        <v>87</v>
      </c>
      <c r="AA355" t="n">
        <v>252</v>
      </c>
      <c r="AB355" t="n">
        <v>1</v>
      </c>
      <c r="AC355" t="n">
        <v>2</v>
      </c>
      <c r="AD355" t="n">
        <v>2</v>
      </c>
      <c r="AE355" t="n">
        <v>9</v>
      </c>
      <c r="AF355" t="n">
        <v>0</v>
      </c>
      <c r="AG355" t="n">
        <v>0</v>
      </c>
      <c r="AH355" t="n">
        <v>1</v>
      </c>
      <c r="AI355" t="n">
        <v>4</v>
      </c>
      <c r="AJ355" t="n">
        <v>1</v>
      </c>
      <c r="AK355" t="n">
        <v>6</v>
      </c>
      <c r="AL355" t="n">
        <v>0</v>
      </c>
      <c r="AM355" t="n">
        <v>1</v>
      </c>
      <c r="AN355" t="n">
        <v>0</v>
      </c>
      <c r="AO355" t="n">
        <v>0</v>
      </c>
      <c r="AP355" t="inlineStr">
        <is>
          <t>No</t>
        </is>
      </c>
      <c r="AQ355" t="inlineStr">
        <is>
          <t>Yes</t>
        </is>
      </c>
      <c r="AR355">
        <f>HYPERLINK("http://catalog.hathitrust.org/Record/004506187","HathiTrust Record")</f>
        <v/>
      </c>
      <c r="AS355">
        <f>HYPERLINK("https://creighton-primo.hosted.exlibrisgroup.com/primo-explore/search?tab=default_tab&amp;search_scope=EVERYTHING&amp;vid=01CRU&amp;lang=en_US&amp;offset=0&amp;query=any,contains,991004100919702656","Catalog Record")</f>
        <v/>
      </c>
      <c r="AT355">
        <f>HYPERLINK("http://www.worldcat.org/oclc/2372241","WorldCat Record")</f>
        <v/>
      </c>
      <c r="AU355" t="inlineStr">
        <is>
          <t>475289:eng</t>
        </is>
      </c>
      <c r="AV355" t="inlineStr">
        <is>
          <t>2372241</t>
        </is>
      </c>
      <c r="AW355" t="inlineStr">
        <is>
          <t>991004100919702656</t>
        </is>
      </c>
      <c r="AX355" t="inlineStr">
        <is>
          <t>991004100919702656</t>
        </is>
      </c>
      <c r="AY355" t="inlineStr">
        <is>
          <t>2255398840002656</t>
        </is>
      </c>
      <c r="AZ355" t="inlineStr">
        <is>
          <t>BOOK</t>
        </is>
      </c>
      <c r="BB355" t="inlineStr">
        <is>
          <t>9780404146337</t>
        </is>
      </c>
      <c r="BC355" t="inlineStr">
        <is>
          <t>32285003048856</t>
        </is>
      </c>
      <c r="BD355" t="inlineStr">
        <is>
          <t>893241012</t>
        </is>
      </c>
    </row>
    <row r="356">
      <c r="A356" t="inlineStr">
        <is>
          <t>No</t>
        </is>
      </c>
      <c r="B356" t="inlineStr">
        <is>
          <t>NX652.W6 A48 1993</t>
        </is>
      </c>
      <c r="C356" t="inlineStr">
        <is>
          <t>0                      NX 0652000W  6                  A  48          1993</t>
        </is>
      </c>
      <c r="D356" t="inlineStr">
        <is>
          <t>American beauties : women in art and literature : paintings, sculptures, drawings, photographs, and other works of art from the National Museum of American Art, Smithsonian Institution / edited by Charles Sullivan.</t>
        </is>
      </c>
      <c r="F356" t="inlineStr">
        <is>
          <t>No</t>
        </is>
      </c>
      <c r="G356" t="inlineStr">
        <is>
          <t>1</t>
        </is>
      </c>
      <c r="H356" t="inlineStr">
        <is>
          <t>No</t>
        </is>
      </c>
      <c r="I356" t="inlineStr">
        <is>
          <t>No</t>
        </is>
      </c>
      <c r="J356" t="inlineStr">
        <is>
          <t>0</t>
        </is>
      </c>
      <c r="K356" t="inlineStr">
        <is>
          <t>National Museum of American Art (U.S.)</t>
        </is>
      </c>
      <c r="L356" t="inlineStr">
        <is>
          <t>New York : H.N. Abrams, 1993.</t>
        </is>
      </c>
      <c r="M356" t="inlineStr">
        <is>
          <t>1993</t>
        </is>
      </c>
      <c r="O356" t="inlineStr">
        <is>
          <t>eng</t>
        </is>
      </c>
      <c r="P356" t="inlineStr">
        <is>
          <t>nyu</t>
        </is>
      </c>
      <c r="R356" t="inlineStr">
        <is>
          <t xml:space="preserve">NX </t>
        </is>
      </c>
      <c r="S356" t="n">
        <v>2</v>
      </c>
      <c r="T356" t="n">
        <v>2</v>
      </c>
      <c r="U356" t="inlineStr">
        <is>
          <t>1999-02-03</t>
        </is>
      </c>
      <c r="V356" t="inlineStr">
        <is>
          <t>1999-02-03</t>
        </is>
      </c>
      <c r="W356" t="inlineStr">
        <is>
          <t>1996-12-16</t>
        </is>
      </c>
      <c r="X356" t="inlineStr">
        <is>
          <t>1996-12-16</t>
        </is>
      </c>
      <c r="Y356" t="n">
        <v>354</v>
      </c>
      <c r="Z356" t="n">
        <v>322</v>
      </c>
      <c r="AA356" t="n">
        <v>330</v>
      </c>
      <c r="AB356" t="n">
        <v>6</v>
      </c>
      <c r="AC356" t="n">
        <v>6</v>
      </c>
      <c r="AD356" t="n">
        <v>11</v>
      </c>
      <c r="AE356" t="n">
        <v>11</v>
      </c>
      <c r="AF356" t="n">
        <v>1</v>
      </c>
      <c r="AG356" t="n">
        <v>1</v>
      </c>
      <c r="AH356" t="n">
        <v>4</v>
      </c>
      <c r="AI356" t="n">
        <v>4</v>
      </c>
      <c r="AJ356" t="n">
        <v>6</v>
      </c>
      <c r="AK356" t="n">
        <v>6</v>
      </c>
      <c r="AL356" t="n">
        <v>3</v>
      </c>
      <c r="AM356" t="n">
        <v>3</v>
      </c>
      <c r="AN356" t="n">
        <v>0</v>
      </c>
      <c r="AO356" t="n">
        <v>0</v>
      </c>
      <c r="AP356" t="inlineStr">
        <is>
          <t>No</t>
        </is>
      </c>
      <c r="AQ356" t="inlineStr">
        <is>
          <t>Yes</t>
        </is>
      </c>
      <c r="AR356">
        <f>HYPERLINK("http://catalog.hathitrust.org/Record/002652273","HathiTrust Record")</f>
        <v/>
      </c>
      <c r="AS356">
        <f>HYPERLINK("https://creighton-primo.hosted.exlibrisgroup.com/primo-explore/search?tab=default_tab&amp;search_scope=EVERYTHING&amp;vid=01CRU&amp;lang=en_US&amp;offset=0&amp;query=any,contains,991002054069702656","Catalog Record")</f>
        <v/>
      </c>
      <c r="AT356">
        <f>HYPERLINK("http://www.worldcat.org/oclc/26255086","WorldCat Record")</f>
        <v/>
      </c>
      <c r="AU356" t="inlineStr">
        <is>
          <t>28648731:eng</t>
        </is>
      </c>
      <c r="AV356" t="inlineStr">
        <is>
          <t>26255086</t>
        </is>
      </c>
      <c r="AW356" t="inlineStr">
        <is>
          <t>991002054069702656</t>
        </is>
      </c>
      <c r="AX356" t="inlineStr">
        <is>
          <t>991002054069702656</t>
        </is>
      </c>
      <c r="AY356" t="inlineStr">
        <is>
          <t>2269562780002656</t>
        </is>
      </c>
      <c r="AZ356" t="inlineStr">
        <is>
          <t>BOOK</t>
        </is>
      </c>
      <c r="BB356" t="inlineStr">
        <is>
          <t>9780810919273</t>
        </is>
      </c>
      <c r="BC356" t="inlineStr">
        <is>
          <t>32285002393378</t>
        </is>
      </c>
      <c r="BD356" t="inlineStr">
        <is>
          <t>893408638</t>
        </is>
      </c>
    </row>
    <row r="357">
      <c r="A357" t="inlineStr">
        <is>
          <t>No</t>
        </is>
      </c>
      <c r="B357" t="inlineStr">
        <is>
          <t>NX652.W6 B36 1987</t>
        </is>
      </c>
      <c r="C357" t="inlineStr">
        <is>
          <t>0                      NX 0652000W  6                  B  36          1987</t>
        </is>
      </c>
      <c r="D357" t="inlineStr">
        <is>
          <t>Imaging American women : idea and ideals in cultural history / Martha Banta.</t>
        </is>
      </c>
      <c r="F357" t="inlineStr">
        <is>
          <t>No</t>
        </is>
      </c>
      <c r="G357" t="inlineStr">
        <is>
          <t>1</t>
        </is>
      </c>
      <c r="H357" t="inlineStr">
        <is>
          <t>No</t>
        </is>
      </c>
      <c r="I357" t="inlineStr">
        <is>
          <t>No</t>
        </is>
      </c>
      <c r="J357" t="inlineStr">
        <is>
          <t>0</t>
        </is>
      </c>
      <c r="K357" t="inlineStr">
        <is>
          <t>Banta, Martha.</t>
        </is>
      </c>
      <c r="L357" t="inlineStr">
        <is>
          <t>New York : Columbia University Press, 1987.</t>
        </is>
      </c>
      <c r="M357" t="inlineStr">
        <is>
          <t>1987</t>
        </is>
      </c>
      <c r="O357" t="inlineStr">
        <is>
          <t>eng</t>
        </is>
      </c>
      <c r="P357" t="inlineStr">
        <is>
          <t>nyu</t>
        </is>
      </c>
      <c r="R357" t="inlineStr">
        <is>
          <t xml:space="preserve">NX </t>
        </is>
      </c>
      <c r="S357" t="n">
        <v>5</v>
      </c>
      <c r="T357" t="n">
        <v>5</v>
      </c>
      <c r="U357" t="inlineStr">
        <is>
          <t>2007-04-30</t>
        </is>
      </c>
      <c r="V357" t="inlineStr">
        <is>
          <t>2007-04-30</t>
        </is>
      </c>
      <c r="W357" t="inlineStr">
        <is>
          <t>1992-12-16</t>
        </is>
      </c>
      <c r="X357" t="inlineStr">
        <is>
          <t>1992-12-16</t>
        </is>
      </c>
      <c r="Y357" t="n">
        <v>1001</v>
      </c>
      <c r="Z357" t="n">
        <v>875</v>
      </c>
      <c r="AA357" t="n">
        <v>884</v>
      </c>
      <c r="AB357" t="n">
        <v>7</v>
      </c>
      <c r="AC357" t="n">
        <v>7</v>
      </c>
      <c r="AD357" t="n">
        <v>45</v>
      </c>
      <c r="AE357" t="n">
        <v>45</v>
      </c>
      <c r="AF357" t="n">
        <v>19</v>
      </c>
      <c r="AG357" t="n">
        <v>19</v>
      </c>
      <c r="AH357" t="n">
        <v>10</v>
      </c>
      <c r="AI357" t="n">
        <v>10</v>
      </c>
      <c r="AJ357" t="n">
        <v>22</v>
      </c>
      <c r="AK357" t="n">
        <v>22</v>
      </c>
      <c r="AL357" t="n">
        <v>6</v>
      </c>
      <c r="AM357" t="n">
        <v>6</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HYPERLINK("https://creighton-primo.hosted.exlibrisgroup.com/primo-explore/search?tab=default_tab&amp;search_scope=EVERYTHING&amp;vid=01CRU&amp;lang=en_US&amp;offset=0&amp;query=any,contains,991000868729702656","Catalog Record")</f>
        <v/>
      </c>
      <c r="AT357">
        <f>HYPERLINK("http://www.worldcat.org/oclc/13762596","WorldCat Record")</f>
        <v/>
      </c>
      <c r="AU357" t="inlineStr">
        <is>
          <t>286445961:eng</t>
        </is>
      </c>
      <c r="AV357" t="inlineStr">
        <is>
          <t>13762596</t>
        </is>
      </c>
      <c r="AW357" t="inlineStr">
        <is>
          <t>991000868729702656</t>
        </is>
      </c>
      <c r="AX357" t="inlineStr">
        <is>
          <t>991000868729702656</t>
        </is>
      </c>
      <c r="AY357" t="inlineStr">
        <is>
          <t>2265206560002656</t>
        </is>
      </c>
      <c r="AZ357" t="inlineStr">
        <is>
          <t>BOOK</t>
        </is>
      </c>
      <c r="BB357" t="inlineStr">
        <is>
          <t>9780231061261</t>
        </is>
      </c>
      <c r="BC357" t="inlineStr">
        <is>
          <t>32285001443497</t>
        </is>
      </c>
      <c r="BD357" t="inlineStr">
        <is>
          <t>893784585</t>
        </is>
      </c>
    </row>
    <row r="358">
      <c r="A358" t="inlineStr">
        <is>
          <t>No</t>
        </is>
      </c>
      <c r="B358" t="inlineStr">
        <is>
          <t>NX652.W6 N43 1988</t>
        </is>
      </c>
      <c r="C358" t="inlineStr">
        <is>
          <t>0                      NX 0652000W  6                  N  43          1988</t>
        </is>
      </c>
      <c r="D358" t="inlineStr">
        <is>
          <t>Myths of sexuality : representations of women in Victorian Britain / Lynda Nead.</t>
        </is>
      </c>
      <c r="F358" t="inlineStr">
        <is>
          <t>No</t>
        </is>
      </c>
      <c r="G358" t="inlineStr">
        <is>
          <t>1</t>
        </is>
      </c>
      <c r="H358" t="inlineStr">
        <is>
          <t>No</t>
        </is>
      </c>
      <c r="I358" t="inlineStr">
        <is>
          <t>No</t>
        </is>
      </c>
      <c r="J358" t="inlineStr">
        <is>
          <t>0</t>
        </is>
      </c>
      <c r="K358" t="inlineStr">
        <is>
          <t>Nead, Lynda.</t>
        </is>
      </c>
      <c r="L358" t="inlineStr">
        <is>
          <t>Oxford [Oxfordshire] ; New York, NY, USA : B. Blackwell, 1988.</t>
        </is>
      </c>
      <c r="M358" t="inlineStr">
        <is>
          <t>1988</t>
        </is>
      </c>
      <c r="O358" t="inlineStr">
        <is>
          <t>eng</t>
        </is>
      </c>
      <c r="P358" t="inlineStr">
        <is>
          <t>enk</t>
        </is>
      </c>
      <c r="R358" t="inlineStr">
        <is>
          <t xml:space="preserve">NX </t>
        </is>
      </c>
      <c r="S358" t="n">
        <v>8</v>
      </c>
      <c r="T358" t="n">
        <v>8</v>
      </c>
      <c r="U358" t="inlineStr">
        <is>
          <t>2009-04-02</t>
        </is>
      </c>
      <c r="V358" t="inlineStr">
        <is>
          <t>2009-04-02</t>
        </is>
      </c>
      <c r="W358" t="inlineStr">
        <is>
          <t>1990-03-01</t>
        </is>
      </c>
      <c r="X358" t="inlineStr">
        <is>
          <t>1990-03-01</t>
        </is>
      </c>
      <c r="Y358" t="n">
        <v>593</v>
      </c>
      <c r="Z358" t="n">
        <v>370</v>
      </c>
      <c r="AA358" t="n">
        <v>380</v>
      </c>
      <c r="AB358" t="n">
        <v>4</v>
      </c>
      <c r="AC358" t="n">
        <v>4</v>
      </c>
      <c r="AD358" t="n">
        <v>20</v>
      </c>
      <c r="AE358" t="n">
        <v>20</v>
      </c>
      <c r="AF358" t="n">
        <v>6</v>
      </c>
      <c r="AG358" t="n">
        <v>6</v>
      </c>
      <c r="AH358" t="n">
        <v>5</v>
      </c>
      <c r="AI358" t="n">
        <v>5</v>
      </c>
      <c r="AJ358" t="n">
        <v>11</v>
      </c>
      <c r="AK358" t="n">
        <v>11</v>
      </c>
      <c r="AL358" t="n">
        <v>3</v>
      </c>
      <c r="AM358" t="n">
        <v>3</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HYPERLINK("https://creighton-primo.hosted.exlibrisgroup.com/primo-explore/search?tab=default_tab&amp;search_scope=EVERYTHING&amp;vid=01CRU&amp;lang=en_US&amp;offset=0&amp;query=any,contains,991001129709702656","Catalog Record")</f>
        <v/>
      </c>
      <c r="AT358">
        <f>HYPERLINK("http://www.worldcat.org/oclc/16681707","WorldCat Record")</f>
        <v/>
      </c>
      <c r="AU358" t="inlineStr">
        <is>
          <t>12589515:eng</t>
        </is>
      </c>
      <c r="AV358" t="inlineStr">
        <is>
          <t>16681707</t>
        </is>
      </c>
      <c r="AW358" t="inlineStr">
        <is>
          <t>991001129709702656</t>
        </is>
      </c>
      <c r="AX358" t="inlineStr">
        <is>
          <t>991001129709702656</t>
        </is>
      </c>
      <c r="AY358" t="inlineStr">
        <is>
          <t>2271765200002656</t>
        </is>
      </c>
      <c r="AZ358" t="inlineStr">
        <is>
          <t>BOOK</t>
        </is>
      </c>
      <c r="BB358" t="inlineStr">
        <is>
          <t>9780631155027</t>
        </is>
      </c>
      <c r="BC358" t="inlineStr">
        <is>
          <t>32285000074996</t>
        </is>
      </c>
      <c r="BD358" t="inlineStr">
        <is>
          <t>893321651</t>
        </is>
      </c>
    </row>
    <row r="359">
      <c r="A359" t="inlineStr">
        <is>
          <t>No</t>
        </is>
      </c>
      <c r="B359" t="inlineStr">
        <is>
          <t>NX653.S68 D4 1987</t>
        </is>
      </c>
      <c r="C359" t="inlineStr">
        <is>
          <t>0                      NX 0653000S  68                 D  4           1987</t>
        </is>
      </c>
      <c r="D359" t="inlineStr">
        <is>
          <t>The Desert is no lady : southwestern landscapes in women's writing and art / edited by Vera Norwood and Janice Monk.</t>
        </is>
      </c>
      <c r="F359" t="inlineStr">
        <is>
          <t>No</t>
        </is>
      </c>
      <c r="G359" t="inlineStr">
        <is>
          <t>1</t>
        </is>
      </c>
      <c r="H359" t="inlineStr">
        <is>
          <t>No</t>
        </is>
      </c>
      <c r="I359" t="inlineStr">
        <is>
          <t>No</t>
        </is>
      </c>
      <c r="J359" t="inlineStr">
        <is>
          <t>0</t>
        </is>
      </c>
      <c r="L359" t="inlineStr">
        <is>
          <t>New Haven : Yale University Press, c1987.</t>
        </is>
      </c>
      <c r="M359" t="inlineStr">
        <is>
          <t>1987</t>
        </is>
      </c>
      <c r="O359" t="inlineStr">
        <is>
          <t>eng</t>
        </is>
      </c>
      <c r="P359" t="inlineStr">
        <is>
          <t>ctu</t>
        </is>
      </c>
      <c r="R359" t="inlineStr">
        <is>
          <t xml:space="preserve">NX </t>
        </is>
      </c>
      <c r="S359" t="n">
        <v>4</v>
      </c>
      <c r="T359" t="n">
        <v>4</v>
      </c>
      <c r="U359" t="inlineStr">
        <is>
          <t>2001-04-12</t>
        </is>
      </c>
      <c r="V359" t="inlineStr">
        <is>
          <t>2001-04-12</t>
        </is>
      </c>
      <c r="W359" t="inlineStr">
        <is>
          <t>1992-09-22</t>
        </is>
      </c>
      <c r="X359" t="inlineStr">
        <is>
          <t>1992-09-22</t>
        </is>
      </c>
      <c r="Y359" t="n">
        <v>773</v>
      </c>
      <c r="Z359" t="n">
        <v>693</v>
      </c>
      <c r="AA359" t="n">
        <v>772</v>
      </c>
      <c r="AB359" t="n">
        <v>7</v>
      </c>
      <c r="AC359" t="n">
        <v>8</v>
      </c>
      <c r="AD359" t="n">
        <v>31</v>
      </c>
      <c r="AE359" t="n">
        <v>32</v>
      </c>
      <c r="AF359" t="n">
        <v>9</v>
      </c>
      <c r="AG359" t="n">
        <v>10</v>
      </c>
      <c r="AH359" t="n">
        <v>7</v>
      </c>
      <c r="AI359" t="n">
        <v>7</v>
      </c>
      <c r="AJ359" t="n">
        <v>15</v>
      </c>
      <c r="AK359" t="n">
        <v>16</v>
      </c>
      <c r="AL359" t="n">
        <v>6</v>
      </c>
      <c r="AM359" t="n">
        <v>6</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HYPERLINK("https://creighton-primo.hosted.exlibrisgroup.com/primo-explore/search?tab=default_tab&amp;search_scope=EVERYTHING&amp;vid=01CRU&amp;lang=en_US&amp;offset=0&amp;query=any,contains,991000967179702656","Catalog Record")</f>
        <v/>
      </c>
      <c r="AT359">
        <f>HYPERLINK("http://www.worldcat.org/oclc/14930993","WorldCat Record")</f>
        <v/>
      </c>
      <c r="AU359" t="inlineStr">
        <is>
          <t>810695023:eng</t>
        </is>
      </c>
      <c r="AV359" t="inlineStr">
        <is>
          <t>14930993</t>
        </is>
      </c>
      <c r="AW359" t="inlineStr">
        <is>
          <t>991000967179702656</t>
        </is>
      </c>
      <c r="AX359" t="inlineStr">
        <is>
          <t>991000967179702656</t>
        </is>
      </c>
      <c r="AY359" t="inlineStr">
        <is>
          <t>2255791080002656</t>
        </is>
      </c>
      <c r="AZ359" t="inlineStr">
        <is>
          <t>BOOK</t>
        </is>
      </c>
      <c r="BB359" t="inlineStr">
        <is>
          <t>9780300036886</t>
        </is>
      </c>
      <c r="BC359" t="inlineStr">
        <is>
          <t>32285001320513</t>
        </is>
      </c>
      <c r="BD359" t="inlineStr">
        <is>
          <t>893225495</t>
        </is>
      </c>
    </row>
    <row r="360">
      <c r="A360" t="inlineStr">
        <is>
          <t>No</t>
        </is>
      </c>
      <c r="B360" t="inlineStr">
        <is>
          <t>NX653.W47 C36 2001</t>
        </is>
      </c>
      <c r="C360" t="inlineStr">
        <is>
          <t>0                      NX 0653000W  47                 C  36          2001</t>
        </is>
      </c>
      <c r="D360" t="inlineStr">
        <is>
          <t>The American West : people, places, and ideas / by Suzan Campbell ; with an essay by Kathleen E. Ash-Milby.</t>
        </is>
      </c>
      <c r="F360" t="inlineStr">
        <is>
          <t>No</t>
        </is>
      </c>
      <c r="G360" t="inlineStr">
        <is>
          <t>1</t>
        </is>
      </c>
      <c r="H360" t="inlineStr">
        <is>
          <t>No</t>
        </is>
      </c>
      <c r="I360" t="inlineStr">
        <is>
          <t>No</t>
        </is>
      </c>
      <c r="J360" t="inlineStr">
        <is>
          <t>0</t>
        </is>
      </c>
      <c r="K360" t="inlineStr">
        <is>
          <t>Campbell, Suzan.</t>
        </is>
      </c>
      <c r="L360" t="inlineStr">
        <is>
          <t>Corning, NY : Rockwell Museum of Western Art ; Santa Fe, N.M. : Distributed by Western Edge Press, c2001.</t>
        </is>
      </c>
      <c r="M360" t="inlineStr">
        <is>
          <t>2001</t>
        </is>
      </c>
      <c r="O360" t="inlineStr">
        <is>
          <t>eng</t>
        </is>
      </c>
      <c r="P360" t="inlineStr">
        <is>
          <t>nmu</t>
        </is>
      </c>
      <c r="R360" t="inlineStr">
        <is>
          <t xml:space="preserve">NX </t>
        </is>
      </c>
      <c r="S360" t="n">
        <v>3</v>
      </c>
      <c r="T360" t="n">
        <v>3</v>
      </c>
      <c r="U360" t="inlineStr">
        <is>
          <t>2005-07-13</t>
        </is>
      </c>
      <c r="V360" t="inlineStr">
        <is>
          <t>2005-07-13</t>
        </is>
      </c>
      <c r="W360" t="inlineStr">
        <is>
          <t>2002-01-22</t>
        </is>
      </c>
      <c r="X360" t="inlineStr">
        <is>
          <t>2002-01-22</t>
        </is>
      </c>
      <c r="Y360" t="n">
        <v>239</v>
      </c>
      <c r="Z360" t="n">
        <v>237</v>
      </c>
      <c r="AA360" t="n">
        <v>243</v>
      </c>
      <c r="AB360" t="n">
        <v>4</v>
      </c>
      <c r="AC360" t="n">
        <v>4</v>
      </c>
      <c r="AD360" t="n">
        <v>7</v>
      </c>
      <c r="AE360" t="n">
        <v>7</v>
      </c>
      <c r="AF360" t="n">
        <v>2</v>
      </c>
      <c r="AG360" t="n">
        <v>2</v>
      </c>
      <c r="AH360" t="n">
        <v>2</v>
      </c>
      <c r="AI360" t="n">
        <v>2</v>
      </c>
      <c r="AJ360" t="n">
        <v>3</v>
      </c>
      <c r="AK360" t="n">
        <v>3</v>
      </c>
      <c r="AL360" t="n">
        <v>2</v>
      </c>
      <c r="AM360" t="n">
        <v>2</v>
      </c>
      <c r="AN360" t="n">
        <v>0</v>
      </c>
      <c r="AO360" t="n">
        <v>0</v>
      </c>
      <c r="AP360" t="inlineStr">
        <is>
          <t>No</t>
        </is>
      </c>
      <c r="AQ360" t="inlineStr">
        <is>
          <t>Yes</t>
        </is>
      </c>
      <c r="AR360">
        <f>HYPERLINK("http://catalog.hathitrust.org/Record/004212183","HathiTrust Record")</f>
        <v/>
      </c>
      <c r="AS360">
        <f>HYPERLINK("https://creighton-primo.hosted.exlibrisgroup.com/primo-explore/search?tab=default_tab&amp;search_scope=EVERYTHING&amp;vid=01CRU&amp;lang=en_US&amp;offset=0&amp;query=any,contains,991003702599702656","Catalog Record")</f>
        <v/>
      </c>
      <c r="AT360">
        <f>HYPERLINK("http://www.worldcat.org/oclc/48051814","WorldCat Record")</f>
        <v/>
      </c>
      <c r="AU360" t="inlineStr">
        <is>
          <t>36720878:eng</t>
        </is>
      </c>
      <c r="AV360" t="inlineStr">
        <is>
          <t>48051814</t>
        </is>
      </c>
      <c r="AW360" t="inlineStr">
        <is>
          <t>991003702599702656</t>
        </is>
      </c>
      <c r="AX360" t="inlineStr">
        <is>
          <t>991003702599702656</t>
        </is>
      </c>
      <c r="AY360" t="inlineStr">
        <is>
          <t>2267633420002656</t>
        </is>
      </c>
      <c r="AZ360" t="inlineStr">
        <is>
          <t>BOOK</t>
        </is>
      </c>
      <c r="BB360" t="inlineStr">
        <is>
          <t>9781889921136</t>
        </is>
      </c>
      <c r="BC360" t="inlineStr">
        <is>
          <t>32285004450317</t>
        </is>
      </c>
      <c r="BD360" t="inlineStr">
        <is>
          <t>893410583</t>
        </is>
      </c>
    </row>
    <row r="361">
      <c r="A361" t="inlineStr">
        <is>
          <t>No</t>
        </is>
      </c>
      <c r="B361" t="inlineStr">
        <is>
          <t>NX705.5.A357 P47 1999</t>
        </is>
      </c>
      <c r="C361" t="inlineStr">
        <is>
          <t>0                      NX 0705500A  357                P  47          1999</t>
        </is>
      </c>
      <c r="D361" t="inlineStr">
        <is>
          <t>Cloth, dress, and art patronage in Africa / Judith Perani and Norma H. Wolff.</t>
        </is>
      </c>
      <c r="F361" t="inlineStr">
        <is>
          <t>No</t>
        </is>
      </c>
      <c r="G361" t="inlineStr">
        <is>
          <t>1</t>
        </is>
      </c>
      <c r="H361" t="inlineStr">
        <is>
          <t>No</t>
        </is>
      </c>
      <c r="I361" t="inlineStr">
        <is>
          <t>No</t>
        </is>
      </c>
      <c r="J361" t="inlineStr">
        <is>
          <t>0</t>
        </is>
      </c>
      <c r="K361" t="inlineStr">
        <is>
          <t>Perani, Judith.</t>
        </is>
      </c>
      <c r="L361" t="inlineStr">
        <is>
          <t>Oxford ; New York : Berg, 1999.</t>
        </is>
      </c>
      <c r="M361" t="inlineStr">
        <is>
          <t>1999</t>
        </is>
      </c>
      <c r="O361" t="inlineStr">
        <is>
          <t>eng</t>
        </is>
      </c>
      <c r="P361" t="inlineStr">
        <is>
          <t>enk</t>
        </is>
      </c>
      <c r="Q361" t="inlineStr">
        <is>
          <t>Dress, body, culture, 1360-466X</t>
        </is>
      </c>
      <c r="R361" t="inlineStr">
        <is>
          <t xml:space="preserve">NX </t>
        </is>
      </c>
      <c r="S361" t="n">
        <v>3</v>
      </c>
      <c r="T361" t="n">
        <v>3</v>
      </c>
      <c r="U361" t="inlineStr">
        <is>
          <t>2000-11-20</t>
        </is>
      </c>
      <c r="V361" t="inlineStr">
        <is>
          <t>2000-11-20</t>
        </is>
      </c>
      <c r="W361" t="inlineStr">
        <is>
          <t>1999-11-15</t>
        </is>
      </c>
      <c r="X361" t="inlineStr">
        <is>
          <t>1999-11-15</t>
        </is>
      </c>
      <c r="Y361" t="n">
        <v>474</v>
      </c>
      <c r="Z361" t="n">
        <v>356</v>
      </c>
      <c r="AA361" t="n">
        <v>395</v>
      </c>
      <c r="AB361" t="n">
        <v>3</v>
      </c>
      <c r="AC361" t="n">
        <v>3</v>
      </c>
      <c r="AD361" t="n">
        <v>15</v>
      </c>
      <c r="AE361" t="n">
        <v>16</v>
      </c>
      <c r="AF361" t="n">
        <v>4</v>
      </c>
      <c r="AG361" t="n">
        <v>4</v>
      </c>
      <c r="AH361" t="n">
        <v>3</v>
      </c>
      <c r="AI361" t="n">
        <v>3</v>
      </c>
      <c r="AJ361" t="n">
        <v>8</v>
      </c>
      <c r="AK361" t="n">
        <v>9</v>
      </c>
      <c r="AL361" t="n">
        <v>2</v>
      </c>
      <c r="AM361" t="n">
        <v>2</v>
      </c>
      <c r="AN361" t="n">
        <v>0</v>
      </c>
      <c r="AO361" t="n">
        <v>0</v>
      </c>
      <c r="AP361" t="inlineStr">
        <is>
          <t>No</t>
        </is>
      </c>
      <c r="AQ361" t="inlineStr">
        <is>
          <t>Yes</t>
        </is>
      </c>
      <c r="AR361">
        <f>HYPERLINK("http://catalog.hathitrust.org/Record/004046581","HathiTrust Record")</f>
        <v/>
      </c>
      <c r="AS361">
        <f>HYPERLINK("https://creighton-primo.hosted.exlibrisgroup.com/primo-explore/search?tab=default_tab&amp;search_scope=EVERYTHING&amp;vid=01CRU&amp;lang=en_US&amp;offset=0&amp;query=any,contains,991003024179702656","Catalog Record")</f>
        <v/>
      </c>
      <c r="AT361">
        <f>HYPERLINK("http://www.worldcat.org/oclc/41283381","WorldCat Record")</f>
        <v/>
      </c>
      <c r="AU361" t="inlineStr">
        <is>
          <t>27268381:eng</t>
        </is>
      </c>
      <c r="AV361" t="inlineStr">
        <is>
          <t>41283381</t>
        </is>
      </c>
      <c r="AW361" t="inlineStr">
        <is>
          <t>991003024179702656</t>
        </is>
      </c>
      <c r="AX361" t="inlineStr">
        <is>
          <t>991003024179702656</t>
        </is>
      </c>
      <c r="AY361" t="inlineStr">
        <is>
          <t>2270377360002656</t>
        </is>
      </c>
      <c r="AZ361" t="inlineStr">
        <is>
          <t>BOOK</t>
        </is>
      </c>
      <c r="BB361" t="inlineStr">
        <is>
          <t>9781859732908</t>
        </is>
      </c>
      <c r="BC361" t="inlineStr">
        <is>
          <t>32285003622031</t>
        </is>
      </c>
      <c r="BD361" t="inlineStr">
        <is>
          <t>893598181</t>
        </is>
      </c>
    </row>
    <row r="362">
      <c r="A362" t="inlineStr">
        <is>
          <t>No</t>
        </is>
      </c>
      <c r="B362" t="inlineStr">
        <is>
          <t>NX735 .B54 1988</t>
        </is>
      </c>
      <c r="C362" t="inlineStr">
        <is>
          <t>0                      NX 0735000B  54          1988</t>
        </is>
      </c>
      <c r="D362" t="inlineStr">
        <is>
          <t>Our government and the arts : a perspective from the inside / Livingston Biddle ; foreword by Isaac Stern.</t>
        </is>
      </c>
      <c r="F362" t="inlineStr">
        <is>
          <t>No</t>
        </is>
      </c>
      <c r="G362" t="inlineStr">
        <is>
          <t>1</t>
        </is>
      </c>
      <c r="H362" t="inlineStr">
        <is>
          <t>No</t>
        </is>
      </c>
      <c r="I362" t="inlineStr">
        <is>
          <t>No</t>
        </is>
      </c>
      <c r="J362" t="inlineStr">
        <is>
          <t>0</t>
        </is>
      </c>
      <c r="K362" t="inlineStr">
        <is>
          <t>Biddle, Livingston, 1918-2002.</t>
        </is>
      </c>
      <c r="L362" t="inlineStr">
        <is>
          <t>New York, N.Y. : ACA Books, c1988.</t>
        </is>
      </c>
      <c r="M362" t="inlineStr">
        <is>
          <t>1988</t>
        </is>
      </c>
      <c r="O362" t="inlineStr">
        <is>
          <t>eng</t>
        </is>
      </c>
      <c r="P362" t="inlineStr">
        <is>
          <t>nyu</t>
        </is>
      </c>
      <c r="R362" t="inlineStr">
        <is>
          <t xml:space="preserve">NX </t>
        </is>
      </c>
      <c r="S362" t="n">
        <v>5</v>
      </c>
      <c r="T362" t="n">
        <v>5</v>
      </c>
      <c r="U362" t="inlineStr">
        <is>
          <t>2000-10-05</t>
        </is>
      </c>
      <c r="V362" t="inlineStr">
        <is>
          <t>2000-10-05</t>
        </is>
      </c>
      <c r="W362" t="inlineStr">
        <is>
          <t>1992-02-06</t>
        </is>
      </c>
      <c r="X362" t="inlineStr">
        <is>
          <t>1992-02-06</t>
        </is>
      </c>
      <c r="Y362" t="n">
        <v>1552</v>
      </c>
      <c r="Z362" t="n">
        <v>1522</v>
      </c>
      <c r="AA362" t="n">
        <v>1531</v>
      </c>
      <c r="AB362" t="n">
        <v>14</v>
      </c>
      <c r="AC362" t="n">
        <v>14</v>
      </c>
      <c r="AD362" t="n">
        <v>57</v>
      </c>
      <c r="AE362" t="n">
        <v>57</v>
      </c>
      <c r="AF362" t="n">
        <v>24</v>
      </c>
      <c r="AG362" t="n">
        <v>24</v>
      </c>
      <c r="AH362" t="n">
        <v>9</v>
      </c>
      <c r="AI362" t="n">
        <v>9</v>
      </c>
      <c r="AJ362" t="n">
        <v>20</v>
      </c>
      <c r="AK362" t="n">
        <v>20</v>
      </c>
      <c r="AL362" t="n">
        <v>12</v>
      </c>
      <c r="AM362" t="n">
        <v>12</v>
      </c>
      <c r="AN362" t="n">
        <v>3</v>
      </c>
      <c r="AO362" t="n">
        <v>3</v>
      </c>
      <c r="AP362" t="inlineStr">
        <is>
          <t>No</t>
        </is>
      </c>
      <c r="AQ362" t="inlineStr">
        <is>
          <t>Yes</t>
        </is>
      </c>
      <c r="AR362">
        <f>HYPERLINK("http://catalog.hathitrust.org/Record/101875869","HathiTrust Record")</f>
        <v/>
      </c>
      <c r="AS362">
        <f>HYPERLINK("https://creighton-primo.hosted.exlibrisgroup.com/primo-explore/search?tab=default_tab&amp;search_scope=EVERYTHING&amp;vid=01CRU&amp;lang=en_US&amp;offset=0&amp;query=any,contains,991001240929702656","Catalog Record")</f>
        <v/>
      </c>
      <c r="AT362">
        <f>HYPERLINK("http://www.worldcat.org/oclc/17619592","WorldCat Record")</f>
        <v/>
      </c>
      <c r="AU362" t="inlineStr">
        <is>
          <t>15715186:eng</t>
        </is>
      </c>
      <c r="AV362" t="inlineStr">
        <is>
          <t>17619592</t>
        </is>
      </c>
      <c r="AW362" t="inlineStr">
        <is>
          <t>991001240929702656</t>
        </is>
      </c>
      <c r="AX362" t="inlineStr">
        <is>
          <t>991001240929702656</t>
        </is>
      </c>
      <c r="AY362" t="inlineStr">
        <is>
          <t>2257739320002656</t>
        </is>
      </c>
      <c r="AZ362" t="inlineStr">
        <is>
          <t>BOOK</t>
        </is>
      </c>
      <c r="BB362" t="inlineStr">
        <is>
          <t>9780915400683</t>
        </is>
      </c>
      <c r="BC362" t="inlineStr">
        <is>
          <t>32285000943661</t>
        </is>
      </c>
      <c r="BD362" t="inlineStr">
        <is>
          <t>893803475</t>
        </is>
      </c>
    </row>
    <row r="363">
      <c r="A363" t="inlineStr">
        <is>
          <t>No</t>
        </is>
      </c>
      <c r="B363" t="inlineStr">
        <is>
          <t>NX735 .D79 1992</t>
        </is>
      </c>
      <c r="C363" t="inlineStr">
        <is>
          <t>0                      NX 0735000D  79          1992</t>
        </is>
      </c>
      <c r="D363" t="inlineStr">
        <is>
          <t>Arresting images : impolitic art and uncivil actions / Steven C. Dubin.</t>
        </is>
      </c>
      <c r="F363" t="inlineStr">
        <is>
          <t>No</t>
        </is>
      </c>
      <c r="G363" t="inlineStr">
        <is>
          <t>1</t>
        </is>
      </c>
      <c r="H363" t="inlineStr">
        <is>
          <t>No</t>
        </is>
      </c>
      <c r="I363" t="inlineStr">
        <is>
          <t>No</t>
        </is>
      </c>
      <c r="J363" t="inlineStr">
        <is>
          <t>0</t>
        </is>
      </c>
      <c r="K363" t="inlineStr">
        <is>
          <t>Dubin, Steven C.</t>
        </is>
      </c>
      <c r="L363" t="inlineStr">
        <is>
          <t>London ; New York : Routledge, 1992.</t>
        </is>
      </c>
      <c r="M363" t="inlineStr">
        <is>
          <t>1992</t>
        </is>
      </c>
      <c r="O363" t="inlineStr">
        <is>
          <t>eng</t>
        </is>
      </c>
      <c r="P363" t="inlineStr">
        <is>
          <t>enk</t>
        </is>
      </c>
      <c r="R363" t="inlineStr">
        <is>
          <t xml:space="preserve">NX </t>
        </is>
      </c>
      <c r="S363" t="n">
        <v>7</v>
      </c>
      <c r="T363" t="n">
        <v>7</v>
      </c>
      <c r="U363" t="inlineStr">
        <is>
          <t>1996-11-26</t>
        </is>
      </c>
      <c r="V363" t="inlineStr">
        <is>
          <t>1996-11-26</t>
        </is>
      </c>
      <c r="W363" t="inlineStr">
        <is>
          <t>1993-11-15</t>
        </is>
      </c>
      <c r="X363" t="inlineStr">
        <is>
          <t>1993-11-15</t>
        </is>
      </c>
      <c r="Y363" t="n">
        <v>912</v>
      </c>
      <c r="Z363" t="n">
        <v>749</v>
      </c>
      <c r="AA363" t="n">
        <v>837</v>
      </c>
      <c r="AB363" t="n">
        <v>5</v>
      </c>
      <c r="AC363" t="n">
        <v>5</v>
      </c>
      <c r="AD363" t="n">
        <v>33</v>
      </c>
      <c r="AE363" t="n">
        <v>38</v>
      </c>
      <c r="AF363" t="n">
        <v>10</v>
      </c>
      <c r="AG363" t="n">
        <v>12</v>
      </c>
      <c r="AH363" t="n">
        <v>4</v>
      </c>
      <c r="AI363" t="n">
        <v>6</v>
      </c>
      <c r="AJ363" t="n">
        <v>11</v>
      </c>
      <c r="AK363" t="n">
        <v>13</v>
      </c>
      <c r="AL363" t="n">
        <v>4</v>
      </c>
      <c r="AM363" t="n">
        <v>4</v>
      </c>
      <c r="AN363" t="n">
        <v>7</v>
      </c>
      <c r="AO363" t="n">
        <v>7</v>
      </c>
      <c r="AP363" t="inlineStr">
        <is>
          <t>No</t>
        </is>
      </c>
      <c r="AQ363" t="inlineStr">
        <is>
          <t>Yes</t>
        </is>
      </c>
      <c r="AR363">
        <f>HYPERLINK("http://catalog.hathitrust.org/Record/002572274","HathiTrust Record")</f>
        <v/>
      </c>
      <c r="AS363">
        <f>HYPERLINK("https://creighton-primo.hosted.exlibrisgroup.com/primo-explore/search?tab=default_tab&amp;search_scope=EVERYTHING&amp;vid=01CRU&amp;lang=en_US&amp;offset=0&amp;query=any,contains,991002016959702656","Catalog Record")</f>
        <v/>
      </c>
      <c r="AT363">
        <f>HYPERLINK("http://www.worldcat.org/oclc/25632901","WorldCat Record")</f>
        <v/>
      </c>
      <c r="AU363" t="inlineStr">
        <is>
          <t>28311070:eng</t>
        </is>
      </c>
      <c r="AV363" t="inlineStr">
        <is>
          <t>25632901</t>
        </is>
      </c>
      <c r="AW363" t="inlineStr">
        <is>
          <t>991002016959702656</t>
        </is>
      </c>
      <c r="AX363" t="inlineStr">
        <is>
          <t>991002016959702656</t>
        </is>
      </c>
      <c r="AY363" t="inlineStr">
        <is>
          <t>2268130500002656</t>
        </is>
      </c>
      <c r="AZ363" t="inlineStr">
        <is>
          <t>BOOK</t>
        </is>
      </c>
      <c r="BB363" t="inlineStr">
        <is>
          <t>9780415904353</t>
        </is>
      </c>
      <c r="BC363" t="inlineStr">
        <is>
          <t>32285001811156</t>
        </is>
      </c>
      <c r="BD363" t="inlineStr">
        <is>
          <t>893427115</t>
        </is>
      </c>
    </row>
    <row r="364">
      <c r="A364" t="inlineStr">
        <is>
          <t>No</t>
        </is>
      </c>
      <c r="B364" t="inlineStr">
        <is>
          <t>NX750.I8 S76 1998</t>
        </is>
      </c>
      <c r="C364" t="inlineStr">
        <is>
          <t>0                      NX 0750000I  8                  S  76          1998</t>
        </is>
      </c>
      <c r="D364" t="inlineStr">
        <is>
          <t>The patron state : culture &amp; politics in fascist Italy / Marla Susan Stone.</t>
        </is>
      </c>
      <c r="F364" t="inlineStr">
        <is>
          <t>No</t>
        </is>
      </c>
      <c r="G364" t="inlineStr">
        <is>
          <t>1</t>
        </is>
      </c>
      <c r="H364" t="inlineStr">
        <is>
          <t>No</t>
        </is>
      </c>
      <c r="I364" t="inlineStr">
        <is>
          <t>No</t>
        </is>
      </c>
      <c r="J364" t="inlineStr">
        <is>
          <t>0</t>
        </is>
      </c>
      <c r="K364" t="inlineStr">
        <is>
          <t>Stone, Marla, 1960-</t>
        </is>
      </c>
      <c r="L364" t="inlineStr">
        <is>
          <t>Princeton, N.J. : Princeton University Press, c1998.</t>
        </is>
      </c>
      <c r="M364" t="inlineStr">
        <is>
          <t>1998</t>
        </is>
      </c>
      <c r="O364" t="inlineStr">
        <is>
          <t>eng</t>
        </is>
      </c>
      <c r="P364" t="inlineStr">
        <is>
          <t>nju</t>
        </is>
      </c>
      <c r="R364" t="inlineStr">
        <is>
          <t xml:space="preserve">NX </t>
        </is>
      </c>
      <c r="S364" t="n">
        <v>1</v>
      </c>
      <c r="T364" t="n">
        <v>1</v>
      </c>
      <c r="U364" t="inlineStr">
        <is>
          <t>2008-11-26</t>
        </is>
      </c>
      <c r="V364" t="inlineStr">
        <is>
          <t>2008-11-26</t>
        </is>
      </c>
      <c r="W364" t="inlineStr">
        <is>
          <t>2000-07-31</t>
        </is>
      </c>
      <c r="X364" t="inlineStr">
        <is>
          <t>2000-07-31</t>
        </is>
      </c>
      <c r="Y364" t="n">
        <v>517</v>
      </c>
      <c r="Z364" t="n">
        <v>385</v>
      </c>
      <c r="AA364" t="n">
        <v>385</v>
      </c>
      <c r="AB364" t="n">
        <v>4</v>
      </c>
      <c r="AC364" t="n">
        <v>4</v>
      </c>
      <c r="AD364" t="n">
        <v>30</v>
      </c>
      <c r="AE364" t="n">
        <v>30</v>
      </c>
      <c r="AF364" t="n">
        <v>13</v>
      </c>
      <c r="AG364" t="n">
        <v>13</v>
      </c>
      <c r="AH364" t="n">
        <v>7</v>
      </c>
      <c r="AI364" t="n">
        <v>7</v>
      </c>
      <c r="AJ364" t="n">
        <v>18</v>
      </c>
      <c r="AK364" t="n">
        <v>18</v>
      </c>
      <c r="AL364" t="n">
        <v>3</v>
      </c>
      <c r="AM364" t="n">
        <v>3</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HYPERLINK("https://creighton-primo.hosted.exlibrisgroup.com/primo-explore/search?tab=default_tab&amp;search_scope=EVERYTHING&amp;vid=01CRU&amp;lang=en_US&amp;offset=0&amp;query=any,contains,991003224869702656","Catalog Record")</f>
        <v/>
      </c>
      <c r="AT364">
        <f>HYPERLINK("http://www.worldcat.org/oclc/38239295","WorldCat Record")</f>
        <v/>
      </c>
      <c r="AU364" t="inlineStr">
        <is>
          <t>287239704:eng</t>
        </is>
      </c>
      <c r="AV364" t="inlineStr">
        <is>
          <t>38239295</t>
        </is>
      </c>
      <c r="AW364" t="inlineStr">
        <is>
          <t>991003224869702656</t>
        </is>
      </c>
      <c r="AX364" t="inlineStr">
        <is>
          <t>991003224869702656</t>
        </is>
      </c>
      <c r="AY364" t="inlineStr">
        <is>
          <t>2255273730002656</t>
        </is>
      </c>
      <c r="AZ364" t="inlineStr">
        <is>
          <t>BOOK</t>
        </is>
      </c>
      <c r="BB364" t="inlineStr">
        <is>
          <t>9780691029696</t>
        </is>
      </c>
      <c r="BC364" t="inlineStr">
        <is>
          <t>32285003743795</t>
        </is>
      </c>
      <c r="BD364" t="inlineStr">
        <is>
          <t>893524560</t>
        </is>
      </c>
    </row>
    <row r="365">
      <c r="A365" t="inlineStr">
        <is>
          <t>No</t>
        </is>
      </c>
      <c r="B365" t="inlineStr">
        <is>
          <t>NX760 .F86 1987</t>
        </is>
      </c>
      <c r="C365" t="inlineStr">
        <is>
          <t>0                      NX 0760000F  86          1987</t>
        </is>
      </c>
      <c r="D365" t="inlineStr">
        <is>
          <t>Fundamentals of arts management / compiled by the Arts Extension Service, Division of Continuing Education, University of Massachusetts at Amherst ; [writers, Craig Dreeszen ... [et. al.] ; editors, Barbara Schaffer Bacon, John Fiscella].</t>
        </is>
      </c>
      <c r="F365" t="inlineStr">
        <is>
          <t>No</t>
        </is>
      </c>
      <c r="G365" t="inlineStr">
        <is>
          <t>1</t>
        </is>
      </c>
      <c r="H365" t="inlineStr">
        <is>
          <t>No</t>
        </is>
      </c>
      <c r="I365" t="inlineStr">
        <is>
          <t>No</t>
        </is>
      </c>
      <c r="J365" t="inlineStr">
        <is>
          <t>0</t>
        </is>
      </c>
      <c r="L365" t="inlineStr">
        <is>
          <t>Amherst, Mass. : Arts Extension Service, Division of Continuing Education, University of Massachusetts at Amherst, c1987.</t>
        </is>
      </c>
      <c r="M365" t="inlineStr">
        <is>
          <t>1987</t>
        </is>
      </c>
      <c r="O365" t="inlineStr">
        <is>
          <t>eng</t>
        </is>
      </c>
      <c r="P365" t="inlineStr">
        <is>
          <t>mau</t>
        </is>
      </c>
      <c r="R365" t="inlineStr">
        <is>
          <t xml:space="preserve">NX </t>
        </is>
      </c>
      <c r="S365" t="n">
        <v>3</v>
      </c>
      <c r="T365" t="n">
        <v>3</v>
      </c>
      <c r="U365" t="inlineStr">
        <is>
          <t>1994-02-14</t>
        </is>
      </c>
      <c r="V365" t="inlineStr">
        <is>
          <t>1994-02-14</t>
        </is>
      </c>
      <c r="W365" t="inlineStr">
        <is>
          <t>1991-07-17</t>
        </is>
      </c>
      <c r="X365" t="inlineStr">
        <is>
          <t>1991-07-17</t>
        </is>
      </c>
      <c r="Y365" t="n">
        <v>39</v>
      </c>
      <c r="Z365" t="n">
        <v>33</v>
      </c>
      <c r="AA365" t="n">
        <v>122</v>
      </c>
      <c r="AB365" t="n">
        <v>1</v>
      </c>
      <c r="AC365" t="n">
        <v>2</v>
      </c>
      <c r="AD365" t="n">
        <v>0</v>
      </c>
      <c r="AE365" t="n">
        <v>6</v>
      </c>
      <c r="AF365" t="n">
        <v>0</v>
      </c>
      <c r="AG365" t="n">
        <v>4</v>
      </c>
      <c r="AH365" t="n">
        <v>0</v>
      </c>
      <c r="AI365" t="n">
        <v>1</v>
      </c>
      <c r="AJ365" t="n">
        <v>0</v>
      </c>
      <c r="AK365" t="n">
        <v>2</v>
      </c>
      <c r="AL365" t="n">
        <v>0</v>
      </c>
      <c r="AM365" t="n">
        <v>1</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HYPERLINK("https://creighton-primo.hosted.exlibrisgroup.com/primo-explore/search?tab=default_tab&amp;search_scope=EVERYTHING&amp;vid=01CRU&amp;lang=en_US&amp;offset=0&amp;query=any,contains,991001659519702656","Catalog Record")</f>
        <v/>
      </c>
      <c r="AT365">
        <f>HYPERLINK("http://www.worldcat.org/oclc/21157848","WorldCat Record")</f>
        <v/>
      </c>
      <c r="AU365" t="inlineStr">
        <is>
          <t>349190646:eng</t>
        </is>
      </c>
      <c r="AV365" t="inlineStr">
        <is>
          <t>21157848</t>
        </is>
      </c>
      <c r="AW365" t="inlineStr">
        <is>
          <t>991001659519702656</t>
        </is>
      </c>
      <c r="AX365" t="inlineStr">
        <is>
          <t>991001659519702656</t>
        </is>
      </c>
      <c r="AY365" t="inlineStr">
        <is>
          <t>2266825590002656</t>
        </is>
      </c>
      <c r="AZ365" t="inlineStr">
        <is>
          <t>BOOK</t>
        </is>
      </c>
      <c r="BC365" t="inlineStr">
        <is>
          <t>32285000661560</t>
        </is>
      </c>
      <c r="BD365" t="inlineStr">
        <is>
          <t>893690758</t>
        </is>
      </c>
    </row>
    <row r="366">
      <c r="A366" t="inlineStr">
        <is>
          <t>No</t>
        </is>
      </c>
      <c r="B366" t="inlineStr">
        <is>
          <t>NX760 .M37</t>
        </is>
      </c>
      <c r="C366" t="inlineStr">
        <is>
          <t>0                      NX 0760000M  37</t>
        </is>
      </c>
      <c r="D366" t="inlineStr">
        <is>
          <t>Marketing the arts / edited by Michael P. Mokwa, William M. Dawson, E. Arthur Prieve.</t>
        </is>
      </c>
      <c r="F366" t="inlineStr">
        <is>
          <t>No</t>
        </is>
      </c>
      <c r="G366" t="inlineStr">
        <is>
          <t>1</t>
        </is>
      </c>
      <c r="H366" t="inlineStr">
        <is>
          <t>No</t>
        </is>
      </c>
      <c r="I366" t="inlineStr">
        <is>
          <t>No</t>
        </is>
      </c>
      <c r="J366" t="inlineStr">
        <is>
          <t>0</t>
        </is>
      </c>
      <c r="L366" t="inlineStr">
        <is>
          <t>New York : Praeger, 1980.</t>
        </is>
      </c>
      <c r="M366" t="inlineStr">
        <is>
          <t>1980</t>
        </is>
      </c>
      <c r="O366" t="inlineStr">
        <is>
          <t>eng</t>
        </is>
      </c>
      <c r="P366" t="inlineStr">
        <is>
          <t>nyu</t>
        </is>
      </c>
      <c r="Q366" t="inlineStr">
        <is>
          <t>Praeger series in public and nonprofit sector marketing</t>
        </is>
      </c>
      <c r="R366" t="inlineStr">
        <is>
          <t xml:space="preserve">NX </t>
        </is>
      </c>
      <c r="S366" t="n">
        <v>4</v>
      </c>
      <c r="T366" t="n">
        <v>4</v>
      </c>
      <c r="U366" t="inlineStr">
        <is>
          <t>1994-02-14</t>
        </is>
      </c>
      <c r="V366" t="inlineStr">
        <is>
          <t>1994-02-14</t>
        </is>
      </c>
      <c r="W366" t="inlineStr">
        <is>
          <t>1992-05-14</t>
        </is>
      </c>
      <c r="X366" t="inlineStr">
        <is>
          <t>1992-05-14</t>
        </is>
      </c>
      <c r="Y366" t="n">
        <v>484</v>
      </c>
      <c r="Z366" t="n">
        <v>398</v>
      </c>
      <c r="AA366" t="n">
        <v>410</v>
      </c>
      <c r="AB366" t="n">
        <v>4</v>
      </c>
      <c r="AC366" t="n">
        <v>4</v>
      </c>
      <c r="AD366" t="n">
        <v>14</v>
      </c>
      <c r="AE366" t="n">
        <v>14</v>
      </c>
      <c r="AF366" t="n">
        <v>5</v>
      </c>
      <c r="AG366" t="n">
        <v>5</v>
      </c>
      <c r="AH366" t="n">
        <v>2</v>
      </c>
      <c r="AI366" t="n">
        <v>2</v>
      </c>
      <c r="AJ366" t="n">
        <v>7</v>
      </c>
      <c r="AK366" t="n">
        <v>7</v>
      </c>
      <c r="AL366" t="n">
        <v>3</v>
      </c>
      <c r="AM366" t="n">
        <v>3</v>
      </c>
      <c r="AN366" t="n">
        <v>0</v>
      </c>
      <c r="AO366" t="n">
        <v>0</v>
      </c>
      <c r="AP366" t="inlineStr">
        <is>
          <t>No</t>
        </is>
      </c>
      <c r="AQ366" t="inlineStr">
        <is>
          <t>Yes</t>
        </is>
      </c>
      <c r="AR366">
        <f>HYPERLINK("http://catalog.hathitrust.org/Record/000188616","HathiTrust Record")</f>
        <v/>
      </c>
      <c r="AS366">
        <f>HYPERLINK("https://creighton-primo.hosted.exlibrisgroup.com/primo-explore/search?tab=default_tab&amp;search_scope=EVERYTHING&amp;vid=01CRU&amp;lang=en_US&amp;offset=0&amp;query=any,contains,991004874189702656","Catalog Record")</f>
        <v/>
      </c>
      <c r="AT366">
        <f>HYPERLINK("http://www.worldcat.org/oclc/5777347","WorldCat Record")</f>
        <v/>
      </c>
      <c r="AU366" t="inlineStr">
        <is>
          <t>766792561:eng</t>
        </is>
      </c>
      <c r="AV366" t="inlineStr">
        <is>
          <t>5777347</t>
        </is>
      </c>
      <c r="AW366" t="inlineStr">
        <is>
          <t>991004874189702656</t>
        </is>
      </c>
      <c r="AX366" t="inlineStr">
        <is>
          <t>991004874189702656</t>
        </is>
      </c>
      <c r="AY366" t="inlineStr">
        <is>
          <t>2256300790002656</t>
        </is>
      </c>
      <c r="AZ366" t="inlineStr">
        <is>
          <t>BOOK</t>
        </is>
      </c>
      <c r="BB366" t="inlineStr">
        <is>
          <t>9780030521416</t>
        </is>
      </c>
      <c r="BC366" t="inlineStr">
        <is>
          <t>32285001109486</t>
        </is>
      </c>
      <c r="BD366" t="inlineStr">
        <is>
          <t>893883059</t>
        </is>
      </c>
    </row>
    <row r="367">
      <c r="A367" t="inlineStr">
        <is>
          <t>No</t>
        </is>
      </c>
      <c r="B367" t="inlineStr">
        <is>
          <t>NX765 .B87 1999</t>
        </is>
      </c>
      <c r="C367" t="inlineStr">
        <is>
          <t>0                      NX 0765000B  87          1999</t>
        </is>
      </c>
      <c r="D367" t="inlineStr">
        <is>
          <t>Management and the arts / William J. Byrnes.</t>
        </is>
      </c>
      <c r="F367" t="inlineStr">
        <is>
          <t>No</t>
        </is>
      </c>
      <c r="G367" t="inlineStr">
        <is>
          <t>1</t>
        </is>
      </c>
      <c r="H367" t="inlineStr">
        <is>
          <t>No</t>
        </is>
      </c>
      <c r="I367" t="inlineStr">
        <is>
          <t>No</t>
        </is>
      </c>
      <c r="J367" t="inlineStr">
        <is>
          <t>0</t>
        </is>
      </c>
      <c r="K367" t="inlineStr">
        <is>
          <t>Byrnes, William J.</t>
        </is>
      </c>
      <c r="L367" t="inlineStr">
        <is>
          <t>Boston : Focal Press, c1999.</t>
        </is>
      </c>
      <c r="M367" t="inlineStr">
        <is>
          <t>1999</t>
        </is>
      </c>
      <c r="N367" t="inlineStr">
        <is>
          <t>2nd ed.</t>
        </is>
      </c>
      <c r="O367" t="inlineStr">
        <is>
          <t>eng</t>
        </is>
      </c>
      <c r="P367" t="inlineStr">
        <is>
          <t>mau</t>
        </is>
      </c>
      <c r="R367" t="inlineStr">
        <is>
          <t xml:space="preserve">NX </t>
        </is>
      </c>
      <c r="S367" t="n">
        <v>4</v>
      </c>
      <c r="T367" t="n">
        <v>4</v>
      </c>
      <c r="U367" t="inlineStr">
        <is>
          <t>2003-01-06</t>
        </is>
      </c>
      <c r="V367" t="inlineStr">
        <is>
          <t>2003-01-06</t>
        </is>
      </c>
      <c r="W367" t="inlineStr">
        <is>
          <t>2000-03-23</t>
        </is>
      </c>
      <c r="X367" t="inlineStr">
        <is>
          <t>2000-03-23</t>
        </is>
      </c>
      <c r="Y367" t="n">
        <v>173</v>
      </c>
      <c r="Z367" t="n">
        <v>124</v>
      </c>
      <c r="AA367" t="n">
        <v>607</v>
      </c>
      <c r="AB367" t="n">
        <v>2</v>
      </c>
      <c r="AC367" t="n">
        <v>7</v>
      </c>
      <c r="AD367" t="n">
        <v>6</v>
      </c>
      <c r="AE367" t="n">
        <v>32</v>
      </c>
      <c r="AF367" t="n">
        <v>2</v>
      </c>
      <c r="AG367" t="n">
        <v>12</v>
      </c>
      <c r="AH367" t="n">
        <v>1</v>
      </c>
      <c r="AI367" t="n">
        <v>7</v>
      </c>
      <c r="AJ367" t="n">
        <v>3</v>
      </c>
      <c r="AK367" t="n">
        <v>14</v>
      </c>
      <c r="AL367" t="n">
        <v>1</v>
      </c>
      <c r="AM367" t="n">
        <v>6</v>
      </c>
      <c r="AN367" t="n">
        <v>0</v>
      </c>
      <c r="AO367" t="n">
        <v>1</v>
      </c>
      <c r="AP367" t="inlineStr">
        <is>
          <t>No</t>
        </is>
      </c>
      <c r="AQ367" t="inlineStr">
        <is>
          <t>No</t>
        </is>
      </c>
      <c r="AS367">
        <f>HYPERLINK("https://creighton-primo.hosted.exlibrisgroup.com/primo-explore/search?tab=default_tab&amp;search_scope=EVERYTHING&amp;vid=01CRU&amp;lang=en_US&amp;offset=0&amp;query=any,contains,991002979389702656","Catalog Record")</f>
        <v/>
      </c>
      <c r="AT367">
        <f>HYPERLINK("http://www.worldcat.org/oclc/40051054","WorldCat Record")</f>
        <v/>
      </c>
      <c r="AU367" t="inlineStr">
        <is>
          <t>667814:eng</t>
        </is>
      </c>
      <c r="AV367" t="inlineStr">
        <is>
          <t>40051054</t>
        </is>
      </c>
      <c r="AW367" t="inlineStr">
        <is>
          <t>991002979389702656</t>
        </is>
      </c>
      <c r="AX367" t="inlineStr">
        <is>
          <t>991002979389702656</t>
        </is>
      </c>
      <c r="AY367" t="inlineStr">
        <is>
          <t>2260044100002656</t>
        </is>
      </c>
      <c r="AZ367" t="inlineStr">
        <is>
          <t>BOOK</t>
        </is>
      </c>
      <c r="BB367" t="inlineStr">
        <is>
          <t>9780240803340</t>
        </is>
      </c>
      <c r="BC367" t="inlineStr">
        <is>
          <t>32285003673786</t>
        </is>
      </c>
      <c r="BD367" t="inlineStr">
        <is>
          <t>893511438</t>
        </is>
      </c>
    </row>
    <row r="368">
      <c r="A368" t="inlineStr">
        <is>
          <t>No</t>
        </is>
      </c>
      <c r="B368" t="inlineStr">
        <is>
          <t>NX765 .J43</t>
        </is>
      </c>
      <c r="C368" t="inlineStr">
        <is>
          <t>0                      NX 0765000J  43</t>
        </is>
      </c>
      <c r="D368" t="inlineStr">
        <is>
          <t>The emerging arts : management, survival, and growth / Joan Jeffri.</t>
        </is>
      </c>
      <c r="F368" t="inlineStr">
        <is>
          <t>No</t>
        </is>
      </c>
      <c r="G368" t="inlineStr">
        <is>
          <t>1</t>
        </is>
      </c>
      <c r="H368" t="inlineStr">
        <is>
          <t>No</t>
        </is>
      </c>
      <c r="I368" t="inlineStr">
        <is>
          <t>No</t>
        </is>
      </c>
      <c r="J368" t="inlineStr">
        <is>
          <t>0</t>
        </is>
      </c>
      <c r="K368" t="inlineStr">
        <is>
          <t>Jeffri, Joan.</t>
        </is>
      </c>
      <c r="L368" t="inlineStr">
        <is>
          <t>New York, N.Y. : Praeger, 1980.</t>
        </is>
      </c>
      <c r="M368" t="inlineStr">
        <is>
          <t>1980</t>
        </is>
      </c>
      <c r="O368" t="inlineStr">
        <is>
          <t>eng</t>
        </is>
      </c>
      <c r="P368" t="inlineStr">
        <is>
          <t>nyu</t>
        </is>
      </c>
      <c r="R368" t="inlineStr">
        <is>
          <t xml:space="preserve">NX </t>
        </is>
      </c>
      <c r="S368" t="n">
        <v>4</v>
      </c>
      <c r="T368" t="n">
        <v>4</v>
      </c>
      <c r="U368" t="inlineStr">
        <is>
          <t>2003-01-06</t>
        </is>
      </c>
      <c r="V368" t="inlineStr">
        <is>
          <t>2003-01-06</t>
        </is>
      </c>
      <c r="W368" t="inlineStr">
        <is>
          <t>1993-06-02</t>
        </is>
      </c>
      <c r="X368" t="inlineStr">
        <is>
          <t>1993-06-02</t>
        </is>
      </c>
      <c r="Y368" t="n">
        <v>358</v>
      </c>
      <c r="Z368" t="n">
        <v>320</v>
      </c>
      <c r="AA368" t="n">
        <v>322</v>
      </c>
      <c r="AB368" t="n">
        <v>4</v>
      </c>
      <c r="AC368" t="n">
        <v>4</v>
      </c>
      <c r="AD368" t="n">
        <v>13</v>
      </c>
      <c r="AE368" t="n">
        <v>13</v>
      </c>
      <c r="AF368" t="n">
        <v>7</v>
      </c>
      <c r="AG368" t="n">
        <v>7</v>
      </c>
      <c r="AH368" t="n">
        <v>1</v>
      </c>
      <c r="AI368" t="n">
        <v>1</v>
      </c>
      <c r="AJ368" t="n">
        <v>4</v>
      </c>
      <c r="AK368" t="n">
        <v>4</v>
      </c>
      <c r="AL368" t="n">
        <v>3</v>
      </c>
      <c r="AM368" t="n">
        <v>3</v>
      </c>
      <c r="AN368" t="n">
        <v>0</v>
      </c>
      <c r="AO368" t="n">
        <v>0</v>
      </c>
      <c r="AP368" t="inlineStr">
        <is>
          <t>No</t>
        </is>
      </c>
      <c r="AQ368" t="inlineStr">
        <is>
          <t>Yes</t>
        </is>
      </c>
      <c r="AR368">
        <f>HYPERLINK("http://catalog.hathitrust.org/Record/000087024","HathiTrust Record")</f>
        <v/>
      </c>
      <c r="AS368">
        <f>HYPERLINK("https://creighton-primo.hosted.exlibrisgroup.com/primo-explore/search?tab=default_tab&amp;search_scope=EVERYTHING&amp;vid=01CRU&amp;lang=en_US&amp;offset=0&amp;query=any,contains,991004991869702656","Catalog Record")</f>
        <v/>
      </c>
      <c r="AT368">
        <f>HYPERLINK("http://www.worldcat.org/oclc/6487544","WorldCat Record")</f>
        <v/>
      </c>
      <c r="AU368" t="inlineStr">
        <is>
          <t>375933039:eng</t>
        </is>
      </c>
      <c r="AV368" t="inlineStr">
        <is>
          <t>6487544</t>
        </is>
      </c>
      <c r="AW368" t="inlineStr">
        <is>
          <t>991004991869702656</t>
        </is>
      </c>
      <c r="AX368" t="inlineStr">
        <is>
          <t>991004991869702656</t>
        </is>
      </c>
      <c r="AY368" t="inlineStr">
        <is>
          <t>2271788870002656</t>
        </is>
      </c>
      <c r="AZ368" t="inlineStr">
        <is>
          <t>BOOK</t>
        </is>
      </c>
      <c r="BB368" t="inlineStr">
        <is>
          <t>9780030567070</t>
        </is>
      </c>
      <c r="BC368" t="inlineStr">
        <is>
          <t>32285001717536</t>
        </is>
      </c>
      <c r="BD368" t="inlineStr">
        <is>
          <t>893430685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